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V:\Vandemusser Design LLC\23013 Soufl Construction\23013-01 147 Abundance Run\"/>
    </mc:Choice>
  </mc:AlternateContent>
  <xr:revisionPtr revIDLastSave="0" documentId="13_ncr:1_{B4827F7A-5507-4D26-832D-C37553C7774A}" xr6:coauthVersionLast="47" xr6:coauthVersionMax="47" xr10:uidLastSave="{00000000-0000-0000-0000-000000000000}"/>
  <bookViews>
    <workbookView xWindow="-120" yWindow="-120" windowWidth="29040" windowHeight="16440" xr2:uid="{00000000-000D-0000-FFFF-FFFF00000000}"/>
  </bookViews>
  <sheets>
    <sheet name="GBHv3Rev3" sheetId="1" r:id="rId1"/>
    <sheet name="GBH+Regen" sheetId="2" r:id="rId2"/>
  </sheets>
  <definedNames>
    <definedName name="_xlnm.Print_Area" localSheetId="1">'GBH+Regen'!$A$1:$J$35</definedName>
    <definedName name="_xlnm.Print_Area" localSheetId="0">GBHv3Rev3!$A$1:$M$532</definedName>
  </definedNames>
  <calcPr calcId="191029"/>
</workbook>
</file>

<file path=xl/calcChain.xml><?xml version="1.0" encoding="utf-8"?>
<calcChain xmlns="http://schemas.openxmlformats.org/spreadsheetml/2006/main">
  <c r="O82" i="1" l="1"/>
  <c r="O81" i="1"/>
  <c r="O83" i="1"/>
  <c r="J321" i="1"/>
  <c r="J320" i="1"/>
  <c r="J317" i="1"/>
  <c r="I321" i="1"/>
  <c r="I320" i="1"/>
  <c r="I317" i="1"/>
  <c r="J306" i="1"/>
  <c r="J303" i="1"/>
  <c r="I306" i="1"/>
  <c r="I305" i="1"/>
  <c r="I304" i="1"/>
  <c r="I303" i="1"/>
  <c r="J305" i="1"/>
  <c r="J304" i="1"/>
  <c r="I383" i="1"/>
  <c r="I382" i="1"/>
  <c r="I381" i="1"/>
  <c r="K14" i="2"/>
  <c r="O135" i="1"/>
  <c r="L13" i="2"/>
  <c r="P134" i="1"/>
  <c r="J192" i="1"/>
  <c r="J189" i="1"/>
  <c r="J190" i="1"/>
  <c r="I190" i="1"/>
  <c r="I189" i="1"/>
  <c r="O467" i="1" l="1"/>
  <c r="O411" i="1"/>
  <c r="O406" i="1"/>
  <c r="O402" i="1"/>
  <c r="O363" i="1"/>
  <c r="O350" i="1"/>
  <c r="O67" i="1"/>
  <c r="O294" i="1"/>
  <c r="O273" i="1"/>
  <c r="O250" i="1"/>
  <c r="O119" i="1"/>
  <c r="O86" i="1"/>
  <c r="O66" i="1"/>
  <c r="O102" i="1"/>
  <c r="O65" i="1"/>
  <c r="O53" i="1"/>
  <c r="O45" i="1"/>
  <c r="O134" i="1" l="1"/>
  <c r="I309" i="1"/>
  <c r="I308" i="1" l="1"/>
  <c r="K438" i="1" l="1"/>
  <c r="K343" i="1"/>
  <c r="J308" i="1"/>
  <c r="K308" i="1" s="1"/>
  <c r="J309" i="1"/>
  <c r="K186" i="1"/>
  <c r="J147" i="1"/>
  <c r="I147" i="1"/>
  <c r="J146" i="1"/>
  <c r="I146" i="1"/>
  <c r="I144" i="1"/>
  <c r="J144" i="1"/>
  <c r="J141" i="1"/>
  <c r="K309" i="1" l="1"/>
  <c r="J414" i="1" l="1"/>
  <c r="K414" i="1" s="1"/>
  <c r="I414" i="1"/>
  <c r="J483" i="1"/>
  <c r="K483" i="1" s="1"/>
  <c r="I483" i="1"/>
  <c r="J310" i="1" l="1"/>
  <c r="I310" i="1"/>
  <c r="J83" i="1"/>
  <c r="I83" i="1"/>
  <c r="O84" i="1"/>
  <c r="K83" i="1"/>
  <c r="J79" i="1"/>
  <c r="I79" i="1"/>
  <c r="O79" i="1"/>
  <c r="K79" i="1"/>
  <c r="J425" i="1"/>
  <c r="I425" i="1"/>
  <c r="A14" i="1"/>
  <c r="J358" i="1"/>
  <c r="I358" i="1"/>
  <c r="J357" i="1"/>
  <c r="I357" i="1"/>
  <c r="J356" i="1"/>
  <c r="K356" i="1" s="1"/>
  <c r="I356" i="1"/>
  <c r="J160" i="1"/>
  <c r="K160" i="1" s="1"/>
  <c r="I160" i="1"/>
  <c r="J159" i="1"/>
  <c r="K159" i="1" s="1"/>
  <c r="I159" i="1"/>
  <c r="J158" i="1"/>
  <c r="I158" i="1"/>
  <c r="J88" i="1"/>
  <c r="I88" i="1"/>
  <c r="J506" i="1" l="1"/>
  <c r="K506" i="1" s="1"/>
  <c r="I506" i="1"/>
  <c r="K358" i="1" l="1"/>
  <c r="K357" i="1"/>
  <c r="J417" i="1"/>
  <c r="K417" i="1" s="1"/>
  <c r="I417" i="1"/>
  <c r="J375" i="1"/>
  <c r="K375" i="1" s="1"/>
  <c r="I375" i="1"/>
  <c r="K147" i="1" l="1"/>
  <c r="K146" i="1"/>
  <c r="J126" i="1"/>
  <c r="K126" i="1" s="1"/>
  <c r="J125" i="1"/>
  <c r="K125" i="1" s="1"/>
  <c r="J124" i="1"/>
  <c r="K124" i="1" s="1"/>
  <c r="J109" i="1"/>
  <c r="J110" i="1"/>
  <c r="J111" i="1"/>
  <c r="I126" i="1"/>
  <c r="I125" i="1"/>
  <c r="I124" i="1"/>
  <c r="I438" i="1"/>
  <c r="J438" i="1"/>
  <c r="K34" i="2" l="1"/>
  <c r="K33" i="2"/>
  <c r="K32" i="2"/>
  <c r="K30" i="2"/>
  <c r="M29" i="2"/>
  <c r="K29" i="2"/>
  <c r="K27" i="2"/>
  <c r="K26" i="2"/>
  <c r="K25" i="2"/>
  <c r="K24" i="2"/>
  <c r="K23" i="2"/>
  <c r="O22" i="2"/>
  <c r="K19" i="2"/>
  <c r="K17" i="2"/>
  <c r="K16" i="2"/>
  <c r="K15" i="2"/>
  <c r="K13" i="2"/>
  <c r="K4" i="2"/>
  <c r="K3" i="2"/>
  <c r="J530" i="1"/>
  <c r="K530" i="1" s="1"/>
  <c r="I530" i="1"/>
  <c r="J529" i="1"/>
  <c r="K529" i="1" s="1"/>
  <c r="I529" i="1"/>
  <c r="J528" i="1"/>
  <c r="K528" i="1" s="1"/>
  <c r="I528" i="1"/>
  <c r="J527" i="1"/>
  <c r="K527" i="1" s="1"/>
  <c r="I527" i="1"/>
  <c r="J526" i="1"/>
  <c r="K526" i="1" s="1"/>
  <c r="I526" i="1"/>
  <c r="J525" i="1"/>
  <c r="K525" i="1" s="1"/>
  <c r="I525" i="1"/>
  <c r="J524" i="1"/>
  <c r="K524" i="1" s="1"/>
  <c r="I524" i="1"/>
  <c r="J523" i="1"/>
  <c r="K523" i="1" s="1"/>
  <c r="I523" i="1"/>
  <c r="J522" i="1"/>
  <c r="K522" i="1" s="1"/>
  <c r="I522" i="1"/>
  <c r="O521" i="1"/>
  <c r="J521" i="1"/>
  <c r="K521" i="1" s="1"/>
  <c r="I521" i="1"/>
  <c r="O519" i="1"/>
  <c r="J519" i="1"/>
  <c r="K519" i="1" s="1"/>
  <c r="I519" i="1"/>
  <c r="J518" i="1"/>
  <c r="K518" i="1" s="1"/>
  <c r="I518" i="1"/>
  <c r="J517" i="1"/>
  <c r="K517" i="1" s="1"/>
  <c r="I517" i="1"/>
  <c r="O516" i="1"/>
  <c r="J516" i="1"/>
  <c r="K516" i="1" s="1"/>
  <c r="I516" i="1"/>
  <c r="R515" i="1"/>
  <c r="O515" i="1"/>
  <c r="J515" i="1"/>
  <c r="K515" i="1" s="1"/>
  <c r="I515" i="1"/>
  <c r="S514" i="1"/>
  <c r="O514" i="1"/>
  <c r="O513" i="1"/>
  <c r="J513" i="1"/>
  <c r="K513" i="1" s="1"/>
  <c r="I513" i="1"/>
  <c r="J512" i="1"/>
  <c r="K512" i="1" s="1"/>
  <c r="I512" i="1"/>
  <c r="J511" i="1"/>
  <c r="K511" i="1" s="1"/>
  <c r="I511" i="1"/>
  <c r="J510" i="1"/>
  <c r="K510" i="1" s="1"/>
  <c r="I510" i="1"/>
  <c r="J509" i="1"/>
  <c r="K509" i="1" s="1"/>
  <c r="I509" i="1"/>
  <c r="J507" i="1"/>
  <c r="K507" i="1" s="1"/>
  <c r="I507" i="1"/>
  <c r="J505" i="1"/>
  <c r="K505" i="1" s="1"/>
  <c r="I505" i="1"/>
  <c r="J504" i="1"/>
  <c r="K504" i="1" s="1"/>
  <c r="I504" i="1"/>
  <c r="O503" i="1"/>
  <c r="J503" i="1"/>
  <c r="K503" i="1" s="1"/>
  <c r="I503" i="1"/>
  <c r="J502" i="1"/>
  <c r="K502" i="1" s="1"/>
  <c r="I502" i="1"/>
  <c r="J496" i="1"/>
  <c r="K496" i="1" s="1"/>
  <c r="I496" i="1"/>
  <c r="J495" i="1"/>
  <c r="K495" i="1" s="1"/>
  <c r="I495" i="1"/>
  <c r="J494" i="1"/>
  <c r="K494" i="1" s="1"/>
  <c r="I494" i="1"/>
  <c r="J493" i="1"/>
  <c r="K493" i="1" s="1"/>
  <c r="I493" i="1"/>
  <c r="J492" i="1"/>
  <c r="K492" i="1" s="1"/>
  <c r="I492" i="1"/>
  <c r="J491" i="1"/>
  <c r="K491" i="1" s="1"/>
  <c r="I491" i="1"/>
  <c r="J490" i="1"/>
  <c r="K490" i="1" s="1"/>
  <c r="I490" i="1"/>
  <c r="J489" i="1"/>
  <c r="K489" i="1" s="1"/>
  <c r="I489" i="1"/>
  <c r="J488" i="1"/>
  <c r="K488" i="1" s="1"/>
  <c r="I488" i="1"/>
  <c r="O487" i="1"/>
  <c r="J487" i="1"/>
  <c r="K487" i="1" s="1"/>
  <c r="I487" i="1"/>
  <c r="J486" i="1"/>
  <c r="K486" i="1" s="1"/>
  <c r="I486" i="1"/>
  <c r="J485" i="1"/>
  <c r="K485" i="1" s="1"/>
  <c r="I485" i="1"/>
  <c r="J484" i="1"/>
  <c r="K484" i="1" s="1"/>
  <c r="I484" i="1"/>
  <c r="J482" i="1"/>
  <c r="K482" i="1" s="1"/>
  <c r="I482" i="1"/>
  <c r="J481" i="1"/>
  <c r="K481" i="1" s="1"/>
  <c r="I481" i="1"/>
  <c r="J480" i="1"/>
  <c r="K480" i="1" s="1"/>
  <c r="I480" i="1"/>
  <c r="J479" i="1"/>
  <c r="K479" i="1" s="1"/>
  <c r="I479" i="1"/>
  <c r="J478" i="1"/>
  <c r="K478" i="1" s="1"/>
  <c r="I478" i="1"/>
  <c r="J477" i="1"/>
  <c r="K477" i="1" s="1"/>
  <c r="I477" i="1"/>
  <c r="J476" i="1"/>
  <c r="K476" i="1" s="1"/>
  <c r="I476" i="1"/>
  <c r="J475" i="1"/>
  <c r="K475" i="1" s="1"/>
  <c r="I475" i="1"/>
  <c r="J474" i="1"/>
  <c r="K474" i="1" s="1"/>
  <c r="I474" i="1"/>
  <c r="J473" i="1"/>
  <c r="K473" i="1" s="1"/>
  <c r="I473" i="1"/>
  <c r="J472" i="1"/>
  <c r="K472" i="1" s="1"/>
  <c r="I472" i="1"/>
  <c r="J471" i="1"/>
  <c r="K471" i="1" s="1"/>
  <c r="I471" i="1"/>
  <c r="J470" i="1"/>
  <c r="K470" i="1" s="1"/>
  <c r="I470" i="1"/>
  <c r="J469" i="1"/>
  <c r="K469" i="1" s="1"/>
  <c r="I469" i="1"/>
  <c r="J468" i="1"/>
  <c r="K468" i="1" s="1"/>
  <c r="I468" i="1"/>
  <c r="J467" i="1"/>
  <c r="K467" i="1" s="1"/>
  <c r="I467" i="1"/>
  <c r="O466" i="1"/>
  <c r="J466" i="1"/>
  <c r="K466" i="1" s="1"/>
  <c r="I466" i="1"/>
  <c r="O465" i="1"/>
  <c r="J465" i="1"/>
  <c r="K465" i="1" s="1"/>
  <c r="I465" i="1"/>
  <c r="J399" i="1"/>
  <c r="K399" i="1" s="1"/>
  <c r="I399" i="1"/>
  <c r="J462" i="1"/>
  <c r="K462" i="1" s="1"/>
  <c r="I462" i="1"/>
  <c r="J461" i="1"/>
  <c r="K461" i="1" s="1"/>
  <c r="I461" i="1"/>
  <c r="O460" i="1"/>
  <c r="J460" i="1"/>
  <c r="K460" i="1" s="1"/>
  <c r="I460" i="1"/>
  <c r="J459" i="1"/>
  <c r="K459" i="1" s="1"/>
  <c r="I459" i="1"/>
  <c r="J458" i="1"/>
  <c r="K458" i="1" s="1"/>
  <c r="I458" i="1"/>
  <c r="J457" i="1"/>
  <c r="K457" i="1" s="1"/>
  <c r="I457" i="1"/>
  <c r="J456" i="1"/>
  <c r="K456" i="1" s="1"/>
  <c r="I456" i="1"/>
  <c r="J454" i="1"/>
  <c r="K454" i="1" s="1"/>
  <c r="I454" i="1"/>
  <c r="J453" i="1"/>
  <c r="K453" i="1" s="1"/>
  <c r="I453" i="1"/>
  <c r="J451" i="1"/>
  <c r="K451" i="1" s="1"/>
  <c r="I451" i="1"/>
  <c r="J450" i="1"/>
  <c r="K450" i="1" s="1"/>
  <c r="I450" i="1"/>
  <c r="J449" i="1"/>
  <c r="K449" i="1" s="1"/>
  <c r="I449" i="1"/>
  <c r="J448" i="1"/>
  <c r="K448" i="1" s="1"/>
  <c r="I448" i="1"/>
  <c r="J447" i="1"/>
  <c r="K447" i="1" s="1"/>
  <c r="I447" i="1"/>
  <c r="O446" i="1"/>
  <c r="J446" i="1"/>
  <c r="K446" i="1" s="1"/>
  <c r="I446" i="1"/>
  <c r="J445" i="1"/>
  <c r="K445" i="1" s="1"/>
  <c r="I445" i="1"/>
  <c r="O444" i="1"/>
  <c r="J444" i="1"/>
  <c r="K444" i="1" s="1"/>
  <c r="I444" i="1"/>
  <c r="J443" i="1"/>
  <c r="K443" i="1" s="1"/>
  <c r="I443" i="1"/>
  <c r="O442" i="1"/>
  <c r="J442" i="1"/>
  <c r="K442" i="1" s="1"/>
  <c r="I442" i="1"/>
  <c r="O441" i="1"/>
  <c r="J441" i="1"/>
  <c r="K441" i="1" s="1"/>
  <c r="I441" i="1"/>
  <c r="K439" i="1"/>
  <c r="J439" i="1"/>
  <c r="O438" i="1"/>
  <c r="J437" i="1"/>
  <c r="K437" i="1" s="1"/>
  <c r="I437" i="1"/>
  <c r="J436" i="1"/>
  <c r="K436" i="1" s="1"/>
  <c r="I436" i="1"/>
  <c r="J435" i="1"/>
  <c r="K435" i="1" s="1"/>
  <c r="I435" i="1"/>
  <c r="J434" i="1"/>
  <c r="K434" i="1" s="1"/>
  <c r="I434" i="1"/>
  <c r="J433" i="1"/>
  <c r="K433" i="1" s="1"/>
  <c r="I433" i="1"/>
  <c r="J432" i="1"/>
  <c r="K432" i="1" s="1"/>
  <c r="I432" i="1"/>
  <c r="O431" i="1"/>
  <c r="J431" i="1"/>
  <c r="K431" i="1" s="1"/>
  <c r="I431" i="1"/>
  <c r="J429" i="1"/>
  <c r="K429" i="1" s="1"/>
  <c r="I429" i="1"/>
  <c r="I439" i="1" s="1"/>
  <c r="J428" i="1"/>
  <c r="K428" i="1" s="1"/>
  <c r="I428" i="1"/>
  <c r="K425" i="1"/>
  <c r="J420" i="1"/>
  <c r="K420" i="1" s="1"/>
  <c r="I420" i="1"/>
  <c r="J419" i="1"/>
  <c r="K419" i="1" s="1"/>
  <c r="I419" i="1"/>
  <c r="J418" i="1"/>
  <c r="K418" i="1" s="1"/>
  <c r="I418" i="1"/>
  <c r="J416" i="1"/>
  <c r="K416" i="1" s="1"/>
  <c r="I416" i="1"/>
  <c r="J415" i="1"/>
  <c r="K415" i="1" s="1"/>
  <c r="I415" i="1"/>
  <c r="J413" i="1"/>
  <c r="K413" i="1" s="1"/>
  <c r="I413" i="1"/>
  <c r="J412" i="1"/>
  <c r="K412" i="1" s="1"/>
  <c r="I412" i="1"/>
  <c r="J411" i="1"/>
  <c r="K411" i="1" s="1"/>
  <c r="I411" i="1"/>
  <c r="O410" i="1"/>
  <c r="J410" i="1"/>
  <c r="K410" i="1" s="1"/>
  <c r="I410" i="1"/>
  <c r="O409" i="1"/>
  <c r="J409" i="1"/>
  <c r="K409" i="1" s="1"/>
  <c r="I409" i="1"/>
  <c r="O408" i="1"/>
  <c r="J408" i="1"/>
  <c r="K408" i="1" s="1"/>
  <c r="I408" i="1"/>
  <c r="O407" i="1"/>
  <c r="J407" i="1"/>
  <c r="K407" i="1" s="1"/>
  <c r="I407" i="1"/>
  <c r="J406" i="1"/>
  <c r="K406" i="1" s="1"/>
  <c r="I406" i="1"/>
  <c r="O405" i="1"/>
  <c r="J405" i="1"/>
  <c r="K405" i="1" s="1"/>
  <c r="I405" i="1"/>
  <c r="J404" i="1"/>
  <c r="K404" i="1" s="1"/>
  <c r="I404" i="1"/>
  <c r="J403" i="1"/>
  <c r="K403" i="1" s="1"/>
  <c r="I403" i="1"/>
  <c r="J402" i="1"/>
  <c r="K402" i="1" s="1"/>
  <c r="I402" i="1"/>
  <c r="O400" i="1"/>
  <c r="J398" i="1"/>
  <c r="K398" i="1" s="1"/>
  <c r="I398" i="1"/>
  <c r="J397" i="1"/>
  <c r="K397" i="1" s="1"/>
  <c r="I397" i="1"/>
  <c r="J396" i="1"/>
  <c r="K396" i="1" s="1"/>
  <c r="I396" i="1"/>
  <c r="J395" i="1"/>
  <c r="K395" i="1" s="1"/>
  <c r="I395" i="1"/>
  <c r="J394" i="1"/>
  <c r="K394" i="1" s="1"/>
  <c r="I394" i="1"/>
  <c r="J393" i="1"/>
  <c r="K393" i="1" s="1"/>
  <c r="I393" i="1"/>
  <c r="J392" i="1"/>
  <c r="K392" i="1" s="1"/>
  <c r="I392" i="1"/>
  <c r="J390" i="1"/>
  <c r="K390" i="1" s="1"/>
  <c r="I390" i="1"/>
  <c r="J389" i="1"/>
  <c r="K389" i="1" s="1"/>
  <c r="I389" i="1"/>
  <c r="J388" i="1"/>
  <c r="K388" i="1" s="1"/>
  <c r="I388" i="1"/>
  <c r="J387" i="1"/>
  <c r="K387" i="1" s="1"/>
  <c r="I387" i="1"/>
  <c r="J386" i="1"/>
  <c r="K386" i="1" s="1"/>
  <c r="I386" i="1"/>
  <c r="O385" i="1"/>
  <c r="J384" i="1"/>
  <c r="K384" i="1" s="1"/>
  <c r="I384" i="1"/>
  <c r="J383" i="1"/>
  <c r="K383" i="1" s="1"/>
  <c r="J382" i="1"/>
  <c r="K382" i="1" s="1"/>
  <c r="J381" i="1"/>
  <c r="K381" i="1" s="1"/>
  <c r="J379" i="1"/>
  <c r="K379" i="1" s="1"/>
  <c r="I379" i="1"/>
  <c r="J378" i="1"/>
  <c r="K378" i="1" s="1"/>
  <c r="I378" i="1"/>
  <c r="O377" i="1"/>
  <c r="J377" i="1"/>
  <c r="K377" i="1" s="1"/>
  <c r="I377" i="1"/>
  <c r="O374" i="1"/>
  <c r="J374" i="1"/>
  <c r="K374" i="1" s="1"/>
  <c r="I374" i="1"/>
  <c r="O373" i="1"/>
  <c r="J373" i="1"/>
  <c r="K373" i="1" s="1"/>
  <c r="I373" i="1"/>
  <c r="J372" i="1"/>
  <c r="K372" i="1" s="1"/>
  <c r="I372" i="1"/>
  <c r="R370" i="1"/>
  <c r="O370" i="1"/>
  <c r="K370" i="1"/>
  <c r="J370" i="1"/>
  <c r="I370" i="1"/>
  <c r="J368" i="1"/>
  <c r="K368" i="1" s="1"/>
  <c r="I368" i="1"/>
  <c r="J363" i="1"/>
  <c r="K363" i="1" s="1"/>
  <c r="I363" i="1"/>
  <c r="J362" i="1"/>
  <c r="K362" i="1" s="1"/>
  <c r="I362" i="1"/>
  <c r="K360" i="1"/>
  <c r="J360" i="1"/>
  <c r="I360" i="1"/>
  <c r="J359" i="1"/>
  <c r="K359" i="1" s="1"/>
  <c r="I359" i="1"/>
  <c r="J354" i="1"/>
  <c r="K354" i="1" s="1"/>
  <c r="I354" i="1"/>
  <c r="K352" i="1"/>
  <c r="J352" i="1"/>
  <c r="I352" i="1"/>
  <c r="J350" i="1"/>
  <c r="K350" i="1" s="1"/>
  <c r="I350" i="1"/>
  <c r="J349" i="1"/>
  <c r="K349" i="1" s="1"/>
  <c r="I349" i="1"/>
  <c r="J347" i="1"/>
  <c r="K347" i="1" s="1"/>
  <c r="I347" i="1"/>
  <c r="J346" i="1"/>
  <c r="K346" i="1" s="1"/>
  <c r="I346" i="1"/>
  <c r="J343" i="1"/>
  <c r="I343" i="1"/>
  <c r="J342" i="1"/>
  <c r="K342" i="1" s="1"/>
  <c r="I342" i="1"/>
  <c r="K340" i="1"/>
  <c r="J340" i="1"/>
  <c r="I340" i="1"/>
  <c r="J339" i="1"/>
  <c r="K339" i="1" s="1"/>
  <c r="I339" i="1"/>
  <c r="O338" i="1"/>
  <c r="J338" i="1"/>
  <c r="K338" i="1" s="1"/>
  <c r="I338" i="1"/>
  <c r="J336" i="1"/>
  <c r="K336" i="1" s="1"/>
  <c r="I336" i="1"/>
  <c r="J335" i="1"/>
  <c r="K335" i="1" s="1"/>
  <c r="I335" i="1"/>
  <c r="J333" i="1"/>
  <c r="K333" i="1" s="1"/>
  <c r="I333" i="1"/>
  <c r="O332" i="1"/>
  <c r="J332" i="1"/>
  <c r="K332" i="1" s="1"/>
  <c r="I332" i="1"/>
  <c r="J331" i="1"/>
  <c r="K331" i="1" s="1"/>
  <c r="I331" i="1"/>
  <c r="J330" i="1"/>
  <c r="K330" i="1" s="1"/>
  <c r="I330" i="1"/>
  <c r="J328" i="1"/>
  <c r="K328" i="1" s="1"/>
  <c r="I328" i="1"/>
  <c r="J327" i="1"/>
  <c r="K327" i="1" s="1"/>
  <c r="I327" i="1"/>
  <c r="J326" i="1"/>
  <c r="K326" i="1" s="1"/>
  <c r="I326" i="1"/>
  <c r="J325" i="1"/>
  <c r="K325" i="1" s="1"/>
  <c r="I325" i="1"/>
  <c r="J324" i="1"/>
  <c r="K324" i="1" s="1"/>
  <c r="I324" i="1"/>
  <c r="J322" i="1"/>
  <c r="K322" i="1" s="1"/>
  <c r="I322" i="1"/>
  <c r="K319" i="1"/>
  <c r="J318" i="1"/>
  <c r="K318" i="1" s="1"/>
  <c r="I318" i="1"/>
  <c r="K317" i="1"/>
  <c r="K310" i="1"/>
  <c r="O309" i="1"/>
  <c r="K305" i="1"/>
  <c r="K304" i="1"/>
  <c r="K303" i="1"/>
  <c r="J301" i="1"/>
  <c r="K301" i="1" s="1"/>
  <c r="I301" i="1"/>
  <c r="J300" i="1"/>
  <c r="K300" i="1" s="1"/>
  <c r="I300" i="1"/>
  <c r="J298" i="1"/>
  <c r="K298" i="1" s="1"/>
  <c r="I298" i="1"/>
  <c r="J297" i="1"/>
  <c r="K297" i="1" s="1"/>
  <c r="I297" i="1"/>
  <c r="J295" i="1"/>
  <c r="K295" i="1" s="1"/>
  <c r="I295" i="1"/>
  <c r="J294" i="1"/>
  <c r="K294" i="1" s="1"/>
  <c r="I294" i="1"/>
  <c r="O293" i="1"/>
  <c r="J293" i="1"/>
  <c r="K293" i="1" s="1"/>
  <c r="I293" i="1"/>
  <c r="K290" i="1"/>
  <c r="J290" i="1"/>
  <c r="I290" i="1"/>
  <c r="J288" i="1"/>
  <c r="K288" i="1" s="1"/>
  <c r="I288" i="1"/>
  <c r="J287" i="1"/>
  <c r="K287" i="1" s="1"/>
  <c r="I287" i="1"/>
  <c r="J286" i="1"/>
  <c r="K286" i="1" s="1"/>
  <c r="I286" i="1"/>
  <c r="J285" i="1"/>
  <c r="K285" i="1" s="1"/>
  <c r="I285" i="1"/>
  <c r="I284" i="1"/>
  <c r="J283" i="1"/>
  <c r="K283" i="1" s="1"/>
  <c r="I283" i="1"/>
  <c r="J282" i="1"/>
  <c r="K282" i="1" s="1"/>
  <c r="I282" i="1"/>
  <c r="J281" i="1"/>
  <c r="K281" i="1" s="1"/>
  <c r="I281" i="1"/>
  <c r="J280" i="1"/>
  <c r="K280" i="1" s="1"/>
  <c r="I280" i="1"/>
  <c r="J279" i="1"/>
  <c r="K279" i="1" s="1"/>
  <c r="I279" i="1"/>
  <c r="O278" i="1"/>
  <c r="J278" i="1"/>
  <c r="K278" i="1" s="1"/>
  <c r="I278" i="1"/>
  <c r="J274" i="1"/>
  <c r="K274" i="1" s="1"/>
  <c r="I274" i="1"/>
  <c r="J273" i="1"/>
  <c r="K273" i="1" s="1"/>
  <c r="I273" i="1"/>
  <c r="J272" i="1"/>
  <c r="I272" i="1"/>
  <c r="J271" i="1"/>
  <c r="K271" i="1" s="1"/>
  <c r="I271" i="1"/>
  <c r="J270" i="1"/>
  <c r="K270" i="1" s="1"/>
  <c r="I270" i="1"/>
  <c r="J269" i="1"/>
  <c r="K269" i="1" s="1"/>
  <c r="I269" i="1"/>
  <c r="J268" i="1"/>
  <c r="K268" i="1" s="1"/>
  <c r="I268" i="1"/>
  <c r="J267" i="1"/>
  <c r="K267" i="1" s="1"/>
  <c r="I267" i="1"/>
  <c r="O266" i="1"/>
  <c r="J266" i="1"/>
  <c r="K266" i="1" s="1"/>
  <c r="I266" i="1"/>
  <c r="J265" i="1"/>
  <c r="I265" i="1"/>
  <c r="J259" i="1"/>
  <c r="K259" i="1" s="1"/>
  <c r="I259" i="1"/>
  <c r="J258" i="1"/>
  <c r="K258" i="1" s="1"/>
  <c r="I258" i="1"/>
  <c r="J257" i="1"/>
  <c r="K257" i="1" s="1"/>
  <c r="I257" i="1"/>
  <c r="J256" i="1"/>
  <c r="K256" i="1" s="1"/>
  <c r="I256" i="1"/>
  <c r="J255" i="1"/>
  <c r="K255" i="1" s="1"/>
  <c r="I255" i="1"/>
  <c r="J253" i="1"/>
  <c r="K253" i="1" s="1"/>
  <c r="I253" i="1"/>
  <c r="J252" i="1"/>
  <c r="K252" i="1" s="1"/>
  <c r="I252" i="1"/>
  <c r="J251" i="1"/>
  <c r="K251" i="1" s="1"/>
  <c r="I251" i="1"/>
  <c r="J249" i="1"/>
  <c r="K249" i="1" s="1"/>
  <c r="I249" i="1"/>
  <c r="J248" i="1"/>
  <c r="K248" i="1" s="1"/>
  <c r="I248" i="1"/>
  <c r="J247" i="1"/>
  <c r="K247" i="1" s="1"/>
  <c r="I247" i="1"/>
  <c r="J244" i="1"/>
  <c r="K244" i="1" s="1"/>
  <c r="I244" i="1"/>
  <c r="J243" i="1"/>
  <c r="K243" i="1" s="1"/>
  <c r="I243" i="1"/>
  <c r="J242" i="1"/>
  <c r="K242" i="1" s="1"/>
  <c r="I242" i="1"/>
  <c r="J241" i="1"/>
  <c r="K241" i="1" s="1"/>
  <c r="I241" i="1"/>
  <c r="O240" i="1"/>
  <c r="J239" i="1"/>
  <c r="K239" i="1" s="1"/>
  <c r="I239" i="1"/>
  <c r="J238" i="1"/>
  <c r="K238" i="1" s="1"/>
  <c r="I238" i="1"/>
  <c r="J237" i="1"/>
  <c r="K237" i="1" s="1"/>
  <c r="I237" i="1"/>
  <c r="J234" i="1"/>
  <c r="K234" i="1" s="1"/>
  <c r="I234" i="1"/>
  <c r="J233" i="1"/>
  <c r="K233" i="1" s="1"/>
  <c r="I233" i="1"/>
  <c r="J232" i="1"/>
  <c r="K232" i="1" s="1"/>
  <c r="I232" i="1"/>
  <c r="J229" i="1"/>
  <c r="K229" i="1" s="1"/>
  <c r="I229" i="1"/>
  <c r="J228" i="1"/>
  <c r="K228" i="1" s="1"/>
  <c r="I228" i="1"/>
  <c r="J227" i="1"/>
  <c r="K227" i="1" s="1"/>
  <c r="I227" i="1"/>
  <c r="J226" i="1"/>
  <c r="K226" i="1" s="1"/>
  <c r="I226" i="1"/>
  <c r="J225" i="1"/>
  <c r="K225" i="1" s="1"/>
  <c r="I225" i="1"/>
  <c r="K224" i="1"/>
  <c r="J223" i="1"/>
  <c r="K223" i="1" s="1"/>
  <c r="I223" i="1"/>
  <c r="O222" i="1"/>
  <c r="J222" i="1"/>
  <c r="K222" i="1" s="1"/>
  <c r="I222" i="1"/>
  <c r="O221" i="1"/>
  <c r="J221" i="1"/>
  <c r="K221" i="1" s="1"/>
  <c r="I221" i="1"/>
  <c r="J217" i="1"/>
  <c r="K217" i="1" s="1"/>
  <c r="I217" i="1"/>
  <c r="J216" i="1"/>
  <c r="K216" i="1" s="1"/>
  <c r="I216" i="1"/>
  <c r="J215" i="1"/>
  <c r="K215" i="1" s="1"/>
  <c r="I215" i="1"/>
  <c r="O213" i="1"/>
  <c r="J212" i="1"/>
  <c r="K212" i="1" s="1"/>
  <c r="I212" i="1"/>
  <c r="O211" i="1"/>
  <c r="J211" i="1"/>
  <c r="K211" i="1" s="1"/>
  <c r="I211" i="1"/>
  <c r="J210" i="1"/>
  <c r="K210" i="1" s="1"/>
  <c r="I210" i="1"/>
  <c r="J207" i="1"/>
  <c r="K207" i="1" s="1"/>
  <c r="I207" i="1"/>
  <c r="J206" i="1"/>
  <c r="K206" i="1" s="1"/>
  <c r="I206" i="1"/>
  <c r="J205" i="1"/>
  <c r="K205" i="1" s="1"/>
  <c r="I205" i="1"/>
  <c r="O203" i="1"/>
  <c r="J202" i="1"/>
  <c r="K202" i="1" s="1"/>
  <c r="I202" i="1"/>
  <c r="J201" i="1"/>
  <c r="K201" i="1" s="1"/>
  <c r="I201" i="1"/>
  <c r="J200" i="1"/>
  <c r="K200" i="1" s="1"/>
  <c r="I200" i="1"/>
  <c r="J199" i="1"/>
  <c r="K199" i="1" s="1"/>
  <c r="I199" i="1"/>
  <c r="J198" i="1"/>
  <c r="K198" i="1" s="1"/>
  <c r="I198" i="1"/>
  <c r="J197" i="1"/>
  <c r="J194" i="1"/>
  <c r="K194" i="1" s="1"/>
  <c r="I194" i="1"/>
  <c r="J193" i="1"/>
  <c r="K193" i="1" s="1"/>
  <c r="I193" i="1"/>
  <c r="K192" i="1"/>
  <c r="I192" i="1"/>
  <c r="O188" i="1"/>
  <c r="K188" i="1"/>
  <c r="J186" i="1"/>
  <c r="I186" i="1"/>
  <c r="J181" i="1"/>
  <c r="K181" i="1" s="1"/>
  <c r="I181" i="1"/>
  <c r="J180" i="1"/>
  <c r="K180" i="1" s="1"/>
  <c r="I180" i="1"/>
  <c r="J179" i="1"/>
  <c r="K179" i="1" s="1"/>
  <c r="I179" i="1"/>
  <c r="J177" i="1"/>
  <c r="K177" i="1" s="1"/>
  <c r="I177" i="1"/>
  <c r="J176" i="1"/>
  <c r="K176" i="1" s="1"/>
  <c r="I176" i="1"/>
  <c r="O174" i="1"/>
  <c r="J174" i="1"/>
  <c r="K174" i="1" s="1"/>
  <c r="I174" i="1"/>
  <c r="O172" i="1"/>
  <c r="K172" i="1"/>
  <c r="J172" i="1"/>
  <c r="I172" i="1"/>
  <c r="K170" i="1"/>
  <c r="J170" i="1"/>
  <c r="I170" i="1"/>
  <c r="K168" i="1"/>
  <c r="J168" i="1"/>
  <c r="I168" i="1"/>
  <c r="J166" i="1"/>
  <c r="K166" i="1" s="1"/>
  <c r="I166" i="1"/>
  <c r="J165" i="1"/>
  <c r="K165" i="1" s="1"/>
  <c r="I165" i="1"/>
  <c r="J163" i="1"/>
  <c r="K163" i="1" s="1"/>
  <c r="I163" i="1"/>
  <c r="J162" i="1"/>
  <c r="K162" i="1" s="1"/>
  <c r="I162" i="1"/>
  <c r="J161" i="1"/>
  <c r="I161" i="1"/>
  <c r="O156" i="1"/>
  <c r="J156" i="1"/>
  <c r="K156" i="1" s="1"/>
  <c r="I156" i="1"/>
  <c r="J155" i="1"/>
  <c r="K155" i="1" s="1"/>
  <c r="I155" i="1"/>
  <c r="J154" i="1"/>
  <c r="K154" i="1" s="1"/>
  <c r="I154" i="1"/>
  <c r="J153" i="1"/>
  <c r="K153" i="1" s="1"/>
  <c r="I153" i="1"/>
  <c r="O152" i="1"/>
  <c r="J152" i="1"/>
  <c r="K152" i="1" s="1"/>
  <c r="I152" i="1"/>
  <c r="O151" i="1"/>
  <c r="J151" i="1"/>
  <c r="K151" i="1" s="1"/>
  <c r="I151" i="1"/>
  <c r="J150" i="1"/>
  <c r="K150" i="1" s="1"/>
  <c r="I150" i="1"/>
  <c r="I149" i="1"/>
  <c r="O148" i="1"/>
  <c r="J148" i="1"/>
  <c r="K148" i="1" s="1"/>
  <c r="I148" i="1"/>
  <c r="O146" i="1"/>
  <c r="O144" i="1"/>
  <c r="K144" i="1"/>
  <c r="O143" i="1"/>
  <c r="J143" i="1"/>
  <c r="K143" i="1" s="1"/>
  <c r="I143" i="1"/>
  <c r="J142" i="1"/>
  <c r="K142" i="1" s="1"/>
  <c r="I142" i="1"/>
  <c r="K141" i="1"/>
  <c r="I141" i="1"/>
  <c r="J140" i="1"/>
  <c r="K140" i="1" s="1"/>
  <c r="I140" i="1"/>
  <c r="O137" i="1"/>
  <c r="K137" i="1"/>
  <c r="J137" i="1"/>
  <c r="I137" i="1"/>
  <c r="J135" i="1"/>
  <c r="K135" i="1" s="1"/>
  <c r="I135" i="1"/>
  <c r="J134" i="1"/>
  <c r="K134" i="1" s="1"/>
  <c r="I134" i="1"/>
  <c r="J127" i="1"/>
  <c r="K127" i="1" s="1"/>
  <c r="I127" i="1"/>
  <c r="O125" i="1"/>
  <c r="O124" i="1"/>
  <c r="O123" i="1"/>
  <c r="J122" i="1"/>
  <c r="K122" i="1" s="1"/>
  <c r="I122" i="1"/>
  <c r="J121" i="1"/>
  <c r="K121" i="1" s="1"/>
  <c r="I121" i="1"/>
  <c r="J119" i="1"/>
  <c r="K119" i="1" s="1"/>
  <c r="I119" i="1"/>
  <c r="J118" i="1"/>
  <c r="K118" i="1" s="1"/>
  <c r="I118" i="1"/>
  <c r="Q117" i="1"/>
  <c r="O117" i="1"/>
  <c r="J117" i="1"/>
  <c r="K117" i="1" s="1"/>
  <c r="I117" i="1"/>
  <c r="J116" i="1"/>
  <c r="K116" i="1" s="1"/>
  <c r="I116" i="1"/>
  <c r="O115" i="1"/>
  <c r="J113" i="1"/>
  <c r="K113" i="1" s="1"/>
  <c r="I113" i="1"/>
  <c r="J112" i="1"/>
  <c r="K112" i="1" s="1"/>
  <c r="I112" i="1"/>
  <c r="K111" i="1"/>
  <c r="I111" i="1"/>
  <c r="K110" i="1"/>
  <c r="I110" i="1"/>
  <c r="K109" i="1"/>
  <c r="I109" i="1"/>
  <c r="J107" i="1"/>
  <c r="K107" i="1" s="1"/>
  <c r="I107" i="1"/>
  <c r="J106" i="1"/>
  <c r="K106" i="1" s="1"/>
  <c r="I106" i="1"/>
  <c r="J105" i="1"/>
  <c r="K105" i="1" s="1"/>
  <c r="I105" i="1"/>
  <c r="J103" i="1"/>
  <c r="K103" i="1" s="1"/>
  <c r="I103" i="1"/>
  <c r="J102" i="1"/>
  <c r="K102" i="1" s="1"/>
  <c r="I102" i="1"/>
  <c r="J101" i="1"/>
  <c r="K101" i="1" s="1"/>
  <c r="I101" i="1"/>
  <c r="O99" i="1"/>
  <c r="O98" i="1"/>
  <c r="J98" i="1"/>
  <c r="K98" i="1" s="1"/>
  <c r="I98" i="1"/>
  <c r="O96" i="1"/>
  <c r="O95" i="1"/>
  <c r="J95" i="1"/>
  <c r="K95" i="1" s="1"/>
  <c r="I95" i="1"/>
  <c r="J94" i="1"/>
  <c r="K94" i="1" s="1"/>
  <c r="I94" i="1"/>
  <c r="J93" i="1"/>
  <c r="K93" i="1" s="1"/>
  <c r="I93" i="1"/>
  <c r="J92" i="1"/>
  <c r="K92" i="1" s="1"/>
  <c r="I92" i="1"/>
  <c r="J91" i="1"/>
  <c r="K91" i="1" s="1"/>
  <c r="I91" i="1"/>
  <c r="J90" i="1"/>
  <c r="K90" i="1" s="1"/>
  <c r="I90" i="1"/>
  <c r="K88" i="1"/>
  <c r="J87" i="1"/>
  <c r="K87" i="1" s="1"/>
  <c r="I87" i="1"/>
  <c r="J86" i="1"/>
  <c r="K86" i="1" s="1"/>
  <c r="I86" i="1"/>
  <c r="J85" i="1"/>
  <c r="K85" i="1" s="1"/>
  <c r="I85" i="1"/>
  <c r="J82" i="1"/>
  <c r="K82" i="1" s="1"/>
  <c r="I82" i="1"/>
  <c r="J81" i="1"/>
  <c r="K81" i="1" s="1"/>
  <c r="J78" i="1"/>
  <c r="K78" i="1" s="1"/>
  <c r="I78" i="1"/>
  <c r="O77" i="1"/>
  <c r="J77" i="1"/>
  <c r="K77" i="1" s="1"/>
  <c r="I77" i="1"/>
  <c r="O76" i="1"/>
  <c r="J76" i="1"/>
  <c r="K76" i="1" s="1"/>
  <c r="I76" i="1"/>
  <c r="O75" i="1"/>
  <c r="J75" i="1"/>
  <c r="K75" i="1" s="1"/>
  <c r="O64" i="1"/>
  <c r="O61" i="1"/>
  <c r="O60" i="1"/>
  <c r="O57" i="1"/>
  <c r="O56" i="1"/>
  <c r="O55" i="1"/>
  <c r="O52" i="1"/>
  <c r="H28" i="1"/>
  <c r="K531" i="1" l="1"/>
  <c r="L36" i="1" s="1"/>
  <c r="J311" i="1"/>
  <c r="M32" i="1" s="1"/>
  <c r="K260" i="1"/>
  <c r="L31" i="1" s="1"/>
  <c r="J260" i="1"/>
  <c r="M31" i="1" s="1"/>
  <c r="K182" i="1"/>
  <c r="L30" i="1" s="1"/>
  <c r="J497" i="1"/>
  <c r="M35" i="1" s="1"/>
  <c r="J421" i="1"/>
  <c r="M34" i="1" s="1"/>
  <c r="J531" i="1"/>
  <c r="M36" i="1" s="1"/>
  <c r="I531" i="1"/>
  <c r="H36" i="1" s="1"/>
  <c r="I497" i="1"/>
  <c r="H35" i="1" s="1"/>
  <c r="I421" i="1"/>
  <c r="H34" i="1" s="1"/>
  <c r="I364" i="1"/>
  <c r="H33" i="1" s="1"/>
  <c r="I311" i="1"/>
  <c r="H32" i="1" s="1"/>
  <c r="I260" i="1"/>
  <c r="H31" i="1" s="1"/>
  <c r="I182" i="1"/>
  <c r="H30" i="1" s="1"/>
  <c r="J128" i="1"/>
  <c r="M29" i="1" s="1"/>
  <c r="I128" i="1"/>
  <c r="H29" i="1" s="1"/>
  <c r="K364" i="1"/>
  <c r="L33" i="1" s="1"/>
  <c r="K128" i="1"/>
  <c r="L29" i="1" s="1"/>
  <c r="K421" i="1"/>
  <c r="L34" i="1" s="1"/>
  <c r="K497" i="1"/>
  <c r="L35" i="1" s="1"/>
  <c r="J182" i="1"/>
  <c r="M30" i="1" s="1"/>
  <c r="J364" i="1"/>
  <c r="M33" i="1" s="1"/>
  <c r="K265" i="1"/>
  <c r="K311" i="1" s="1"/>
  <c r="L32" i="1" s="1"/>
  <c r="L37" i="1" l="1"/>
  <c r="H37" i="1"/>
  <c r="M6" i="1" s="1"/>
  <c r="M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Laptop</author>
    <author>Leigha Dickens</author>
  </authors>
  <commentList>
    <comment ref="C46" authorId="0" shapeId="0" xr:uid="{00000000-0006-0000-0000-000001000000}">
      <text>
        <r>
          <rPr>
            <sz val="11"/>
            <color rgb="FF000000"/>
            <rFont val="Calibri"/>
            <family val="2"/>
          </rPr>
          <t xml:space="preserve">All homes must meet this minimum requirement as approved by the RESNET Certified Rater and their provider agreement.  Sample testing may be allowed (using RESNET sampling protocol).
</t>
        </r>
      </text>
    </comment>
    <comment ref="C47" authorId="0" shapeId="0" xr:uid="{00000000-0006-0000-0000-000002000000}">
      <text>
        <r>
          <rPr>
            <sz val="11"/>
            <color rgb="FF000000"/>
            <rFont val="Calibri"/>
            <family val="2"/>
          </rPr>
          <t xml:space="preserve">Meeting guidelines set forth by ENERGY STAR is acceptable
</t>
        </r>
      </text>
    </comment>
    <comment ref="C48" authorId="0" shapeId="0" xr:uid="{00000000-0006-0000-0000-000003000000}">
      <text>
        <r>
          <rPr>
            <sz val="11"/>
            <color rgb="FF000000"/>
            <rFont val="Calibri"/>
            <family val="2"/>
          </rPr>
          <t xml:space="preserve">-- Design calculations shall reflect the actual home built including outdoor design temperatures,  orientation, number of bedrooms, conditioned floor area, window area, fenestration and insulation values, ventilation, presence of MERV6 or better filter, and indoor temperature set points = 70°F for heating; 75°F for cooling.  Infiltration value should be set to Average or tighter OR actual conditions
-- Other acceptable methods of calculation include ASHRAE 2009 Book of Fundamentals
-- Multi-speed or multi-stage equipment use Manual S Guidelines reference in Energy Star HVAC Design Report
-- The equipment oversizing limit should be based on the largest capacity of the unit.
-Responsibility Party includes HVAC contractor, Engineer or HERS Rater.  Contact the program administrator for exceptions.
</t>
        </r>
      </text>
    </comment>
    <comment ref="C52" authorId="1" shapeId="0" xr:uid="{00000000-0006-0000-0000-000004000000}">
      <text>
        <r>
          <rPr>
            <b/>
            <sz val="9"/>
            <color indexed="81"/>
            <rFont val="Tahoma"/>
            <family val="2"/>
          </rPr>
          <t>Systems should be tested where possible.  Un-tested systems to be at least 20% oversized</t>
        </r>
        <r>
          <rPr>
            <sz val="9"/>
            <color indexed="81"/>
            <rFont val="Tahoma"/>
            <family val="2"/>
          </rPr>
          <t xml:space="preserve">
</t>
        </r>
      </text>
    </comment>
    <comment ref="C61" authorId="0" shapeId="0" xr:uid="{00000000-0006-0000-0000-000005000000}">
      <text>
        <r>
          <rPr>
            <sz val="11"/>
            <color rgb="FF000000"/>
            <rFont val="Calibri"/>
            <family val="2"/>
          </rPr>
          <t xml:space="preserve">A 3 or 4 in. diameter gas-tight vertical vent pipe, clearly labeled, shall be connected to an open T-fitting in the aggregate layer (or connected to geotextile drainage matting according to the manufacturer’s instructions) beneath the polyethylene sheeting, extending up through the conditioned spaces and terminating a minimum of 12 in. above the roof opening. For crawlspaces, install at least 5 ft. of horizontal perforated drain tile on either side of the T-fitting, attached to the vertical radon vent pipe beneath the sheeting and running parallel to the long dimension of the house.
Exemption: Homes on vented crawls can also perform a passive test.  Homes that are fully on stilts are exempt from the testing requirement.
 </t>
        </r>
      </text>
    </comment>
    <comment ref="C64" authorId="0" shapeId="0" xr:uid="{00000000-0006-0000-0000-000006000000}">
      <text>
        <r>
          <rPr>
            <sz val="11"/>
            <color rgb="FF000000"/>
            <rFont val="Calibri"/>
            <family val="2"/>
          </rPr>
          <t>In jurisdictions where erosion control site plans are required, this is automatically met.
The plan should indicate and include, as applicable: areas where topsoil will be removed, where contours of slopes will be cleared or reshaped, the location and types of erosion control measures, the stormwater and sediment management systems, and a vegetative plan for temporary and permanent soil stabilization</t>
        </r>
      </text>
    </comment>
    <comment ref="C67" authorId="0" shapeId="0" xr:uid="{00000000-0006-0000-0000-000007000000}">
      <text>
        <r>
          <rPr>
            <sz val="11"/>
            <color rgb="FF000000"/>
            <rFont val="Calibri"/>
            <family val="2"/>
          </rPr>
          <t>A home that does not meet all requirements in items b-d may provide an estimate and system design by a Licensed Installer. Such designs may include future ground mounted systems or sytems on east/west facing roofs--but in all cases such systems must be sufficient to achieve a projected HERS 15 or less.
Combi meters are allowed instead of item d if the home is projected to need less than 6kW to achieve HERS 15 or less.</t>
        </r>
      </text>
    </comment>
    <comment ref="F81" authorId="0" shapeId="0" xr:uid="{00000000-0006-0000-0000-000008000000}">
      <text>
        <r>
          <rPr>
            <sz val="11"/>
            <color rgb="FF000000"/>
            <rFont val="Calibri"/>
            <family val="2"/>
          </rPr>
          <t>Cannot be taken in conjunction with Site Opportunity #1</t>
        </r>
      </text>
    </comment>
    <comment ref="F87" authorId="0" shapeId="0" xr:uid="{00000000-0006-0000-0000-000009000000}">
      <text>
        <r>
          <rPr>
            <sz val="11"/>
            <color rgb="FF000000"/>
            <rFont val="Calibri"/>
            <family val="2"/>
          </rPr>
          <t xml:space="preserve">Identify areas to be preserved and develop a strategy for avoiding mechanical and chemical damage, grade changes, trenching, filling, and compaction. An arborist (sometimes available through the local planning department) can help you decide which trees can be saved and can work with the builder to protect the trees throughout each construction phase. It is important to involve a knowledgeable professional during this planning phase to ensure actual survival of trees but not required. The end result should be a document (written or graphic) that can be physically posted on the job site. The Tree Preservation Plan shall be reviewed with subcontractors and posted on the job site at the beginning of the project. 
</t>
        </r>
      </text>
    </comment>
    <comment ref="F90" authorId="0" shapeId="0" xr:uid="{00000000-0006-0000-0000-00000A000000}">
      <text>
        <r>
          <rPr>
            <sz val="11"/>
            <color rgb="FF000000"/>
            <rFont val="Calibri"/>
            <family val="2"/>
          </rPr>
          <t xml:space="preserve">Can be applied to a lot or an entire development
</t>
        </r>
      </text>
    </comment>
    <comment ref="F98" authorId="0" shapeId="0" xr:uid="{00000000-0006-0000-0000-00000B000000}">
      <text>
        <r>
          <rPr>
            <sz val="11"/>
            <color rgb="FF000000"/>
            <rFont val="Calibri"/>
            <family val="2"/>
          </rPr>
          <t>PRIME FARMLAND:
1. visit https://websoilsurvey.nrcs.usda.gov/app/WebSoilSurvey.aspx
2. Enter address under the "Area of Interest" tab at the top and then “Quick Navigation” on left menu.  Use the zoom tool if needed.
3. Select the "AOI rectangle" from the tools menu at the top of the map and draw a rectangle around the project area
4. Select the “Soil Data Explorer” tab at the top
5  On the left menu, click on “Land Classifications,” then “Farmland Classification.” Select “View Rating” to see a list of all soils types on the site. Under the map is a key explaining the symbols.
 6. Confirm that none of the soils are prime farmland.  Record the data or take a screen shot if needed.
Floodplain:
1. Visit https://msc.fema.gov/portal/home
2. Enter address
3. Select "Dynamic Firmette"
4. Record the date or take a screen shot if needed.</t>
        </r>
      </text>
    </comment>
    <comment ref="F113" authorId="0" shapeId="0" xr:uid="{00000000-0006-0000-0000-00000C000000}">
      <text>
        <r>
          <rPr>
            <sz val="11"/>
            <color rgb="FF000000"/>
            <rFont val="Calibri"/>
            <family val="2"/>
          </rPr>
          <t>Reference local municipality for current affordable and workforce housing guidelines.
For homes in Buncombe County,
Maximum Sales price:
Single Family Site Built: $220,000  Multifamily Unit: $175,000</t>
        </r>
      </text>
    </comment>
    <comment ref="F120" authorId="0" shapeId="0" xr:uid="{00000000-0006-0000-0000-00000D000000}">
      <text>
        <r>
          <rPr>
            <sz val="11"/>
            <color rgb="FF000000"/>
            <rFont val="Calibri"/>
            <family val="2"/>
          </rPr>
          <t xml:space="preserve">The food garden must have solar access 
For multi-family buildings or multi-home developments with shared space, the food garden must comprise at least:
15 square feet per unit for one point, 30 square feet per unit for two points
</t>
        </r>
      </text>
    </comment>
    <comment ref="F134" authorId="2" shapeId="0" xr:uid="{C24ABA4E-CCB3-4D6C-9918-C669CA87188A}">
      <text>
        <r>
          <rPr>
            <b/>
            <sz val="9"/>
            <color indexed="81"/>
            <rFont val="Tahoma"/>
            <family val="2"/>
          </rPr>
          <t>Leigha Dickens:</t>
        </r>
        <r>
          <rPr>
            <sz val="9"/>
            <color indexed="81"/>
            <rFont val="Tahoma"/>
            <family val="2"/>
          </rPr>
          <t xml:space="preserve">
The HERSH2O program by RESNET currently has limited adoption.  The WERS tool is used often in the desert southwest, and in Florida.  
For purposes of this credit the predicted water use only has to be calculated.</t>
        </r>
      </text>
    </comment>
    <comment ref="F137" authorId="0" shapeId="0" xr:uid="{00000000-0006-0000-0000-00000E000000}">
      <text>
        <r>
          <rPr>
            <sz val="11"/>
            <color rgb="FF000000"/>
            <rFont val="Calibri"/>
            <family val="2"/>
          </rPr>
          <t xml:space="preserve">No Mow Grass mixes must be approved on a case by case basis.
</t>
        </r>
      </text>
    </comment>
    <comment ref="F152" authorId="1" shapeId="0" xr:uid="{00000000-0006-0000-0000-00000F000000}">
      <text>
        <r>
          <rPr>
            <sz val="11"/>
            <color indexed="81"/>
            <rFont val="Calibri"/>
            <family val="2"/>
            <scheme val="minor"/>
          </rPr>
          <t xml:space="preserve">site must be designed to handle the water </t>
        </r>
        <r>
          <rPr>
            <sz val="9"/>
            <color indexed="81"/>
            <rFont val="Tahoma"/>
            <family val="2"/>
          </rPr>
          <t xml:space="preserve">
</t>
        </r>
      </text>
    </comment>
    <comment ref="D195" authorId="0" shapeId="0" xr:uid="{00000000-0006-0000-0000-000010000000}">
      <text>
        <r>
          <rPr>
            <sz val="11"/>
            <color rgb="FF000000"/>
            <rFont val="Calibri"/>
            <family val="2"/>
          </rPr>
          <t>Note: if a home has only ONE foundation type AND qualifies for points in this section, an equal amount of points are automatically awarded as innovation points</t>
        </r>
      </text>
    </comment>
    <comment ref="F210" authorId="0" shapeId="0" xr:uid="{00000000-0006-0000-0000-000011000000}">
      <text>
        <r>
          <rPr>
            <sz val="11"/>
            <color rgb="FF000000"/>
            <rFont val="Calibri"/>
            <family val="2"/>
          </rPr>
          <t>or R-13 cavity insulation</t>
        </r>
      </text>
    </comment>
    <comment ref="F211" authorId="0" shapeId="0" xr:uid="{00000000-0006-0000-0000-000012000000}">
      <text>
        <r>
          <rPr>
            <sz val="11"/>
            <color rgb="FF000000"/>
            <rFont val="Calibri"/>
            <family val="2"/>
          </rPr>
          <t>or R-15 cavity insulation</t>
        </r>
      </text>
    </comment>
    <comment ref="F220" authorId="0" shapeId="0" xr:uid="{00000000-0006-0000-0000-000013000000}">
      <text>
        <r>
          <rPr>
            <sz val="11"/>
            <color rgb="FF000000"/>
            <rFont val="Calibri"/>
            <family val="2"/>
          </rPr>
          <t>90% of wall area must meet the R value</t>
        </r>
      </text>
    </comment>
    <comment ref="F238" authorId="0" shapeId="0" xr:uid="{00000000-0006-0000-0000-000014000000}">
      <text>
        <r>
          <rPr>
            <sz val="11"/>
            <color rgb="FF000000"/>
            <rFont val="Calibri"/>
            <family val="2"/>
          </rPr>
          <t xml:space="preserve">Must be installed in the attic, facing into open space
</t>
        </r>
      </text>
    </comment>
    <comment ref="M245" authorId="0" shapeId="0" xr:uid="{00000000-0006-0000-0000-000015000000}">
      <text>
        <r>
          <rPr>
            <sz val="11"/>
            <color rgb="FF000000"/>
            <rFont val="Calibri"/>
            <family val="2"/>
          </rPr>
          <t>what about an air barrier requirement here in addition/instead of just an R-value requirement, for the point?
	-Leigha Dickens</t>
        </r>
      </text>
    </comment>
    <comment ref="F250" authorId="0" shapeId="0" xr:uid="{00000000-0006-0000-0000-000016000000}">
      <text>
        <r>
          <rPr>
            <sz val="11"/>
            <color rgb="FF000000"/>
            <rFont val="Calibri"/>
            <family val="2"/>
          </rPr>
          <t xml:space="preserve">Passive Solar Homes with high SHGC windows on the south side are eligible for these points if they meet the criteria on all other sides of the home and have proper shading/overhangs on all south facing windows
</t>
        </r>
      </text>
    </comment>
    <comment ref="F254" authorId="0" shapeId="0" xr:uid="{00000000-0006-0000-0000-000017000000}">
      <text>
        <r>
          <rPr>
            <sz val="11"/>
            <color rgb="FF000000"/>
            <rFont val="Calibri"/>
            <family val="2"/>
          </rPr>
          <t>Homes with hot water recirculation systems are not eligible for credit unless they are on-demand.</t>
        </r>
      </text>
    </comment>
    <comment ref="F255" authorId="0" shapeId="0" xr:uid="{00000000-0006-0000-0000-000018000000}">
      <text>
        <r>
          <rPr>
            <sz val="11"/>
            <color rgb="FF000000"/>
            <rFont val="Calibri"/>
            <family val="2"/>
          </rPr>
          <t xml:space="preserve">Pipes located in exterior walls and floors are considered to be in the unconditioned space
</t>
        </r>
      </text>
    </comment>
    <comment ref="F267" authorId="0" shapeId="0" xr:uid="{00000000-0006-0000-0000-000019000000}">
      <text>
        <r>
          <rPr>
            <sz val="11"/>
            <color rgb="FF000000"/>
            <rFont val="Calibri"/>
            <family val="2"/>
          </rPr>
          <t>- Mountain Region: 1'-8", Piedmont Region- 2'-0", Coastal: Region: 2'-4"  
- May include gutter as part of the overhang; long dimension of home faces within 15 degrees East or West of solar south</t>
        </r>
      </text>
    </comment>
    <comment ref="F285" authorId="0" shapeId="0" xr:uid="{00000000-0006-0000-0000-00001A000000}">
      <text>
        <r>
          <rPr>
            <sz val="11"/>
            <color rgb="FF000000"/>
            <rFont val="Calibri"/>
            <family val="2"/>
          </rPr>
          <t>Provide 1 sq. in. of free area opening per 1 CFM of supply air</t>
        </r>
      </text>
    </comment>
    <comment ref="F287" authorId="0" shapeId="0" xr:uid="{00000000-0006-0000-0000-00001B000000}">
      <text>
        <r>
          <rPr>
            <sz val="11"/>
            <color rgb="FF000000"/>
            <rFont val="Calibri"/>
            <family val="2"/>
          </rPr>
          <t xml:space="preserve">On High Speed, with respect to the main body of the home when all bedroom doors are closed and all air handlers are operating.
</t>
        </r>
      </text>
    </comment>
    <comment ref="G292" authorId="2" shapeId="0" xr:uid="{3D8A0C3E-52B9-4319-859E-EC06DF952CED}">
      <text>
        <r>
          <rPr>
            <b/>
            <sz val="9"/>
            <color indexed="81"/>
            <rFont val="Tahoma"/>
            <family val="2"/>
          </rPr>
          <t>Leigha Dickens:</t>
        </r>
        <r>
          <rPr>
            <sz val="9"/>
            <color indexed="81"/>
            <rFont val="Tahoma"/>
            <family val="2"/>
          </rPr>
          <t xml:space="preserve">
mini splits AND conventionally ducted systems are both eligible for the remaining points in this section </t>
        </r>
      </text>
    </comment>
    <comment ref="F332" authorId="0" shapeId="0" xr:uid="{00000000-0006-0000-0000-00001C000000}">
      <text>
        <r>
          <rPr>
            <sz val="11"/>
            <color rgb="FF000000"/>
            <rFont val="Calibri"/>
            <family val="2"/>
          </rPr>
          <t>Compact Design Systems must meet all of the following, or meet DOE ZERH requirements:
1) No branch line from the water heater to any fixture may exceed 20 feet in one story homes. Add 1x the ceiling height for 2 story homes and 2x the ceiling height in three or four story homes.
Central Manifold Systems must meet all of the following, or meet DOE ZER requirements::
1) The central manifold trunk must be no more than 6 feet in length and insulated to at least R-4
2) No branch line from the central manifold to any fixtures may exceed 20 feet in one story homes, add 1x the ceiling height for 2 story homes and 2x the ceiling height in three or four story homes.
3) Branch lines from the manifold must be a maximum of 1/2 inch nominal diameter
Structured Plumbing Systems must meet all of the following, or meet DOE ZER requirements::
1) The system must have a demand controlled circulation loop, that insulated to at least R-4
2) The total length of the circulation loop must be less than 40 linear feet of plumbing in one story homes, 2x the ceiling height for 2 story homes, add 4x the ceiling height in 3 or 4 story homes
3) Branch lines from the loop to each fixture must be less than or equal to 10 feet long and no more than 1/2 inch nominal diameter
4) The system must be designed with a push button control or occupancy sensor in each full bathroom and the kitchen with an automatic pump shut-off
Reference: LEED for Homes v 2008 Reference Guide</t>
        </r>
      </text>
    </comment>
    <comment ref="G345" authorId="0" shapeId="0" xr:uid="{00000000-0006-0000-0000-00001D000000}">
      <text>
        <r>
          <rPr>
            <sz val="11"/>
            <color rgb="FF000000"/>
            <rFont val="Calibri"/>
            <family val="2"/>
          </rPr>
          <t xml:space="preserve">Eligible appliances include: 
Refrigerator
Dishwasher
Oven
Laundry
3 smaller appliances = 1 credit:
   TV, Computer, Stereo etc. </t>
        </r>
      </text>
    </comment>
    <comment ref="F346" authorId="0" shapeId="0" xr:uid="{00000000-0006-0000-0000-00001E000000}">
      <text>
        <r>
          <rPr>
            <sz val="11"/>
            <color rgb="FF000000"/>
            <rFont val="Calibri"/>
            <family val="2"/>
          </rPr>
          <t>Whole house lighting off switch would also qualify</t>
        </r>
      </text>
    </comment>
    <comment ref="F347" authorId="0" shapeId="0" xr:uid="{00000000-0006-0000-0000-00001F000000}">
      <text>
        <r>
          <rPr>
            <sz val="11"/>
            <color rgb="FF000000"/>
            <rFont val="Calibri"/>
            <family val="2"/>
          </rPr>
          <t>Must be installed on breaker to allow homeowners to monitor energy usage of appliances in real-time</t>
        </r>
      </text>
    </comment>
    <comment ref="F350" authorId="2" shapeId="0" xr:uid="{756881F9-2FBD-4017-8131-C8CA65870D8B}">
      <text>
        <r>
          <rPr>
            <b/>
            <sz val="9"/>
            <color indexed="81"/>
            <rFont val="Tahoma"/>
            <family val="2"/>
          </rPr>
          <t>Leigha Dickens:</t>
        </r>
        <r>
          <rPr>
            <sz val="9"/>
            <color indexed="81"/>
            <rFont val="Tahoma"/>
            <family val="2"/>
          </rPr>
          <t xml:space="preserve">
A combi meter is allowed in leui of a) if the projected system size to get to HERS 15 is 6KW or smaller. </t>
        </r>
      </text>
    </comment>
    <comment ref="F375" authorId="1" shapeId="0" xr:uid="{00000000-0006-0000-0000-000020000000}">
      <text>
        <r>
          <rPr>
            <sz val="11"/>
            <color indexed="81"/>
            <rFont val="Calibri"/>
            <family val="2"/>
            <scheme val="minor"/>
          </rPr>
          <t xml:space="preserve">Thoroughly clean and vacuum ducts after final construction stages and replace filters if in use during the construction phase
</t>
        </r>
      </text>
    </comment>
    <comment ref="F381" authorId="0" shapeId="0" xr:uid="{00000000-0006-0000-0000-000021000000}">
      <text>
        <r>
          <rPr>
            <sz val="11"/>
            <color rgb="FF000000"/>
            <rFont val="Calibri"/>
            <family val="2"/>
          </rPr>
          <t xml:space="preserve">A Distributed Ventilation system is either exhaust from every bathroom OR supply to every bedroom and main living space.  
An ERV that supplies air into the HVAC return is considered distributed if there is a return in every bedroom. 
NOTE: While fan-interlocked ERVS may also take this credit, this strategy is not recommended due to the energy penalty, and the HERS model must include the central air handler fan wattage as part of the ventilation energy use.  </t>
        </r>
      </text>
    </comment>
    <comment ref="F382" authorId="0" shapeId="0" xr:uid="{00000000-0006-0000-0000-000022000000}">
      <text>
        <r>
          <rPr>
            <sz val="11"/>
            <color rgb="FF000000"/>
            <rFont val="Calibri"/>
            <family val="2"/>
          </rPr>
          <t xml:space="preserve">A Balanced Ventilation System must have both supply and exhaust, measured to be within 20% of each other
</t>
        </r>
      </text>
    </comment>
    <comment ref="F393" authorId="0" shapeId="0" xr:uid="{00000000-0006-0000-0000-000023000000}">
      <text>
        <r>
          <rPr>
            <sz val="11"/>
            <color rgb="FF000000"/>
            <rFont val="Calibri"/>
            <family val="2"/>
          </rPr>
          <t>Dehumidification system must have the capacity and design such that at least 90% of below grade area will maintain an interior relative humidity at or below 50% at 75 degrees Fahrenheit</t>
        </r>
      </text>
    </comment>
    <comment ref="F394" authorId="0" shapeId="0" xr:uid="{00000000-0006-0000-0000-000024000000}">
      <text>
        <r>
          <rPr>
            <sz val="11"/>
            <color rgb="FF000000"/>
            <rFont val="Calibri"/>
            <family val="2"/>
          </rPr>
          <t xml:space="preserve">Dehumidification system shall be installed to remove moisture from at least 90% of conditioned areas and be designed to maintain interior relative humidity at or below 50% at 75 degrees Fahrenheit.
</t>
        </r>
      </text>
    </comment>
    <comment ref="F395" authorId="0" shapeId="0" xr:uid="{00000000-0006-0000-0000-000025000000}">
      <text>
        <r>
          <rPr>
            <sz val="11"/>
            <color rgb="FF000000"/>
            <rFont val="Calibri"/>
            <family val="2"/>
          </rPr>
          <t>Homes with wood burning fireplaces can still get this credit if there is no other combustion equipment in the home.</t>
        </r>
      </text>
    </comment>
    <comment ref="F401" authorId="0" shapeId="0" xr:uid="{00000000-0006-0000-0000-000026000000}">
      <text>
        <r>
          <rPr>
            <sz val="11"/>
            <color rgb="FF000000"/>
            <rFont val="Calibri"/>
            <family val="2"/>
          </rPr>
          <t xml:space="preserve">90% of component must meet the criteria to receive credit. 
Each material must meet one of the following to receive the credit:
KCMA
CRI Green Label Plus
Green Seal 
CARB 2
CA Section 01350 
GREENGUARD
SCS Indoor Advantage
Low toxic alternatives to conventional products considered "Living Building Challenge Compliant" Qualify
Note: If the product doesn't meet any of the above, you may submit it for approval by the program on a case by case basis.  </t>
        </r>
      </text>
    </comment>
    <comment ref="F417" authorId="0" shapeId="0" xr:uid="{00000000-0006-0000-0000-000027000000}">
      <text>
        <r>
          <rPr>
            <sz val="11"/>
            <color rgb="FF000000"/>
            <rFont val="Calibri"/>
            <family val="2"/>
          </rPr>
          <t>HDPE or Copper piping are PVC free and eligible for credit</t>
        </r>
      </text>
    </comment>
    <comment ref="F418" authorId="0" shapeId="0" xr:uid="{00000000-0006-0000-0000-000028000000}">
      <text>
        <r>
          <rPr>
            <sz val="11"/>
            <color rgb="FF000000"/>
            <rFont val="Calibri"/>
            <family val="2"/>
          </rPr>
          <t>MgO or Air Renew drywall qualify</t>
        </r>
      </text>
    </comment>
    <comment ref="F419" authorId="0" shapeId="0" xr:uid="{00000000-0006-0000-0000-000029000000}">
      <text>
        <r>
          <rPr>
            <sz val="11"/>
            <color rgb="FF000000"/>
            <rFont val="Calibri"/>
            <family val="2"/>
          </rPr>
          <t xml:space="preserve">-For 48 total hours with windows open and run a fan and/or HVAC Fans and Exhaust fans continuously at max setting.  48 Hours can be non-consecutive.
</t>
        </r>
      </text>
    </comment>
    <comment ref="F428" authorId="0" shapeId="0" xr:uid="{00000000-0006-0000-0000-00002A000000}">
      <text>
        <r>
          <rPr>
            <sz val="11"/>
            <color rgb="FF000000"/>
            <rFont val="Calibri"/>
            <family val="2"/>
          </rPr>
          <t xml:space="preserve">Locate the cutting area for cutting lumber and wood panel products in one area.  Store cutoffs and panel pieces with other similar sized cuttings for ease of use when small pieces are needed.  The goal is to use leftover pieces in lieu of full sized lumber when appropriate.
</t>
        </r>
      </text>
    </comment>
    <comment ref="F429" authorId="0" shapeId="0" xr:uid="{00000000-0006-0000-0000-00002B000000}">
      <text>
        <r>
          <rPr>
            <sz val="11"/>
            <color rgb="FF000000"/>
            <rFont val="Calibri"/>
            <family val="2"/>
          </rPr>
          <t xml:space="preserve">Locate the cutting area for cutting lumber and wood panel products in one area.  Store cutoffs and panel pieces with other similar sized cuttings for ease of use when small pieces are needed.  The goal is to use leftover pieces in lieu of full sized lumber when appropriate.
</t>
        </r>
      </text>
    </comment>
    <comment ref="F430" authorId="0" shapeId="0" xr:uid="{00000000-0006-0000-0000-00002C000000}">
      <text>
        <r>
          <rPr>
            <sz val="11"/>
            <color rgb="FF000000"/>
            <rFont val="Calibri"/>
            <family val="2"/>
          </rPr>
          <t>Cannot be taken in conjunction with #6</t>
        </r>
      </text>
    </comment>
    <comment ref="F436" authorId="0" shapeId="0" xr:uid="{00000000-0006-0000-0000-00002D000000}">
      <text>
        <r>
          <rPr>
            <sz val="11"/>
            <color rgb="FF000000"/>
            <rFont val="Calibri"/>
            <family val="2"/>
          </rPr>
          <t>Examples: 
vinyl, carpet, asphalt, concrete</t>
        </r>
      </text>
    </comment>
    <comment ref="F437" authorId="0" shapeId="0" xr:uid="{00000000-0006-0000-0000-00002E000000}">
      <text>
        <r>
          <rPr>
            <sz val="11"/>
            <color rgb="FF000000"/>
            <rFont val="Calibri"/>
            <family val="2"/>
          </rPr>
          <t>Cannot be taken in conjunction with #5</t>
        </r>
      </text>
    </comment>
    <comment ref="F442" authorId="0" shapeId="0" xr:uid="{00000000-0006-0000-0000-00002F000000}">
      <text>
        <r>
          <rPr>
            <sz val="11"/>
            <color rgb="FF000000"/>
            <rFont val="Calibri"/>
            <family val="2"/>
          </rPr>
          <t xml:space="preserve">A capillary break shall be installed between a concrete foundation wall and the sill plate. The capillary break should be a sill gasket, EPDM-type rubber, or other suitable membrane that can prevent bulk moisture from reaching the framing by way of capillary action.
Decks are excluded from this requirement.
</t>
        </r>
      </text>
    </comment>
    <comment ref="F444" authorId="0" shapeId="0" xr:uid="{00000000-0006-0000-0000-000030000000}">
      <text>
        <r>
          <rPr>
            <sz val="11"/>
            <color rgb="FF000000"/>
            <rFont val="Calibri"/>
            <family val="2"/>
          </rPr>
          <t xml:space="preserve">All below grade walls shall be damp-proofed and feature a drainage plane material on the exterior of the wall that channels water down to the drain tile. Drainage plane materials include special drainage mats, high-density fiberglass insulation products, and washed gravel. 
</t>
        </r>
      </text>
    </comment>
    <comment ref="F445" authorId="0" shapeId="0" xr:uid="{00000000-0006-0000-0000-000031000000}">
      <text>
        <r>
          <rPr>
            <sz val="11"/>
            <color rgb="FF000000"/>
            <rFont val="Calibri"/>
            <family val="2"/>
          </rPr>
          <t xml:space="preserve">A continuous foundation drain, flush with the bottom of the footing and covered with silt
protection fabric, gravel, or both, shall be installed. All footing drain lines shall be connected away and downhill from the foundation. 
</t>
        </r>
      </text>
    </comment>
    <comment ref="F446" authorId="0" shapeId="0" xr:uid="{00000000-0006-0000-0000-000032000000}">
      <text>
        <r>
          <rPr>
            <sz val="11"/>
            <color rgb="FF000000"/>
            <rFont val="Calibri"/>
            <family val="2"/>
          </rPr>
          <t xml:space="preserve">Install drip edge below flashing.  Metal drip edge supports shingles which extend beyond the fascia, particularly over gutters.  As with all roofing components, care should be taken to install metal drip edge using storm resistance techniques recommended for the local wind zone.
</t>
        </r>
      </text>
    </comment>
    <comment ref="F449" authorId="0" shapeId="0" xr:uid="{00000000-0006-0000-0000-000033000000}">
      <text>
        <r>
          <rPr>
            <sz val="11"/>
            <color rgb="FF000000"/>
            <rFont val="Calibri"/>
            <family val="2"/>
          </rPr>
          <t xml:space="preserve">Overhang must provide a projection factor of at least 0.375. The Projection Factor is the ratio of the overhang depth (A)  to the overhang height (B) above the door threshold.
</t>
        </r>
      </text>
    </comment>
    <comment ref="F458" authorId="0" shapeId="0" xr:uid="{00000000-0006-0000-0000-000034000000}">
      <text>
        <r>
          <rPr>
            <sz val="11"/>
            <color rgb="FF000000"/>
            <rFont val="Calibri"/>
            <family val="2"/>
          </rPr>
          <t xml:space="preserve">All cut or unprimed sides of painted or stained exterior trim shall be primed prior to installation.  Pre-primed product does not need to be re-primed, as long as no cut has been made.  This includes the ends, the top and bottom edges and the front and back face.  Separate incompatible trim products as required by manufacturer for corrosion resistance.
</t>
        </r>
      </text>
    </comment>
    <comment ref="F460" authorId="0" shapeId="0" xr:uid="{00000000-0006-0000-0000-000035000000}">
      <text>
        <r>
          <rPr>
            <sz val="11"/>
            <color rgb="FF000000"/>
            <rFont val="Calibri"/>
            <family val="2"/>
          </rPr>
          <t>Exception: Dryer Vents</t>
        </r>
      </text>
    </comment>
    <comment ref="F461" authorId="0" shapeId="0" xr:uid="{00000000-0006-0000-0000-000036000000}">
      <text>
        <r>
          <rPr>
            <sz val="11"/>
            <color rgb="FF000000"/>
            <rFont val="Calibri"/>
            <family val="2"/>
          </rPr>
          <t>Excludes all decking and porches but all decking and porch wood should be separated from concrete by metal or plastic fasteners or dividers</t>
        </r>
      </text>
    </comment>
    <comment ref="F462" authorId="0" shapeId="0" xr:uid="{00000000-0006-0000-0000-000037000000}">
      <text>
        <r>
          <rPr>
            <sz val="11"/>
            <color rgb="FF000000"/>
            <rFont val="Calibri"/>
            <family val="2"/>
          </rPr>
          <t>House has to have been landscaped to receive this credit.  Homes with no landscaping to not automatically qualify</t>
        </r>
      </text>
    </comment>
    <comment ref="F464" authorId="0" shapeId="0" xr:uid="{00000000-0006-0000-0000-000038000000}">
      <text>
        <r>
          <rPr>
            <sz val="11"/>
            <color rgb="FF000000"/>
            <rFont val="Calibri"/>
            <family val="2"/>
          </rPr>
          <t>Unless otherwise specified:
A material must make up 90% of the component
Local Production=extracted, processed and manufactured within 500 miles of the home
Recycled Content=25% Post-Consumer or 50% Pre-Consumer
Third Party Certified Wood= FSC</t>
        </r>
      </text>
    </comment>
    <comment ref="F465" authorId="0" shapeId="0" xr:uid="{00000000-0006-0000-0000-000039000000}">
      <text>
        <r>
          <rPr>
            <sz val="11"/>
            <color rgb="FF000000"/>
            <rFont val="Calibri"/>
            <family val="2"/>
          </rPr>
          <t>Points only available if concrete is 25% or greater fly ash (Points are available for Locally Manufactured under "flooring" ("n" or "o") below if the concrete is the finished floor material)</t>
        </r>
      </text>
    </comment>
    <comment ref="F485" authorId="0" shapeId="0" xr:uid="{00000000-0006-0000-0000-00003A000000}">
      <text>
        <r>
          <rPr>
            <sz val="11"/>
            <color rgb="FF000000"/>
            <rFont val="Calibri"/>
            <family val="2"/>
          </rPr>
          <t xml:space="preserve">The bathroom door must be at least 34" wide and bathroom must be large enough to accommodate a wheelchair turning radius.  Use broad blocking (sheet goods) rated for moisture installations in walls around the toilet, tub, and shower for custom placement and relocation of grab bars.  Inform the homeowner of the location of sheet good blocking for future accessory installation. 
</t>
        </r>
      </text>
    </comment>
    <comment ref="F487" authorId="0" shapeId="0" xr:uid="{00000000-0006-0000-0000-00003B000000}">
      <text>
        <r>
          <rPr>
            <sz val="11"/>
            <color rgb="FF000000"/>
            <rFont val="Calibri"/>
            <family val="2"/>
          </rPr>
          <t xml:space="preserve">Pantries with height adjustable shelving can provide easily accessible storage space. They can be a walk-in unit or a reach-in unit with storage shelving on the doors. Shallow shelves keep items within easy reach. 
Retractable doors can be used to conceal knee space. Special hardware allows the door to be pushed back under the counter after opening. 
</t>
        </r>
      </text>
    </comment>
    <comment ref="F490" authorId="0" shapeId="0" xr:uid="{00000000-0006-0000-0000-00003C000000}">
      <text>
        <r>
          <rPr>
            <sz val="11"/>
            <color rgb="FF000000"/>
            <rFont val="Calibri"/>
            <family val="2"/>
          </rPr>
          <t xml:space="preserve">Adjustable closet systems, including adjustable shelves and rods, can put clothing within reach for people of all abilities, and make closets more handicap accessible. Install hooks at usable heights for hanging belts, scarves, and other accessories. Include roll-under space if needed for wheelchairs.
</t>
        </r>
      </text>
    </comment>
    <comment ref="F492" authorId="0" shapeId="0" xr:uid="{00000000-0006-0000-0000-00003D000000}">
      <text>
        <r>
          <rPr>
            <sz val="11"/>
            <color rgb="FF000000"/>
            <rFont val="Calibri"/>
            <family val="2"/>
          </rPr>
          <t xml:space="preserve">Lever handles and open-loop handles are designed for easy gripping. 
</t>
        </r>
      </text>
    </comment>
    <comment ref="F493" authorId="0" shapeId="0" xr:uid="{00000000-0006-0000-0000-00003E000000}">
      <text>
        <r>
          <rPr>
            <sz val="11"/>
            <color rgb="FF000000"/>
            <rFont val="Calibri"/>
            <family val="2"/>
          </rPr>
          <t xml:space="preserve">The top of the electrical panel should be no more than 54" above the floor, and located with a minimum of 30" x 40" clear floor space in front to allow for maneuverability and easy reach for those in wheelchairs.
</t>
        </r>
      </text>
    </comment>
    <comment ref="F509" authorId="0" shapeId="0" xr:uid="{00000000-0006-0000-0000-00003F000000}">
      <text>
        <r>
          <rPr>
            <sz val="11"/>
            <color rgb="FF000000"/>
            <rFont val="Calibri"/>
            <family val="2"/>
          </rPr>
          <t xml:space="preserve">Kitchen recycling centers are modified kitchen cabinets or other systems that neatly conceal recycling bins.
</t>
        </r>
      </text>
    </comment>
    <comment ref="F513" authorId="0" shapeId="0" xr:uid="{00000000-0006-0000-0000-000040000000}">
      <text>
        <r>
          <rPr>
            <sz val="11"/>
            <color rgb="FF000000"/>
            <rFont val="Calibri"/>
            <family val="2"/>
          </rPr>
          <t xml:space="preserve">Biophilic design attempts to create  connections between humans and nature.  Provide a narrative describing each element included in the home and how it achieves this goal. </t>
        </r>
      </text>
    </comment>
    <comment ref="F520" authorId="0" shapeId="0" xr:uid="{00000000-0006-0000-0000-000041000000}">
      <text>
        <r>
          <rPr>
            <sz val="11"/>
            <color rgb="FF000000"/>
            <rFont val="Calibri"/>
            <family val="2"/>
          </rPr>
          <t xml:space="preserve">Contact the GBH Program Manager for access to logos, brochures and yard signs
</t>
        </r>
      </text>
    </comment>
    <comment ref="F525" authorId="0" shapeId="0" xr:uid="{00000000-0006-0000-0000-000042000000}">
      <text>
        <r>
          <rPr>
            <sz val="11"/>
            <color rgb="FF000000"/>
            <rFont val="Calibri"/>
            <family val="2"/>
          </rPr>
          <t xml:space="preserve">Online articles may be acceptable on a case by case basis.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Leigha Dickens</author>
    <author/>
  </authors>
  <commentList>
    <comment ref="D1" authorId="0" shapeId="0" xr:uid="{300FA682-6DA2-47EE-8BD6-7ABB1652CB5E}">
      <text>
        <r>
          <rPr>
            <b/>
            <sz val="9"/>
            <color indexed="81"/>
            <rFont val="Tahoma"/>
            <family val="2"/>
          </rPr>
          <t>Leigha Dickens:</t>
        </r>
        <r>
          <rPr>
            <sz val="9"/>
            <color indexed="81"/>
            <rFont val="Tahoma"/>
            <family val="2"/>
          </rPr>
          <t xml:space="preserve">
Certified Regenerative homes must meet the specific credits below from the larger GBH3 checklist.  Projects must achieve at least 21 out of the 23 total requirements (can miss 2 of them and still certify as Regenerative.)  </t>
        </r>
      </text>
    </comment>
    <comment ref="D3" authorId="1" shapeId="0" xr:uid="{00000000-0006-0000-0100-000001000000}">
      <text>
        <r>
          <rPr>
            <sz val="11"/>
            <color rgb="FF000000"/>
            <rFont val="Calibri"/>
            <family val="2"/>
          </rPr>
          <t>PRIME FARMLAND:
1. visit https://websoilsurvey.nrcs.usda.gov/app/WebSoilSurvey.aspx
2. Enter address under the "Area of Interest" tab at the top and then “Quick Navigation” on left menu.  Use the zoom tool if needed.
3. Select the "AOI rectangle" from the tools menu at the top of the map and draw a rectangle around the project area
4. Select the “Soil Data Explorer” tab at the top
5  On the left menu, click on “Land Classifications,” then “Farmland Classification.” Select “View Rating” to see a list of all soils types on the site. Under the map is a key explaining the symbols.
 6. Confirm that none of the soils are prime farmland.  Record the data or take a screen shot if needed.
Floodplain:
1. Visit https://msc.fema.gov/portal/home
2. Enter address
3. Select "Dynamic Firmette"
4. Record the date or take a screen shot if needed.</t>
        </r>
      </text>
    </comment>
    <comment ref="D5" authorId="1" shapeId="0" xr:uid="{00000000-0006-0000-0100-000002000000}">
      <text>
        <r>
          <rPr>
            <sz val="11"/>
            <color rgb="FF000000"/>
            <rFont val="Calibri"/>
            <family val="2"/>
          </rPr>
          <t>In jurisdictions where erosion control site plans are required, this is automatically met.
The plan should indicate and include, as applicable: areas where topsoil will be removed, where contours of slopes will be cleared or reshaped, the location and types of erosion control measures, the stormwater and sediment management systems, and a vegetative plan for temporary and permanent soil stabilization</t>
        </r>
      </text>
    </comment>
    <comment ref="D9" authorId="1" shapeId="0" xr:uid="{00000000-0006-0000-0100-000003000000}">
      <text>
        <r>
          <rPr>
            <sz val="11"/>
            <color rgb="FF000000"/>
            <rFont val="Calibri"/>
            <family val="2"/>
          </rPr>
          <t xml:space="preserve">Identify areas to be preserved and develop a strategy for avoiding mechanical and chemical damage, grade changes, trenching, filling, and compaction. An arborist (sometimes available through the local planning department) can help you decide which trees can be saved and can work with the builder to protect the trees throughout each construction phase. It is important to involve a knowledgeable professional during this planning phase to ensure actual survival of trees but not required. The end result should be a document (written or graphic) that can be physically posted on the job site. The Tree Preservation Plan shall be reviewed with subcontractors and posted on the job site at the beginning of the project.
Lots without trees are exempt from tree protection requirements.
</t>
        </r>
      </text>
    </comment>
    <comment ref="D12" authorId="1" shapeId="0" xr:uid="{00000000-0006-0000-0100-000004000000}">
      <text>
        <r>
          <rPr>
            <sz val="11"/>
            <color rgb="FF000000"/>
            <rFont val="Calibri"/>
            <family val="2"/>
          </rPr>
          <t xml:space="preserve">define agricultural use
The food garden must have solar access 
For multi-family buildings or multi-home developments with shared space, the food garden must comprise at least:
15 square feet per unit for one point, 30 square feet per unit for two points
</t>
        </r>
      </text>
    </comment>
    <comment ref="D22" authorId="1" shapeId="0" xr:uid="{00000000-0006-0000-0100-000005000000}">
      <text>
        <r>
          <rPr>
            <sz val="11"/>
            <color rgb="FF000000"/>
            <rFont val="Calibri"/>
            <family val="2"/>
          </rPr>
          <t xml:space="preserve">Investigate and document local options for recycling  and waste diversion
</t>
        </r>
      </text>
    </comment>
    <comment ref="D24" authorId="1" shapeId="0" xr:uid="{00000000-0006-0000-0100-000006000000}">
      <text>
        <r>
          <rPr>
            <sz val="11"/>
            <color rgb="FF000000"/>
            <rFont val="Calibri"/>
            <family val="2"/>
          </rPr>
          <t>Unless otherwise specified:
A material must make up 90% of the component
Local Production=extracted, processed and manufactured within 500 miles of the home
Recycled Content=25% Post-Consumer or 50% Pre-Consumer</t>
        </r>
      </text>
    </comment>
    <comment ref="D25" authorId="1" shapeId="0" xr:uid="{00000000-0006-0000-0100-000007000000}">
      <text>
        <r>
          <rPr>
            <sz val="11"/>
            <color rgb="FF000000"/>
            <rFont val="Calibri"/>
            <family val="2"/>
          </rPr>
          <t xml:space="preserve">Biophilic design attempts to create  connections between humans and nature.  Provide a narrative describing each element included in the home and how it achieves this goal. </t>
        </r>
      </text>
    </comment>
    <comment ref="D28" authorId="1" shapeId="0" xr:uid="{00000000-0006-0000-0100-000008000000}">
      <text>
        <r>
          <rPr>
            <sz val="11"/>
            <color rgb="FF000000"/>
            <rFont val="Calibri"/>
            <family val="2"/>
          </rPr>
          <t xml:space="preserve">Kitchen recycling centers are modified kitchen cabinets or other systems that neatly conceal recycling bins.
</t>
        </r>
      </text>
    </comment>
  </commentList>
</comments>
</file>

<file path=xl/sharedStrings.xml><?xml version="1.0" encoding="utf-8"?>
<sst xmlns="http://schemas.openxmlformats.org/spreadsheetml/2006/main" count="1425" uniqueCount="794">
  <si>
    <t>P</t>
  </si>
  <si>
    <t>N</t>
  </si>
  <si>
    <t>Comments</t>
  </si>
  <si>
    <t>visionary-restorative-nexgen-emerald-reslilient-beyond-better-positive-plus-living</t>
  </si>
  <si>
    <t>Home meets Green Built certification standards</t>
  </si>
  <si>
    <t xml:space="preserve">Builder Name/Company:  </t>
  </si>
  <si>
    <t>Do not build on any of the following:
 a. land within 100 ft. of any water body (including wetlands)
 b. At or below the 100 year floodplain elevation
 c. Prime farmland</t>
  </si>
  <si>
    <t xml:space="preserve">Project Address: </t>
  </si>
  <si>
    <t>Score …………….</t>
  </si>
  <si>
    <t>Full Name/Company of each individual taking responsibility for specific checklist items:</t>
  </si>
  <si>
    <t>All topsoil should be preserved and covered for reuse.</t>
  </si>
  <si>
    <t xml:space="preserve">80% of stumps and limbs ground for mulch, 80% of cleared logs milled </t>
  </si>
  <si>
    <t>No "Rank 1" invasive species introduced into the landscape.  Existing invasives should be removed within a 50 foot radius of the home.</t>
  </si>
  <si>
    <t>List of Invasive Species</t>
  </si>
  <si>
    <t>NC DENR Guidelines for Stormwater</t>
  </si>
  <si>
    <t>Calculate your Walk Score</t>
  </si>
  <si>
    <t xml:space="preserve">Landscaping techniques that utilize drought resistant, perennial native, pollinator-friendly and/or edible plants installed in 100% of landscaped area.  </t>
  </si>
  <si>
    <t>NCSU Raingarden Info</t>
  </si>
  <si>
    <t>USE OF THIS CHECKLIST</t>
  </si>
  <si>
    <t xml:space="preserve">Food production  &gt;100 sq ft dedicated to agriculture and designated composting area </t>
  </si>
  <si>
    <t>A</t>
  </si>
  <si>
    <t>B</t>
  </si>
  <si>
    <t>C</t>
  </si>
  <si>
    <t xml:space="preserve">Calculate the outdoor water needs of the project using the Water Sense outdoor calculator </t>
  </si>
  <si>
    <t>DOCUMENTATION REQUIRED TO RECEIVE CREDIT FOR CHECKLIST ITEMS</t>
  </si>
  <si>
    <t>1.</t>
  </si>
  <si>
    <t>Basic Information</t>
  </si>
  <si>
    <t xml:space="preserve">Rainwater catchment system designed and installed to capture enough rainwater to provide 100% of outdoor and indoor water needs and plumbed for non-potable indoor use.  Graywater system should be considered to reduce demand. </t>
  </si>
  <si>
    <t>a.</t>
  </si>
  <si>
    <t>b.</t>
  </si>
  <si>
    <t>All documentation should be provided in electronic format unless approved by Green Built staff.</t>
  </si>
  <si>
    <t>2.</t>
  </si>
  <si>
    <t>Specific Types of Documentation - Descriptions</t>
  </si>
  <si>
    <t>Energy Star Guidelines</t>
  </si>
  <si>
    <t>3.</t>
  </si>
  <si>
    <t>4.</t>
  </si>
  <si>
    <t>5.</t>
  </si>
  <si>
    <t>PROJECT SCORE CARD</t>
  </si>
  <si>
    <t>House complies with all construction specifications of the EPA Indoor airPLUS Program</t>
  </si>
  <si>
    <t>EPA Indoor airPlus</t>
  </si>
  <si>
    <t>Construction Waste Management Guide</t>
  </si>
  <si>
    <t>At least 10 components must have one of the following environmental attributes:
Rapidly Renewable, Recycled Content, Third Party Certified, Locally Produced, Salvaged, 50+ year warranty, Engineered, Non-toxic, Low Embodied Energy</t>
  </si>
  <si>
    <t>Completed Items</t>
  </si>
  <si>
    <r>
      <rPr>
        <sz val="10"/>
        <rFont val="Calibri"/>
        <family val="2"/>
      </rPr>
      <t>Yes (</t>
    </r>
    <r>
      <rPr>
        <sz val="10"/>
        <rFont val="Calibri"/>
        <family val="2"/>
      </rPr>
      <t>"</t>
    </r>
    <r>
      <rPr>
        <sz val="10"/>
        <rFont val="Calibri"/>
        <family val="2"/>
      </rPr>
      <t>Y</t>
    </r>
    <r>
      <rPr>
        <sz val="10"/>
        <rFont val="Calibri"/>
        <family val="2"/>
      </rPr>
      <t>"</t>
    </r>
    <r>
      <rPr>
        <sz val="10"/>
        <rFont val="Calibri"/>
        <family val="2"/>
      </rPr>
      <t>) Items -</t>
    </r>
    <r>
      <rPr>
        <sz val="10"/>
        <rFont val="Calibri"/>
        <family val="2"/>
      </rPr>
      <t xml:space="preserve">
Does </t>
    </r>
    <r>
      <rPr>
        <sz val="10"/>
        <rFont val="Calibri"/>
        <family val="2"/>
      </rPr>
      <t>NOT</t>
    </r>
    <r>
      <rPr>
        <sz val="10"/>
        <rFont val="Calibri"/>
        <family val="2"/>
      </rPr>
      <t xml:space="preserve"> include </t>
    </r>
    <r>
      <rPr>
        <u/>
        <sz val="10"/>
        <rFont val="Calibri"/>
        <family val="2"/>
      </rPr>
      <t>Maybe</t>
    </r>
    <r>
      <rPr>
        <sz val="10"/>
        <rFont val="Calibri"/>
        <family val="2"/>
      </rPr>
      <t xml:space="preserve"> ("M") items</t>
    </r>
  </si>
  <si>
    <r>
      <t xml:space="preserve">Yes ("Y") Items - PLUS
 </t>
    </r>
    <r>
      <rPr>
        <u/>
        <sz val="10"/>
        <rFont val="Calibri"/>
        <family val="2"/>
      </rPr>
      <t>Maybe</t>
    </r>
    <r>
      <rPr>
        <sz val="10"/>
        <rFont val="Calibri"/>
        <family val="2"/>
      </rPr>
      <t xml:space="preserve"> ("M" ) Items</t>
    </r>
  </si>
  <si>
    <t>Prerequisites</t>
  </si>
  <si>
    <t>n/a</t>
  </si>
  <si>
    <t>Site (5 Pts Req.)</t>
  </si>
  <si>
    <t xml:space="preserve">Built-in kitchen recycling center </t>
  </si>
  <si>
    <t>Just Economics</t>
  </si>
  <si>
    <t>Water  (5 Pts Req.)</t>
  </si>
  <si>
    <t>Building Envelope (5 Pts Req.)</t>
  </si>
  <si>
    <t>Heating and Cooling  (5 Pts Req.)</t>
  </si>
  <si>
    <t>Appliances, Lighting and Renewables (3 Pts Req.)</t>
  </si>
  <si>
    <t>Materials (7 Pts Req.)</t>
  </si>
  <si>
    <t>Bonus (3 Pts Req.)</t>
  </si>
  <si>
    <t>Total Overall Score for Home</t>
  </si>
  <si>
    <t>Minimum total points needed to become a Green Built Home is 65</t>
  </si>
  <si>
    <t xml:space="preserve">Notes:  </t>
  </si>
  <si>
    <t>Enter "P" next to each Prerequisite that has "Passed" (Approved Raters Only)</t>
  </si>
  <si>
    <t>Points</t>
  </si>
  <si>
    <t>Documentation</t>
  </si>
  <si>
    <t xml:space="preserve">Notes / Dates / Initials    </t>
  </si>
  <si>
    <t>Comply with all federal, state and local government requirements including but not limited to: NC Building Code, NC Energy Code and local regulations.</t>
  </si>
  <si>
    <t xml:space="preserve">Required </t>
  </si>
  <si>
    <t>Copy of Certificate of Occupancy (CO);
Evidence of Permanent Power</t>
  </si>
  <si>
    <t>Energy Code Resources and Details from NC Energy Star</t>
  </si>
  <si>
    <t>ENERGY STAR Cert or NC HERO Code Compliance Report AND HERS Cert</t>
  </si>
  <si>
    <t>Blower door test results</t>
  </si>
  <si>
    <t>Explanation of a Blower door test</t>
  </si>
  <si>
    <t>Inspection and test results</t>
  </si>
  <si>
    <t>All space heating and cooling equipment sized according to ANSI/ACCA Manual J 8th edition, Room by Room Calculations, performed by a Responsible Party. The total cooling capacity of each cooling system must comply with Manual S or current ENERGY STAR oversizing guidelines</t>
  </si>
  <si>
    <t>Right Sized Heating and Cooling Equipment DOE Factsheet</t>
  </si>
  <si>
    <t>Inspection and rated flow</t>
  </si>
  <si>
    <t>NREL's Fact Sheet on Spot Ventilation</t>
  </si>
  <si>
    <t xml:space="preserve">Inspection and Signature </t>
  </si>
  <si>
    <t>Air in attached garage separated from conditioned air.
•  Provide air barrier between conditioned living space and garage; including weatherstripping at all penetrations, sealed drywall joints, and other measures as necessary. 
•  Air Handlers may not be installed in a garage.</t>
  </si>
  <si>
    <t>Inspection</t>
  </si>
  <si>
    <t xml:space="preserve">For homes with a domestic hot water recirculating loop, insulate loop piping to min. R-3 and install a pump control based on one of the following: temperature sensor, occupancy sensor, demand button.  Timers may not be used to meet the control requirement.  </t>
  </si>
  <si>
    <t xml:space="preserve">Install window and door flashings at all openings as recommended by the window/door manufacturer in conjunction with recommendations by the weather resistant barrier manufacturer. </t>
  </si>
  <si>
    <t>Inspection or Signature</t>
  </si>
  <si>
    <t>Inspection OR Copy of test results as applicable</t>
  </si>
  <si>
    <t>Develop and implement an erosion control site plan.  In jurisdictions where erosion control site plans are required, no additional plan required.</t>
  </si>
  <si>
    <t>Copy of plan, Inspection</t>
  </si>
  <si>
    <t>No "Rank 1" invasive species introduced into the landscape</t>
  </si>
  <si>
    <t xml:space="preserve"> + NET ZERO ENERGY CERTIFICATION ONLY: HERS 15 or lower </t>
  </si>
  <si>
    <t>Enter "Y" (for Yes) or "M" (for Maybe) in the appropriate column; items not attempted can be left blank</t>
  </si>
  <si>
    <t>Pts</t>
  </si>
  <si>
    <t>Score</t>
  </si>
  <si>
    <t xml:space="preserve">Documentation </t>
  </si>
  <si>
    <t xml:space="preserve">Notes / Dates / Initials   </t>
  </si>
  <si>
    <t>Y</t>
  </si>
  <si>
    <t>M</t>
  </si>
  <si>
    <t>Pass</t>
  </si>
  <si>
    <t>Y/M</t>
  </si>
  <si>
    <t>Site Disturbance</t>
  </si>
  <si>
    <t>Inspection, copy of calculations if applicable</t>
  </si>
  <si>
    <t>a</t>
  </si>
  <si>
    <t xml:space="preserve"> Install rain gardens, bio-retention basis and/or infiltration strips</t>
  </si>
  <si>
    <t>b</t>
  </si>
  <si>
    <t xml:space="preserve"> Use permeable materials for 50% of walkways and patios</t>
  </si>
  <si>
    <t>c</t>
  </si>
  <si>
    <t xml:space="preserve"> Use permeable materials for driveways (except for required curb cut)</t>
  </si>
  <si>
    <t>d</t>
  </si>
  <si>
    <t xml:space="preserve"> Vegetated roof system  (1 point per 20% roof area)</t>
  </si>
  <si>
    <t>enter points</t>
  </si>
  <si>
    <t>Inspection, copy of calculations</t>
  </si>
  <si>
    <t>Preserve and cover topsoil onsite for reuse</t>
  </si>
  <si>
    <t>Remove existing invasive plant species from the landscape</t>
  </si>
  <si>
    <t>Signature, list of species</t>
  </si>
  <si>
    <t>Develop and implement a tree preservation plan</t>
  </si>
  <si>
    <t>Inspection, Copy of Plan</t>
  </si>
  <si>
    <t>1-5</t>
  </si>
  <si>
    <t>Protecting Trees During Construction</t>
  </si>
  <si>
    <t xml:space="preserve">Leave &gt;25% of trees and natural features on site undisturbed during construction </t>
  </si>
  <si>
    <t xml:space="preserve">Inspection </t>
  </si>
  <si>
    <t>Tree planting (minimum 12 trees per acre of developed land)</t>
  </si>
  <si>
    <t>Inspection or Photo</t>
  </si>
  <si>
    <t>80% of stumps and limbs ground for mulch</t>
  </si>
  <si>
    <t xml:space="preserve">Signature </t>
  </si>
  <si>
    <t xml:space="preserve">80% of cleared logs milled </t>
  </si>
  <si>
    <t xml:space="preserve">Signature </t>
  </si>
  <si>
    <t>Biodiesel Benefits and Considerations</t>
  </si>
  <si>
    <t>B20 blend biodiesel used for diesel fueled construction equipment</t>
  </si>
  <si>
    <t>Signature and name of fuel provider</t>
  </si>
  <si>
    <t>Find a Biodiesel Station</t>
  </si>
  <si>
    <t>Site designated as part of a Firewise USA Community</t>
  </si>
  <si>
    <t>Copy of certificate</t>
  </si>
  <si>
    <t>Location</t>
  </si>
  <si>
    <t>Inspection, Floodplain Map, USDA Soil Survey Rating</t>
  </si>
  <si>
    <t>Home located close to business district. (Choose ONE):</t>
  </si>
  <si>
    <t>Inspection, Walk Score</t>
  </si>
  <si>
    <t xml:space="preserve">  Walk Score greater &gt; 30</t>
  </si>
  <si>
    <t xml:space="preserve">  Walk Score greater &gt; 50</t>
  </si>
  <si>
    <t xml:space="preserve">  Walk Score greater &gt; 70</t>
  </si>
  <si>
    <t>Inspection, map of lanes if requested</t>
  </si>
  <si>
    <t>Compact Development (Choose ONE):</t>
  </si>
  <si>
    <t>Inspection,
Other info on request</t>
  </si>
  <si>
    <t xml:space="preserve">  Build on site within 1/2 mile of existing water and sewer infrastructure</t>
  </si>
  <si>
    <t xml:space="preserve">  Build on infill site</t>
  </si>
  <si>
    <t>House meets local affordable or workforce housing guidelines</t>
  </si>
  <si>
    <t>Signature</t>
  </si>
  <si>
    <t>Buncombe County Workforce Housing</t>
  </si>
  <si>
    <t>Landscaping</t>
  </si>
  <si>
    <t>Landscaping techniques that utilize perennial native, pollinator-friendly and/or edible plants (Choose ONE):</t>
  </si>
  <si>
    <t>Signature, list of species on request</t>
  </si>
  <si>
    <t xml:space="preserve"> Design provided to be at least 50% of the landscaped area</t>
  </si>
  <si>
    <t xml:space="preserve">  Installed in at least 50% of the landscaped area</t>
  </si>
  <si>
    <t xml:space="preserve">  Installed in 100% of the landscaped area</t>
  </si>
  <si>
    <t>Edible Landscaping</t>
  </si>
  <si>
    <t>Inspection, Documents upon request</t>
  </si>
  <si>
    <t>Innovation Points - Builder submits specifications for innovative products or design (max. 7 innovation pts awarded per category)</t>
  </si>
  <si>
    <t>enter pts</t>
  </si>
  <si>
    <t>Subtotal for Site (5 Points Required)</t>
  </si>
  <si>
    <t>Notes / Dates / Initials</t>
  </si>
  <si>
    <t>Calculation</t>
  </si>
  <si>
    <t>Calculate the outdoor water needs of the project using the Water Sense water budget tool</t>
  </si>
  <si>
    <t>Outdoor</t>
  </si>
  <si>
    <t>1-10</t>
  </si>
  <si>
    <t>Percent Drought Resistant Landscape</t>
  </si>
  <si>
    <t>Rainwater harvesting (Choose ONE):</t>
  </si>
  <si>
    <t xml:space="preserve">  ≥ 50 gallons </t>
  </si>
  <si>
    <t xml:space="preserve">  ≥ 150 gallons</t>
  </si>
  <si>
    <t xml:space="preserve">  ≥ 500 gallons</t>
  </si>
  <si>
    <t xml:space="preserve">  ≥ 1500 gallons </t>
  </si>
  <si>
    <t>f</t>
  </si>
  <si>
    <t>Code approved system for indoor rainwater use (Choose ONE)</t>
  </si>
  <si>
    <t xml:space="preserve">  Pre-plumbed for toilet flushing</t>
  </si>
  <si>
    <t>e</t>
  </si>
  <si>
    <t xml:space="preserve">  100% of greywater captured, reused and/or treated onsite</t>
  </si>
  <si>
    <t>Irrigation system is zoned separately for turf and bedding areas</t>
  </si>
  <si>
    <t>Irrigation system includes a soil moisture or rain sensor, or other irrigation efficiency device</t>
  </si>
  <si>
    <t>Indoor</t>
  </si>
  <si>
    <t>Low flow lavatory faucets (Choose ONE):</t>
  </si>
  <si>
    <t xml:space="preserve">  WaterSense labeled or 1.5 gpm flow rate</t>
  </si>
  <si>
    <t xml:space="preserve"> &lt; 1.5 gpm flow rate</t>
  </si>
  <si>
    <t>Low flow showerheads (Choose ONE):</t>
  </si>
  <si>
    <t xml:space="preserve">  ≤ 2.0 gpm flow rate</t>
  </si>
  <si>
    <t xml:space="preserve">  ≤ 1.75 gpm flow rate</t>
  </si>
  <si>
    <t>High efficiency toilets (Up to 4 points):</t>
  </si>
  <si>
    <t>WaterSense labeled /1.28 gpf (1 pt per toilet, max. 2)</t>
  </si>
  <si>
    <t># of Toilets</t>
  </si>
  <si>
    <t>1-2</t>
  </si>
  <si>
    <t>Dual flush: 1.6/0.8 - 1.1 gpf (2 pts per toilet, max. 4)</t>
  </si>
  <si>
    <t xml:space="preserve"> # of Toilets</t>
  </si>
  <si>
    <t>2-4</t>
  </si>
  <si>
    <t>Toilets with UNAR MaP rating of 1000 grams per flush (1 pt per toilet, max. 2)</t>
  </si>
  <si>
    <t>Composting toilet installed</t>
  </si>
  <si>
    <t>Clothes washer is energy and water efficient (Choose ONE):</t>
  </si>
  <si>
    <t>List of ENERGY STAR Qualified Products</t>
  </si>
  <si>
    <t xml:space="preserve">  ENERGY STAR Labeled</t>
  </si>
  <si>
    <t xml:space="preserve">  ENERGY STAR Labeled with iMEF&gt;2.4  and iWF&lt;3.7</t>
  </si>
  <si>
    <t>Dishwasher is energy and water efficient (Choose ONE):</t>
  </si>
  <si>
    <t xml:space="preserve">  ENERGY STAR labeled</t>
  </si>
  <si>
    <t xml:space="preserve">  ENERGY STAR Labeled and uses ≤ 3.5 gallons/cycle</t>
  </si>
  <si>
    <t>Letter template</t>
  </si>
  <si>
    <t xml:space="preserve">Subtotal for Water (5 Points Required) </t>
  </si>
  <si>
    <t xml:space="preserve">Notes / Dates / Initials </t>
  </si>
  <si>
    <t xml:space="preserve">Home HERS Index ≤ 70   (1 to 35 points)
1 point is awarded for every 2 HERS points decrease in the HERS Index, beginning with 1 point for a HERS Index of 70. </t>
  </si>
  <si>
    <t>1-35</t>
  </si>
  <si>
    <t>Confirmed HERS Certificate</t>
  </si>
  <si>
    <t>What is the HERS Index? By RESNET</t>
  </si>
  <si>
    <t>Copy of Certificate from Rater</t>
  </si>
  <si>
    <t>Blower door test performed with following minimum standards met (Choose ONE):</t>
  </si>
  <si>
    <t xml:space="preserve">  Minimum standard of 0.20 CFM50/sf of surface area</t>
  </si>
  <si>
    <t xml:space="preserve">  Minimum standard of 0.15 CFM50/sf of surface area </t>
  </si>
  <si>
    <t xml:space="preserve">  Minimum standard of 0.10 CFM50/sf of surface area </t>
  </si>
  <si>
    <t>Foundation Systems - Limit TWO per home (homes with only one foundation type: see comment box)</t>
  </si>
  <si>
    <t xml:space="preserve">Slab on Grade </t>
  </si>
  <si>
    <t>Building America Slab Insulation Details</t>
  </si>
  <si>
    <t xml:space="preserve">  Zone3=R-5, Zone4/5=R-10</t>
  </si>
  <si>
    <t xml:space="preserve">  Zone3=R-10, Zone4/5=R-15</t>
  </si>
  <si>
    <t>Building Science Corp: Slab Insulation</t>
  </si>
  <si>
    <t xml:space="preserve">  Zone3=R-15, Zone4/5=R-20</t>
  </si>
  <si>
    <t>Insulation under entire slab (Zone3=R-5, Zone4/5=R-10)</t>
  </si>
  <si>
    <t>Code approved detail eliminating 2" termite view strip</t>
  </si>
  <si>
    <t>Basement with Insulated walls</t>
  </si>
  <si>
    <t xml:space="preserve">  R-11 continuous or R-15 cavity</t>
  </si>
  <si>
    <t xml:space="preserve">  R-15 continuous or R-19 cavity</t>
  </si>
  <si>
    <t>Rim joist insulated with spray foam or equivalent grade 1 installation with air barrier</t>
  </si>
  <si>
    <t>Crawlspace with Insulated walls</t>
  </si>
  <si>
    <t xml:space="preserve">  R-10 continuous</t>
  </si>
  <si>
    <t xml:space="preserve">  R-12 continuous</t>
  </si>
  <si>
    <t>Basement, Crawlspace, or Cantilevers with Floor Insulation</t>
  </si>
  <si>
    <t xml:space="preserve">  R-19 insulation with air barrier on all six sides (or spray foam)</t>
  </si>
  <si>
    <t>ENERGY STAR Insulation Fact Sheet</t>
  </si>
  <si>
    <t xml:space="preserve">  R-30 insulation in contact with subfloor above</t>
  </si>
  <si>
    <t xml:space="preserve">  R-30 insulation with air barrier on all six sides (or spray foam)</t>
  </si>
  <si>
    <t>Wall Systems - Limit ONE per home</t>
  </si>
  <si>
    <t>Wood Frame Wall Construction</t>
  </si>
  <si>
    <t>Wood Frame Wall Insulation (Choose ONE):</t>
  </si>
  <si>
    <t xml:space="preserve">  Wall insulation: Zone=R-19, Zone4=R-19, Zone5=R-21</t>
  </si>
  <si>
    <t xml:space="preserve">  Wall insulation: Zone3=R-21, Zone4=R-21, Zone5=R-23</t>
  </si>
  <si>
    <t>Continuous exterior rigid insulation (minimum R-5)</t>
  </si>
  <si>
    <t xml:space="preserve">  Insulated headers to &gt;R3</t>
  </si>
  <si>
    <t>Advanced Framing DOE Factsheet</t>
  </si>
  <si>
    <t xml:space="preserve">  Insulated headers to &gt;R9 </t>
  </si>
  <si>
    <t>Insulated corners</t>
  </si>
  <si>
    <t>Building Science Corp: Advanced Framing</t>
  </si>
  <si>
    <t>Insulated t-walls</t>
  </si>
  <si>
    <t>Exterior walls framed at 24" o.c.</t>
  </si>
  <si>
    <t>Alternative Wall Construction: SIPS, ICF, Other</t>
  </si>
  <si>
    <t>Continuous insulation (Choose ONE):</t>
  </si>
  <si>
    <t xml:space="preserve">  Zone3=R-13, Zone4=R-15, Zone5=R-19</t>
  </si>
  <si>
    <t xml:space="preserve">  Zone3=R-16, Zone4=R-18, Zone5=R-22</t>
  </si>
  <si>
    <t>Thermal bridging less than 5%</t>
  </si>
  <si>
    <t>Ceiling/Attic</t>
  </si>
  <si>
    <t>Building America: Unvented Attics</t>
  </si>
  <si>
    <t xml:space="preserve">  Unvented, encapsulated attic assembly</t>
  </si>
  <si>
    <t>Unvented Conditioned Attics DOE Factsheet</t>
  </si>
  <si>
    <t xml:space="preserve">  Radiant barrier installed facing into air space</t>
  </si>
  <si>
    <t>Radiant Barriers DOE Factsheet</t>
  </si>
  <si>
    <t xml:space="preserve">  Spray foam at roof deck: Zone3=R-22, Zone4/5=R-25</t>
  </si>
  <si>
    <t>ENERGY STAR shingles or reflective roofing</t>
  </si>
  <si>
    <t>Signature, Product Name</t>
  </si>
  <si>
    <t>ENERGY STAR Qualified Roof Products</t>
  </si>
  <si>
    <t>Windows, Doors, Piping, Electrical</t>
  </si>
  <si>
    <t>National Fenestration Rating Council</t>
  </si>
  <si>
    <t xml:space="preserve">  Average .32 or less</t>
  </si>
  <si>
    <t xml:space="preserve">  Average .25 or less</t>
  </si>
  <si>
    <t xml:space="preserve">  Average .22 or less</t>
  </si>
  <si>
    <t>All opaque exterior doors insulated to R-5 or greater</t>
  </si>
  <si>
    <t>Electrical panel located on interior wall OR with min. R-15 insulation to the outside of it</t>
  </si>
  <si>
    <t>Subtotal for Building Envelope (5 Points Required)</t>
  </si>
  <si>
    <t>Passive Solar Heating and Cooling Strategies</t>
  </si>
  <si>
    <t>Provide one ceiling fan per 750 sf of conditioned space (no more than 5 fans required)</t>
  </si>
  <si>
    <t>Home orientation allows solar heating (long dimension faces within 15 degrees East or West of solar south)</t>
  </si>
  <si>
    <t>Provide overhang, located between one and two feet above 90% of south facing windows</t>
  </si>
  <si>
    <t>Sus Design Overhang Calculator</t>
  </si>
  <si>
    <t>Implement exterior strategies to reduce heat gain and/or heat loss, such as exterior-mounted sunscreens, or operable awnings.  At minimum, implement on 90% of the southern and western facing windows</t>
  </si>
  <si>
    <t>Passive Solar Design by DOE</t>
  </si>
  <si>
    <t>Implement interior strategies to reduce heat gain and/or heat loss, such as insulated window coverings.  At minimum, implement on 90% of the southern and western facing windows</t>
  </si>
  <si>
    <t>East facing glazing less than 3% of total conditioned floor area (all glazing within 45 degrees north or south of east should be included in calculation)</t>
  </si>
  <si>
    <t>Inspection, Calculations</t>
  </si>
  <si>
    <t>West facing glazing less than 2% of total conditioned floor area  (all glazing within 45 degrees north or south of west should be included in calculation)</t>
  </si>
  <si>
    <t>South Facing Glazing (Choose ONE):</t>
  </si>
  <si>
    <t xml:space="preserve">  South facing glazing between 6-10% of total conditioned floor area.      Glazing must be within 15 degrees E. or W. of solar south and must have proper overhangs. </t>
  </si>
  <si>
    <t xml:space="preserve"> South facing glazing between 8-12% of total conditioned floor area. Glazing must be within 15 degrees E. or W. of solar south, must have proper overhangs, thermal mass and an SHGC &gt;.45  </t>
  </si>
  <si>
    <t xml:space="preserve"> Design and Installation</t>
  </si>
  <si>
    <t>Ducted systems</t>
  </si>
  <si>
    <t>Perform duct blaster test and meet the following minimum standards when measured in CFM / 25Pa of leakage (Choose ONE):</t>
  </si>
  <si>
    <t>Copy of duct leakage test results</t>
  </si>
  <si>
    <t xml:space="preserve">  Total Leakage of &lt; 4% of the home's heated square footage at final or      &lt; 2% at rough-in    </t>
  </si>
  <si>
    <t xml:space="preserve">  Total Leakage of &lt; 3% of the home's heated square footage at final or    &lt; 1% at rough-in</t>
  </si>
  <si>
    <t>Air handler located within thermal envelope (all units)</t>
  </si>
  <si>
    <t>DOE: Ducts in the Conditioned Space</t>
  </si>
  <si>
    <t>Signature, copy of calc</t>
  </si>
  <si>
    <t>Rigid metal supply plenum</t>
  </si>
  <si>
    <t xml:space="preserve">Signature or Inspection </t>
  </si>
  <si>
    <t>Pressure relief pathways (Choose ONE):</t>
  </si>
  <si>
    <t xml:space="preserve">  Air transfer grills or insulated jumper ducts in every bedroom</t>
  </si>
  <si>
    <t>Building Science Corp: Transfer Ducts and Grilles</t>
  </si>
  <si>
    <t xml:space="preserve">  Return-air ducts in every bedroom</t>
  </si>
  <si>
    <t xml:space="preserve">  Rater-measured pressure differential ≤ 3 Pa </t>
  </si>
  <si>
    <t>Room by Room airflow measured and balanced within 20% or 25cfm of design airflow</t>
  </si>
  <si>
    <t>Signature, copy of balance report</t>
  </si>
  <si>
    <t>Energy Star: Air Balancing</t>
  </si>
  <si>
    <t>Ductless systems</t>
  </si>
  <si>
    <t>Ductless Heating/Cooling system- 4 points per 25% of conditioned area by ductless system, 20 points max</t>
  </si>
  <si>
    <t>1-20</t>
  </si>
  <si>
    <t>DOE: Ductless Heating and Cooling</t>
  </si>
  <si>
    <t>Percentage of home</t>
  </si>
  <si>
    <t>DOE: Radiant Floor Heating</t>
  </si>
  <si>
    <t>Heating and Cooling Equipment</t>
  </si>
  <si>
    <t xml:space="preserve">HVAC grading meets ENERGY STAR Grade 1 Standards </t>
  </si>
  <si>
    <t>Inspection, testing</t>
  </si>
  <si>
    <t xml:space="preserve">Fan has an Electronically Commutated (ECM) Motor </t>
  </si>
  <si>
    <t xml:space="preserve">Signature </t>
  </si>
  <si>
    <t>HVAC system(s) with multiple-zone heating and/or cooling control</t>
  </si>
  <si>
    <t>Multi Stage Compressor (Choose ONE):</t>
  </si>
  <si>
    <t xml:space="preserve">Inspection </t>
  </si>
  <si>
    <t>Smart Thermostat (Choose ONE):</t>
  </si>
  <si>
    <t>DOE: Thermostats</t>
  </si>
  <si>
    <t>High Efficiency Heating Equipment (Choose ONE):</t>
  </si>
  <si>
    <t>g</t>
  </si>
  <si>
    <t>Subtotal for Heating and Cooling (5 Points Required)</t>
  </si>
  <si>
    <t>Appliances, Lighting, Renewables (Min. 5 Points Req.)</t>
  </si>
  <si>
    <t>Appliances</t>
  </si>
  <si>
    <t>Inspection,  Model #</t>
  </si>
  <si>
    <t xml:space="preserve">  Refrigerator is ENERGY STAR labeled</t>
  </si>
  <si>
    <t>ENERGY STAR Refrigerators</t>
  </si>
  <si>
    <t xml:space="preserve">  Total refrigeration uses &lt;550 kWh</t>
  </si>
  <si>
    <t>Dryer is ENERGY STAR labeled</t>
  </si>
  <si>
    <t xml:space="preserve">Inspection         </t>
  </si>
  <si>
    <t>ENERGY STAR Clothes Dryers</t>
  </si>
  <si>
    <t>Clothesline Installed</t>
  </si>
  <si>
    <t>Water Heater Efficiency (Choose ONE):</t>
  </si>
  <si>
    <t xml:space="preserve">  Gas Water Heater (Tank or Tankless)  (UEF) ≥ 0.79</t>
  </si>
  <si>
    <t>ENERGY STAR: Water Heater Selection</t>
  </si>
  <si>
    <t xml:space="preserve">  Whole-Home Gas Tankless    (UEF) ≥ 0.90</t>
  </si>
  <si>
    <t>DOE: Water Heater Selection</t>
  </si>
  <si>
    <t xml:space="preserve">  Heat Pump Water Heater       (UEF) &lt; 3.0</t>
  </si>
  <si>
    <t xml:space="preserve">  Heat Pump Water Heater       (UEF) ≥ 3.0</t>
  </si>
  <si>
    <t xml:space="preserve">  Solar Water Heater</t>
  </si>
  <si>
    <t>Ground source (geothermal) water heating (Choose ONE):</t>
  </si>
  <si>
    <t xml:space="preserve">  Desuperheater assist provides hot water</t>
  </si>
  <si>
    <t xml:space="preserve">  Geothermal system provides all hot water</t>
  </si>
  <si>
    <t>Energy-efficient hot water distribution system: compact design of conventional system, central manifold distribution system or structured plumbing system.</t>
  </si>
  <si>
    <t>Induction Cooktop</t>
  </si>
  <si>
    <t xml:space="preserve">DOE: Lighting </t>
  </si>
  <si>
    <t>Indoor Lighting controls: manual wall timers, occupancy or vacancy Sensors. (1 pt per switch, max. 3)</t>
  </si>
  <si>
    <t>1-3</t>
  </si>
  <si>
    <t># switches</t>
  </si>
  <si>
    <t>DOE: Lighting Contols</t>
  </si>
  <si>
    <t>Switchable Automatic Outdoor Lighting Controls- Motion/Photo Sensors</t>
  </si>
  <si>
    <t>Home automation system design: the basics</t>
  </si>
  <si>
    <t xml:space="preserve">Whole-house energy monitoring system installed </t>
  </si>
  <si>
    <t>Renewables</t>
  </si>
  <si>
    <t>Renewable Energy system contributes to home's total annual energy use (Credit available for ALL of the following):</t>
  </si>
  <si>
    <t>Inspection and Signature,
Source Energy and Emissions report with calculations</t>
  </si>
  <si>
    <t>Database of Incentives for Renewable Energy</t>
  </si>
  <si>
    <t xml:space="preserve">  On-site renewable electricity generation</t>
  </si>
  <si>
    <t>1-75</t>
  </si>
  <si>
    <t>NREL: PV Watts Calculator</t>
  </si>
  <si>
    <t xml:space="preserve">Percentage of total annual energy use </t>
  </si>
  <si>
    <t xml:space="preserve">Renewable energy system sized to provides 2800 kWh/year excess for charging plug-in vehicle.  </t>
  </si>
  <si>
    <t>Battery back up installed for renewable energy system (4.5kwh min)</t>
  </si>
  <si>
    <t>Active solar thermal heating system provides 2% - 100% of space heating needs</t>
  </si>
  <si>
    <t>1-30</t>
  </si>
  <si>
    <t>Percentage provided by Solar Thermal</t>
  </si>
  <si>
    <t>EPA Certified, sealed combustion, wood or pellet based stove designed for space heating- with outside combustion air and gasketed doors.</t>
  </si>
  <si>
    <t>Inspection and signature,
EPA certification must be available</t>
  </si>
  <si>
    <t>Subtotal for Appliances, Lighting, Renewables (3 Points Required)</t>
  </si>
  <si>
    <t>House complies with the EPA Indoor airPLUS Program</t>
  </si>
  <si>
    <t>Copy of documentation indicating compliance</t>
  </si>
  <si>
    <t>Contaminant Control</t>
  </si>
  <si>
    <t>Pressure test results indicating compliance</t>
  </si>
  <si>
    <t>Pascals (42=1 point, 45- 2 points, 47=3 points)</t>
  </si>
  <si>
    <t>Building Science Corp: Airtight Drywall</t>
  </si>
  <si>
    <t>Detached or no garage</t>
  </si>
  <si>
    <t>EPA: Intro to IAQ: Carbon Monoxide</t>
  </si>
  <si>
    <t>Exhaust fan in attached garage controlled by timer (100 CFM min)</t>
  </si>
  <si>
    <t xml:space="preserve">  MERV 8</t>
  </si>
  <si>
    <t xml:space="preserve">  MERV 11</t>
  </si>
  <si>
    <t xml:space="preserve">  MERV 13 or greater (includes HEPA or "HEPA-like" filters)</t>
  </si>
  <si>
    <t xml:space="preserve"> Whole house ventilation system (Choose ONE):</t>
  </si>
  <si>
    <t>Inspection and Signature</t>
  </si>
  <si>
    <t xml:space="preserve">  Distributed Ventilation System</t>
  </si>
  <si>
    <t>DOE: Whole House Ventilation Systems</t>
  </si>
  <si>
    <t xml:space="preserve">  Balanced Ventilation System (required for Platinum Level Certification)</t>
  </si>
  <si>
    <t xml:space="preserve">  High Efficiency ERV/HRV - greater than 1.5 cfm per watt</t>
  </si>
  <si>
    <t>Third party verification that whole house ventilation system meets within 95-120% of ASHRAE 62.2 2010 or 2013 requirements</t>
  </si>
  <si>
    <t>Exhaust fan upgrades in all full baths (credit available for ALL of the following):</t>
  </si>
  <si>
    <t xml:space="preserve">  Install ENERGY STAR labeled fans</t>
  </si>
  <si>
    <t>DOE: Spot Ventilation Strategies</t>
  </si>
  <si>
    <t xml:space="preserve">  Rated less than 1 sone</t>
  </si>
  <si>
    <t xml:space="preserve">  Controlled by timer or occupancy sensor</t>
  </si>
  <si>
    <t xml:space="preserve">  Controlled by humidistat</t>
  </si>
  <si>
    <t xml:space="preserve">  Bath fans located directly above the shower enclosure</t>
  </si>
  <si>
    <t xml:space="preserve">Interior relative humidity monitored and controlled (credit available for ALL of the following): </t>
  </si>
  <si>
    <t xml:space="preserve">  HVAC system with dehumidification mode or controls</t>
  </si>
  <si>
    <t xml:space="preserve">  Dehumidification system installed to serve below grade areas</t>
  </si>
  <si>
    <t xml:space="preserve">  Central dehumidification system installed</t>
  </si>
  <si>
    <t>EPA: Carbon Monoxide Detectors</t>
  </si>
  <si>
    <t>Home is all electric</t>
  </si>
  <si>
    <t>Install CO detector in mechanical equipment area</t>
  </si>
  <si>
    <t>Install a low level CO Monitor near every sleeping area</t>
  </si>
  <si>
    <t>Radon-resistant gas vent system installed to EPA Guidelines
(does not require activation)</t>
  </si>
  <si>
    <t>IAQ Material Use</t>
  </si>
  <si>
    <t>Inspection, Product Info</t>
  </si>
  <si>
    <t>CARB Compliance Info for Consumers</t>
  </si>
  <si>
    <t>h</t>
  </si>
  <si>
    <t>i</t>
  </si>
  <si>
    <t>j</t>
  </si>
  <si>
    <t>k</t>
  </si>
  <si>
    <t>l</t>
  </si>
  <si>
    <t>m</t>
  </si>
  <si>
    <t>n</t>
  </si>
  <si>
    <t>o</t>
  </si>
  <si>
    <t>VOC dissipation prior to dwelling occupancy</t>
  </si>
  <si>
    <t xml:space="preserve">Signature </t>
  </si>
  <si>
    <t>Inspection, Plan Review</t>
  </si>
  <si>
    <t>Conditioned Area of Home</t>
  </si>
  <si>
    <t xml:space="preserve">Construction Material Waste </t>
  </si>
  <si>
    <t>Central, organized cutting area for project site</t>
  </si>
  <si>
    <t xml:space="preserve">Signature </t>
  </si>
  <si>
    <t>Framing plan with locations of wall studs, joists, and roof structure with cut list  (applies to site-built and modular framing systems; modular units automatically receive these points)</t>
  </si>
  <si>
    <t>Signature, Inspection</t>
  </si>
  <si>
    <t>OR Total Construction waste reduction/material reuse (Choose ONE):</t>
  </si>
  <si>
    <t>lb/sf construction waste(1 - 8 pts if below 4.2 lb/sf)</t>
  </si>
  <si>
    <t>1-8</t>
  </si>
  <si>
    <t>Calculations, waste tickets</t>
  </si>
  <si>
    <t>Percent of existing structure reused; 1 pt per 10% reuse</t>
  </si>
  <si>
    <t>2-10</t>
  </si>
  <si>
    <t>Durability and Moisture Management</t>
  </si>
  <si>
    <t>Copy provided</t>
  </si>
  <si>
    <t>Capillary break at all wood to concrete connections</t>
  </si>
  <si>
    <t>Advanced Energy's Crawlspace Resources</t>
  </si>
  <si>
    <t>Drainage board for below grade walls</t>
  </si>
  <si>
    <t>Continuous foundation drain at outside perimeter edge of footing</t>
  </si>
  <si>
    <t>Provide roof drip edge (metal) at ALL roof edges</t>
  </si>
  <si>
    <t>ORNL Foundation Wall Handbook</t>
  </si>
  <si>
    <t>Final grade slopes 1/2" per ft away from home to 10 ft or a swale</t>
  </si>
  <si>
    <t xml:space="preserve">Covered entryways for all doors opening into conditioned space.  </t>
  </si>
  <si>
    <t>Rain screen or grooved Weather Resistant Barrier behind the exterior veneer on exposed exterior walls (Min. 90%)</t>
  </si>
  <si>
    <t>Green Building Advisor: All about Rainscreens</t>
  </si>
  <si>
    <t>Durable exterior cladding (Chose ONE):</t>
  </si>
  <si>
    <t>Inspection and Signature, 
Product Name</t>
  </si>
  <si>
    <t xml:space="preserve">  30 year warranty (min 65%)</t>
  </si>
  <si>
    <t xml:space="preserve">  50 year warranty (min 65%)</t>
  </si>
  <si>
    <t>Durable roofing (Choose ONE):</t>
  </si>
  <si>
    <t xml:space="preserve">  25 year warranty (min 95%)</t>
  </si>
  <si>
    <t xml:space="preserve">  50 year warranty (min 95%)</t>
  </si>
  <si>
    <t xml:space="preserve">Primed backs, edges, and ends of exterior trim (including field cuts)  </t>
  </si>
  <si>
    <t>Fiber cement or composite wood exterior trim, fascia, soffit (Min 90%)</t>
  </si>
  <si>
    <t>Corrosion resistant rodent/bird screens at all openings &gt;1/4 in.</t>
  </si>
  <si>
    <t xml:space="preserve">All exterior wood at least 12" from the soil </t>
  </si>
  <si>
    <t>All mature landscaping at least 18" from the home</t>
  </si>
  <si>
    <t xml:space="preserve">Signature, type of system </t>
  </si>
  <si>
    <t>Environmentally Preferable Materials</t>
  </si>
  <si>
    <t>Signature, Inspection where visible;
Product literature available upon request</t>
  </si>
  <si>
    <t xml:space="preserve">  Concrete  (25% Fly Ash only)</t>
  </si>
  <si>
    <t xml:space="preserve">  Wall framing members - Interior</t>
  </si>
  <si>
    <t xml:space="preserve">  Wall framing members - Exterior</t>
  </si>
  <si>
    <t xml:space="preserve">  Floor framing members </t>
  </si>
  <si>
    <t xml:space="preserve">  Roof framing members </t>
  </si>
  <si>
    <t xml:space="preserve">  Headers (doors, windows, etc.)</t>
  </si>
  <si>
    <t xml:space="preserve">  Insulation (Min. 50%)</t>
  </si>
  <si>
    <t xml:space="preserve">  Roofing   </t>
  </si>
  <si>
    <t xml:space="preserve">  Siding</t>
  </si>
  <si>
    <t xml:space="preserve">  Doors</t>
  </si>
  <si>
    <t xml:space="preserve">  Closet shelving</t>
  </si>
  <si>
    <t xml:space="preserve">  Kitchen Cabinetry and Casework  </t>
  </si>
  <si>
    <t xml:space="preserve">  Interior Trim  </t>
  </si>
  <si>
    <t xml:space="preserve">  Countertops  </t>
  </si>
  <si>
    <t>p</t>
  </si>
  <si>
    <t xml:space="preserve">  Flooring  (Min. 25%)</t>
  </si>
  <si>
    <t>q</t>
  </si>
  <si>
    <t>r</t>
  </si>
  <si>
    <t xml:space="preserve">  Decking and Outdoor Structures</t>
  </si>
  <si>
    <t>s</t>
  </si>
  <si>
    <t xml:space="preserve">  Other</t>
  </si>
  <si>
    <t>Accessible bathroom provided on the main floor with blocking for future accessory installations</t>
  </si>
  <si>
    <t>Roll in shower installed</t>
  </si>
  <si>
    <t>Cabinets and storage shelves between 18"-48" from the floor (min. 50% by volume)</t>
  </si>
  <si>
    <t>Kitchen sink with knee space, and stove top with controls at the front and knee space underneath (or removable cabinet beside or below the stove top)</t>
  </si>
  <si>
    <t>Bedroom storage shelves 18"- 48" from the floor (min. 50% by area)</t>
  </si>
  <si>
    <t>Clothes closet with 32" clear opening (min.) and adjustable hanging rod</t>
  </si>
  <si>
    <t xml:space="preserve">5' turning radius around the bed </t>
  </si>
  <si>
    <t>Doors and faucets use lever handles; cabinet handles are 'C' or 'D' style</t>
  </si>
  <si>
    <t>Electrical panels, thermostats, breaker boxes, and any control panels are located on the main floor (max. 54" to top)</t>
  </si>
  <si>
    <t>Elevator planned for (if home has second floor).  Vertically align one closet on the 2nd floor with one closet on the 1st floor to allow for future installation</t>
  </si>
  <si>
    <t>Elevator installed for accessibility</t>
  </si>
  <si>
    <t>Subtotal of points for Materials (7 Points Required)</t>
  </si>
  <si>
    <t>Homeowner Education (credit available for ALL of the following):</t>
  </si>
  <si>
    <t>Kitchen Waste Handling (credit available for ALL of the following):</t>
  </si>
  <si>
    <t xml:space="preserve">  Built-in kitchen recycling center </t>
  </si>
  <si>
    <t xml:space="preserve">  Indoor composting system, demonstrated to homeowner</t>
  </si>
  <si>
    <t>Sustainable Building: Home Recycling</t>
  </si>
  <si>
    <t xml:space="preserve">  Provide backyard compost bin or designated compost area with enclosure</t>
  </si>
  <si>
    <t xml:space="preserve">Signature, List of attendees, meeting dates </t>
  </si>
  <si>
    <t>Whole Building Design Guide Approach</t>
  </si>
  <si>
    <t>Include a minimum of three biophilic design architectural elements</t>
  </si>
  <si>
    <t>Inspection, Narrative</t>
  </si>
  <si>
    <t xml:space="preserve"> </t>
  </si>
  <si>
    <t>Receipt</t>
  </si>
  <si>
    <t>Copy of Plans</t>
  </si>
  <si>
    <t>Submit Advocacy letters to suppliers/manufacturers to remove red list chemicals</t>
  </si>
  <si>
    <t>Copy of letters</t>
  </si>
  <si>
    <t>Submit regulatory appeal for use of greywater/rainwater</t>
  </si>
  <si>
    <t>Copy of appeal</t>
  </si>
  <si>
    <t>Market the Green Built program (credit available for ALL of the following):</t>
  </si>
  <si>
    <t>Description of marketing activities, inspection, link to website or copy of ad/article as applicable</t>
  </si>
  <si>
    <t xml:space="preserve">  Green Built pamphlets provided on-site</t>
  </si>
  <si>
    <t xml:space="preserve">  Company website or brochure displays Green Built logo</t>
  </si>
  <si>
    <t xml:space="preserve">  Company website includes a page of educational information about green building including the features and benefits of certification</t>
  </si>
  <si>
    <t xml:space="preserve">  Ad or yard sign displays Green Built logo</t>
  </si>
  <si>
    <t xml:space="preserve">  Publish newspaper or magazine article on the home</t>
  </si>
  <si>
    <t xml:space="preserve">  Make presentation on Green Built to group of 10 or more </t>
  </si>
  <si>
    <t xml:space="preserve">  Giving the homeowners a membership to Green Built Alliance</t>
  </si>
  <si>
    <t xml:space="preserve">  Participate in a Green Building Tour or Parade of Homes</t>
  </si>
  <si>
    <t>Builder is a Certified Living Wage Employer</t>
  </si>
  <si>
    <t>listed on website</t>
  </si>
  <si>
    <t>NC Climate Zone:</t>
  </si>
  <si>
    <t xml:space="preserve">  List of high performance and green building features (a copy of their final checklist and HERS certificate)</t>
  </si>
  <si>
    <t xml:space="preserve">  Product manufacturer’s manuals or product data sheet for installed major equipment, appliances, and fixtures.</t>
  </si>
  <si>
    <r>
      <rPr>
        <b/>
        <u/>
        <sz val="11"/>
        <rFont val="Arial"/>
        <family val="2"/>
      </rPr>
      <t xml:space="preserve">Rating Scale
</t>
    </r>
    <r>
      <rPr>
        <b/>
        <sz val="11"/>
        <color rgb="FF000000"/>
        <rFont val="Arial"/>
        <family val="2"/>
      </rPr>
      <t>65-140 points: Certified Level
141-205 points: Silver Level
206-270 points: Gold Level
271+ points: Platinum Level</t>
    </r>
  </si>
  <si>
    <r>
      <t xml:space="preserve">Signature </t>
    </r>
    <r>
      <rPr>
        <u/>
        <sz val="11"/>
        <rFont val="Arial"/>
        <family val="2"/>
      </rPr>
      <t>or</t>
    </r>
    <r>
      <rPr>
        <sz val="11"/>
        <color rgb="FF000000"/>
        <rFont val="Arial"/>
        <family val="2"/>
      </rPr>
      <t xml:space="preserve"> Inspection;  Framing Plan (if not modular)</t>
    </r>
  </si>
  <si>
    <r>
      <t>Alternative termite treatment that uses low toxicity chemicals or eliminates chemical termite treatments</t>
    </r>
    <r>
      <rPr>
        <i/>
        <sz val="11"/>
        <rFont val="Arial"/>
        <family val="2"/>
      </rPr>
      <t xml:space="preserve"> </t>
    </r>
  </si>
  <si>
    <t>Any home with a fireplace (gas or wood burning):
 • Carbon monoxide (CO) detectors must be installed, one in room with fireplaces and one per floor 
 • Gas and wood-burning fireplaces/stoves must have a dedicated outdoor combustion air supply able to withstand flame exposure. Unvented fireplaces are not permitted.
 • Gas fireplaces must have doors or a solid glass enclosure.  Manual dampers on gas fireplaces are not permitted</t>
  </si>
  <si>
    <t>Fence individual trees at drip line</t>
  </si>
  <si>
    <t>Drought Resistant Landscaping Techniques include xeriscaping, mulched areas, forest, meadow, no-mow grass and/or drought tolerant plants (excludes conventional turf). 
(1 point per 10 percent of landscaped area)</t>
  </si>
  <si>
    <t>Energy Efficient Refrigerator (Choose ONE):</t>
  </si>
  <si>
    <t>Attached garage is isolated from house by extensive air-sealing; the garage-to-house pressure is at least 47 Pascals when the house is depressurized to 50 Pascals below ambient</t>
  </si>
  <si>
    <t>Filters rated MERV 8 or greater installed on forced air systems; system static pressure must be designed and calculated to perform with the higher efficiency filter installed (Choose ONE):</t>
  </si>
  <si>
    <t xml:space="preserve">   Kitchen/bath cabinetry/casework          </t>
  </si>
  <si>
    <t xml:space="preserve">   Countertops</t>
  </si>
  <si>
    <t xml:space="preserve">   Closet shelving</t>
  </si>
  <si>
    <t xml:space="preserve">   Interior Trim </t>
  </si>
  <si>
    <t xml:space="preserve">   Caulks and Adhesives</t>
  </si>
  <si>
    <t xml:space="preserve">   Interior Paints and Primers Low VOC</t>
  </si>
  <si>
    <t xml:space="preserve">   Interior Paints and Primers Zero VOC</t>
  </si>
  <si>
    <t xml:space="preserve">   Stains, sealants and finishes (other than flooring)</t>
  </si>
  <si>
    <t xml:space="preserve">   Carpet </t>
  </si>
  <si>
    <t xml:space="preserve">   Flooring (including floor stains and finishes)</t>
  </si>
  <si>
    <t xml:space="preserve">   No Carpet in the home</t>
  </si>
  <si>
    <t xml:space="preserve">   Wall Insulation </t>
  </si>
  <si>
    <t xml:space="preserve">   Floor and Ceiling Insulation</t>
  </si>
  <si>
    <t xml:space="preserve">   Interior Doors</t>
  </si>
  <si>
    <t xml:space="preserve">Home is less than 2500 square feet- 1 point per 100 square feet under 2500 </t>
  </si>
  <si>
    <t>High Efficiency Cooling Equipment (Choose ONE):</t>
  </si>
  <si>
    <t xml:space="preserve">   A minimum of 30 sq ft of raised garden beds for single family home</t>
  </si>
  <si>
    <t xml:space="preserve">   &gt;100 sq ft of raised garden beds for single family home</t>
  </si>
  <si>
    <t xml:space="preserve">  Bear Prevention (all of the following): Provide a bear proof garbage enclosure, round door knobs on exterior doors, no edible plants located adjacent to entry ways</t>
  </si>
  <si>
    <t xml:space="preserve">  At least 50% of the site designated as a National Wildlife Federation Certified Wildlife Habitat </t>
  </si>
  <si>
    <t xml:space="preserve">  Donate land equivalent in size to the disturbed area for conservation to approved local land trust. Financial or volunteer contributions of equitable proportion also acceptable.</t>
  </si>
  <si>
    <t xml:space="preserve">   Pre-plumbed for non-potable use</t>
  </si>
  <si>
    <t xml:space="preserve">   Non-potable use</t>
  </si>
  <si>
    <t xml:space="preserve">   Potable use</t>
  </si>
  <si>
    <t xml:space="preserve">  Vented attic insulation Zone3=R-38, Zone4/5=R-48 w/raised heel</t>
  </si>
  <si>
    <t xml:space="preserve">   All hot water pipes in unconditioned spaces insulated to R-3 </t>
  </si>
  <si>
    <t xml:space="preserve">   All water pipes located inside conditioned space (not in exterior walls)</t>
  </si>
  <si>
    <t xml:space="preserve">   All hot water pipes insulated to R-3 </t>
  </si>
  <si>
    <t xml:space="preserve">  Light tubes</t>
  </si>
  <si>
    <t xml:space="preserve">  Clerestory </t>
  </si>
  <si>
    <t xml:space="preserve">  Appliances (1 pt per eligible appliance, max 3)</t>
  </si>
  <si>
    <t xml:space="preserve">  &gt;50% Lighting</t>
  </si>
  <si>
    <t xml:space="preserve">  Wood</t>
  </si>
  <si>
    <t xml:space="preserve">  Cardboard</t>
  </si>
  <si>
    <t xml:space="preserve">  Metal</t>
  </si>
  <si>
    <t xml:space="preserve">  Plastic</t>
  </si>
  <si>
    <t xml:space="preserve">  Drywall</t>
  </si>
  <si>
    <t>Subtotal of points for Bonus (3 Points Required)</t>
  </si>
  <si>
    <t xml:space="preserve">Design and Install permanent stormwater management system: Quantify the stormwater created based on 10 year storm and install stormwater control systems to manage 100 percent of stormwater </t>
  </si>
  <si>
    <t xml:space="preserve">Sq. Ft. (conditioned):    </t>
  </si>
  <si>
    <t>Energy Star HVAC Installation Guidebook</t>
  </si>
  <si>
    <r>
      <t>Green Built</t>
    </r>
    <r>
      <rPr>
        <b/>
        <i/>
        <sz val="18"/>
        <color theme="0"/>
        <rFont val="Times New Roman"/>
        <family val="1"/>
      </rPr>
      <t xml:space="preserve"> +Regenerative</t>
    </r>
  </si>
  <si>
    <t xml:space="preserve">  Code approved system for outdoor use only</t>
  </si>
  <si>
    <t xml:space="preserve">  Pre-plumbed for outdoor use</t>
  </si>
  <si>
    <t>Inspection, make/model #</t>
  </si>
  <si>
    <t>Attic Improvements (Choose ONE):</t>
  </si>
  <si>
    <t xml:space="preserve">Ducts located within thermal envelope  (min.90%) </t>
  </si>
  <si>
    <t>Ceiling Insulation (Choose ONE):</t>
  </si>
  <si>
    <t>Reuse of greywater (Credit available for ALL of the following):</t>
  </si>
  <si>
    <t>Protection of local wildlife (Credit available for ALL of the following)</t>
  </si>
  <si>
    <t>Food production (Choose ONE):</t>
  </si>
  <si>
    <t>Access to Bike Paths (Choose ONE):</t>
  </si>
  <si>
    <t>Install permanent stormwater controls (Credit available for ALL a-d )</t>
  </si>
  <si>
    <t>Floor to ceiling insulation (Choose ONE):</t>
  </si>
  <si>
    <t>Wall insulation (Choose ONE):</t>
  </si>
  <si>
    <t>U-Factor (Choose ONE):</t>
  </si>
  <si>
    <t>SHGC (Choose ONE):</t>
  </si>
  <si>
    <t>Piping (Credit available for ANY of the following):</t>
  </si>
  <si>
    <t>Insulated headers (Choose ONE):</t>
  </si>
  <si>
    <t>Floor insulation (Choose ONE):</t>
  </si>
  <si>
    <r>
      <t>Incorporate nat</t>
    </r>
    <r>
      <rPr>
        <sz val="9"/>
        <rFont val="Arial"/>
        <family val="2"/>
      </rPr>
      <t xml:space="preserve">ural lighting strategies </t>
    </r>
    <r>
      <rPr>
        <sz val="9"/>
        <color rgb="FF000000"/>
        <rFont val="Arial"/>
        <family val="2"/>
      </rPr>
      <t>(Credit available for ALL of the following):</t>
    </r>
  </si>
  <si>
    <r>
      <t>Home automation system to manage</t>
    </r>
    <r>
      <rPr>
        <sz val="10"/>
        <color rgb="FF000000"/>
        <rFont val="Arial"/>
        <family val="2"/>
      </rPr>
      <t xml:space="preserve"> (Credit available for ALL of the following):</t>
    </r>
  </si>
  <si>
    <t>Gutters/downspouts discharge water min.5 feet from foundation (100%)</t>
  </si>
  <si>
    <t xml:space="preserve">Signature and Inspection </t>
  </si>
  <si>
    <t xml:space="preserve">Rain screen or grooved Weather Resistant Barrier behind the roof </t>
  </si>
  <si>
    <r>
      <t xml:space="preserve">Heating &amp; Cooling </t>
    </r>
    <r>
      <rPr>
        <b/>
        <sz val="12"/>
        <color theme="0"/>
        <rFont val="Arial"/>
        <family val="2"/>
      </rPr>
      <t xml:space="preserve"> (Minimum 5 Points Required)</t>
    </r>
  </si>
  <si>
    <r>
      <t xml:space="preserve">Building Envelope </t>
    </r>
    <r>
      <rPr>
        <b/>
        <sz val="12"/>
        <color theme="0"/>
        <rFont val="Arial"/>
        <family val="2"/>
      </rPr>
      <t>(Minimum 5 Points Required)</t>
    </r>
  </si>
  <si>
    <r>
      <t xml:space="preserve"> Water </t>
    </r>
    <r>
      <rPr>
        <b/>
        <sz val="12"/>
        <color theme="0"/>
        <rFont val="Arial"/>
        <family val="2"/>
      </rPr>
      <t>(Minimum 5 Points Required)</t>
    </r>
  </si>
  <si>
    <r>
      <t xml:space="preserve"> Site </t>
    </r>
    <r>
      <rPr>
        <b/>
        <sz val="12"/>
        <color theme="0"/>
        <rFont val="Arial"/>
        <family val="2"/>
      </rPr>
      <t>(Minimum 5 Points Required)</t>
    </r>
  </si>
  <si>
    <r>
      <t>Prerequisites</t>
    </r>
    <r>
      <rPr>
        <b/>
        <sz val="16"/>
        <color theme="0"/>
        <rFont val="Calibri"/>
        <family val="2"/>
      </rPr>
      <t xml:space="preserve"> (Required)</t>
    </r>
  </si>
  <si>
    <r>
      <t xml:space="preserve"> Bonus </t>
    </r>
    <r>
      <rPr>
        <b/>
        <sz val="12"/>
        <color theme="0"/>
        <rFont val="Arial"/>
        <family val="2"/>
      </rPr>
      <t xml:space="preserve"> (Minimum 3 Points Required)</t>
    </r>
  </si>
  <si>
    <r>
      <t xml:space="preserve"> Materials </t>
    </r>
    <r>
      <rPr>
        <b/>
        <sz val="12"/>
        <color theme="0"/>
        <rFont val="Arial"/>
        <family val="2"/>
      </rPr>
      <t>(Minimum 7 Points Required)</t>
    </r>
  </si>
  <si>
    <t>Signature, Sales Price</t>
  </si>
  <si>
    <r>
      <rPr>
        <b/>
        <u/>
        <sz val="10"/>
        <rFont val="Arial"/>
        <family val="2"/>
      </rPr>
      <t>OR</t>
    </r>
    <r>
      <rPr>
        <sz val="10"/>
        <color rgb="FF000000"/>
        <rFont val="Arial"/>
        <family val="2"/>
      </rPr>
      <t xml:space="preserve"> Design and Install permanent stormwater management system </t>
    </r>
  </si>
  <si>
    <t>EPA: Duct Cleaning</t>
  </si>
  <si>
    <t>Nat. Air Duct Cleaning Association: Proper Cleaning Methods</t>
  </si>
  <si>
    <t>Clean ducts, furnace and filters before occupancy</t>
  </si>
  <si>
    <t>Health and Indoor Air Quality (5 Pts Req.)</t>
  </si>
  <si>
    <r>
      <t xml:space="preserve"> Health &amp; Indoor Air Quality </t>
    </r>
    <r>
      <rPr>
        <b/>
        <sz val="12"/>
        <color theme="0"/>
        <rFont val="Arial"/>
        <family val="2"/>
      </rPr>
      <t>(Min. 5 Points Req.)</t>
    </r>
  </si>
  <si>
    <t>Subtotal for Health &amp; Indoor Air Quality (5 Points Required)</t>
  </si>
  <si>
    <t>Environmentally Preferable Materials (credit available for ALL of the following):  Rapidly Renewable, Engineered, Third Party Certified Wood, Recycled Content, Locally Produced, Low Embodied Energy, Salvaged Materials:</t>
  </si>
  <si>
    <t xml:space="preserve">   Sheathing</t>
  </si>
  <si>
    <t xml:space="preserve">   Plumbing</t>
  </si>
  <si>
    <t>Signature or Inspection</t>
  </si>
  <si>
    <t>Plug-In NC EV Ready Home Builders Guide</t>
  </si>
  <si>
    <t>Plug-In NC Residential Handbook</t>
  </si>
  <si>
    <t xml:space="preserve">   Level 2 Outlet installed in parking area</t>
  </si>
  <si>
    <t xml:space="preserve">   Pre-wired: 240v compatible wiring to plate in parking area</t>
  </si>
  <si>
    <t>Electric Vehicle Charging (Choose ONE):</t>
  </si>
  <si>
    <t xml:space="preserve">  Provide a thorough walkthrough to the homeowner covering items a-d </t>
  </si>
  <si>
    <t>Integrated Project Management: conduct a preliminary meeting with the key members of the project team as early as practical.  Complete a Green Built Checklist indicating the credit items being targeted, and listing the team member responsible for providing the required documentation for each credit.</t>
  </si>
  <si>
    <t>Include Green Built Homes checklist items in project drawings and specifications as applicable</t>
  </si>
  <si>
    <r>
      <rPr>
        <b/>
        <sz val="10"/>
        <rFont val="Arial"/>
        <family val="2"/>
      </rPr>
      <t>Columns for the Project use</t>
    </r>
    <r>
      <rPr>
        <sz val="10"/>
        <rFont val="Arial"/>
        <family val="2"/>
      </rPr>
      <t xml:space="preserve"> - Begin by selecting which opportunities the project will fulfill to achieve certification. To mark these opportunities, the User should enter “</t>
    </r>
    <r>
      <rPr>
        <b/>
        <sz val="10"/>
        <rFont val="Arial"/>
        <family val="2"/>
      </rPr>
      <t>Y</t>
    </r>
    <r>
      <rPr>
        <sz val="10"/>
        <rFont val="Arial"/>
        <family val="2"/>
      </rPr>
      <t xml:space="preserve">" (for </t>
    </r>
    <r>
      <rPr>
        <b/>
        <sz val="10"/>
        <rFont val="Arial"/>
        <family val="2"/>
      </rPr>
      <t>Y</t>
    </r>
    <r>
      <rPr>
        <sz val="10"/>
        <rFont val="Arial"/>
        <family val="2"/>
      </rPr>
      <t xml:space="preserve">es) in the </t>
    </r>
    <r>
      <rPr>
        <b/>
        <sz val="10"/>
        <rFont val="Arial"/>
        <family val="2"/>
      </rPr>
      <t>Y</t>
    </r>
    <r>
      <rPr>
        <sz val="10"/>
        <rFont val="Arial"/>
        <family val="2"/>
      </rPr>
      <t xml:space="preserve"> column, or "</t>
    </r>
    <r>
      <rPr>
        <b/>
        <sz val="10"/>
        <rFont val="Arial"/>
        <family val="2"/>
      </rPr>
      <t>M</t>
    </r>
    <r>
      <rPr>
        <sz val="10"/>
        <rFont val="Arial"/>
        <family val="2"/>
      </rPr>
      <t xml:space="preserve">" (for </t>
    </r>
    <r>
      <rPr>
        <b/>
        <sz val="10"/>
        <rFont val="Arial"/>
        <family val="2"/>
      </rPr>
      <t>M</t>
    </r>
    <r>
      <rPr>
        <sz val="10"/>
        <rFont val="Arial"/>
        <family val="2"/>
      </rPr>
      <t xml:space="preserve">aybe) in the </t>
    </r>
    <r>
      <rPr>
        <b/>
        <sz val="10"/>
        <rFont val="Arial"/>
        <family val="2"/>
      </rPr>
      <t>M</t>
    </r>
    <r>
      <rPr>
        <sz val="10"/>
        <rFont val="Arial"/>
        <family val="2"/>
      </rPr>
      <t xml:space="preserve"> column.  “</t>
    </r>
    <r>
      <rPr>
        <b/>
        <sz val="10"/>
        <rFont val="Arial"/>
        <family val="2"/>
      </rPr>
      <t>Y</t>
    </r>
    <r>
      <rPr>
        <sz val="10"/>
        <rFont val="Arial"/>
        <family val="2"/>
      </rPr>
      <t>” is used for items that will be completed for the project, and “</t>
    </r>
    <r>
      <rPr>
        <b/>
        <sz val="10"/>
        <rFont val="Arial"/>
        <family val="2"/>
      </rPr>
      <t>M</t>
    </r>
    <r>
      <rPr>
        <sz val="10"/>
        <rFont val="Arial"/>
        <family val="2"/>
      </rPr>
      <t>” is used for items that are under consideration by the project team.  Items not being considered may be left blank.  It is important that the User select enough "</t>
    </r>
    <r>
      <rPr>
        <b/>
        <sz val="10"/>
        <rFont val="Arial"/>
        <family val="2"/>
      </rPr>
      <t>Y</t>
    </r>
    <r>
      <rPr>
        <sz val="10"/>
        <rFont val="Arial"/>
        <family val="2"/>
      </rPr>
      <t xml:space="preserve">" items in each Opportunities Section (ex: "Site Opportunities") to meet the minimum number of points for that section.  The </t>
    </r>
    <r>
      <rPr>
        <b/>
        <sz val="10"/>
        <rFont val="Arial"/>
        <family val="2"/>
      </rPr>
      <t xml:space="preserve">P and N </t>
    </r>
    <r>
      <rPr>
        <sz val="10"/>
        <rFont val="Arial"/>
        <family val="2"/>
      </rPr>
      <t>columns are for Rater use only (see D below).</t>
    </r>
  </si>
  <si>
    <r>
      <rPr>
        <b/>
        <sz val="10"/>
        <rFont val="Arial"/>
        <family val="2"/>
      </rPr>
      <t xml:space="preserve">Columns for the approved Rater </t>
    </r>
    <r>
      <rPr>
        <sz val="10"/>
        <rFont val="Arial"/>
        <family val="2"/>
      </rPr>
      <t>(pages 4 - 19) - the Rater completes his/her review of the project by entering “</t>
    </r>
    <r>
      <rPr>
        <b/>
        <sz val="10"/>
        <rFont val="Arial"/>
        <family val="2"/>
      </rPr>
      <t>P</t>
    </r>
    <r>
      <rPr>
        <sz val="10"/>
        <rFont val="Arial"/>
        <family val="2"/>
      </rPr>
      <t xml:space="preserve">” (for </t>
    </r>
    <r>
      <rPr>
        <b/>
        <sz val="10"/>
        <rFont val="Arial"/>
        <family val="2"/>
      </rPr>
      <t>P</t>
    </r>
    <r>
      <rPr>
        <sz val="10"/>
        <rFont val="Arial"/>
        <family val="2"/>
      </rPr>
      <t xml:space="preserve">assing) in the </t>
    </r>
    <r>
      <rPr>
        <b/>
        <sz val="10"/>
        <rFont val="Arial"/>
        <family val="2"/>
      </rPr>
      <t>P</t>
    </r>
    <r>
      <rPr>
        <sz val="10"/>
        <rFont val="Arial"/>
        <family val="2"/>
      </rPr>
      <t xml:space="preserve"> column, or “</t>
    </r>
    <r>
      <rPr>
        <b/>
        <sz val="10"/>
        <rFont val="Arial"/>
        <family val="2"/>
      </rPr>
      <t>N</t>
    </r>
    <r>
      <rPr>
        <sz val="10"/>
        <rFont val="Arial"/>
        <family val="2"/>
      </rPr>
      <t xml:space="preserve">” (for </t>
    </r>
    <r>
      <rPr>
        <b/>
        <sz val="10"/>
        <rFont val="Arial"/>
        <family val="2"/>
      </rPr>
      <t>N</t>
    </r>
    <r>
      <rPr>
        <sz val="10"/>
        <rFont val="Arial"/>
        <family val="2"/>
      </rPr>
      <t xml:space="preserve">ot passing) in the </t>
    </r>
    <r>
      <rPr>
        <b/>
        <sz val="10"/>
        <rFont val="Arial"/>
        <family val="2"/>
      </rPr>
      <t>N</t>
    </r>
    <r>
      <rPr>
        <sz val="10"/>
        <rFont val="Arial"/>
        <family val="2"/>
      </rPr>
      <t xml:space="preserve"> column. The </t>
    </r>
    <r>
      <rPr>
        <b/>
        <sz val="10"/>
        <rFont val="Arial"/>
        <family val="2"/>
      </rPr>
      <t xml:space="preserve">Notes / Dates / Initials </t>
    </r>
    <r>
      <rPr>
        <sz val="10"/>
        <rFont val="Arial"/>
        <family val="2"/>
      </rPr>
      <t xml:space="preserve"> column is used for Rater sign-off, and details related to that opportunity. </t>
    </r>
  </si>
  <si>
    <r>
      <t xml:space="preserve">Documentation </t>
    </r>
    <r>
      <rPr>
        <sz val="10"/>
        <rFont val="Arial"/>
        <family val="2"/>
      </rPr>
      <t>should be submitted to the RATER (described in item 3 below).</t>
    </r>
  </si>
  <si>
    <r>
      <t>Providing a</t>
    </r>
    <r>
      <rPr>
        <b/>
        <sz val="10"/>
        <rFont val="Arial"/>
        <family val="2"/>
      </rPr>
      <t xml:space="preserve"> "Signature" </t>
    </r>
    <r>
      <rPr>
        <sz val="10"/>
        <rFont val="Arial"/>
        <family val="2"/>
      </rPr>
      <t xml:space="preserve">by a Responsible Party as documentation for a checklist item indicates that the party whose initials appear in the notes column, and whose corresponding full name is listed on page 1, is accepting responsibility that the item has been completed in full and that all reasonable care has been taken to meet the stated intent of that checklist item. The Responsible Party has verbally verified to the Rater that the checklist item has been completed.  </t>
    </r>
    <r>
      <rPr>
        <u/>
        <sz val="10"/>
        <rFont val="Arial"/>
        <family val="2"/>
      </rPr>
      <t>Photographic documentation will be accepted for signature items if the photo clearly indicates item implementation / completion</t>
    </r>
    <r>
      <rPr>
        <sz val="10"/>
        <rFont val="Arial"/>
        <family val="2"/>
      </rPr>
      <t>.</t>
    </r>
  </si>
  <si>
    <r>
      <t>An</t>
    </r>
    <r>
      <rPr>
        <b/>
        <sz val="10"/>
        <rFont val="Arial"/>
        <family val="2"/>
      </rPr>
      <t xml:space="preserve"> "Inspection"</t>
    </r>
    <r>
      <rPr>
        <sz val="10"/>
        <rFont val="Arial"/>
        <family val="2"/>
      </rPr>
      <t xml:space="preserve"> indicates that the item has been verified by the Rater. Completed checklists require the signature (or initials) of the Rater next to each item requiring an inspection. </t>
    </r>
    <r>
      <rPr>
        <b/>
        <sz val="10"/>
        <rFont val="Arial"/>
        <family val="2"/>
      </rPr>
      <t xml:space="preserve"> Photographic documentation</t>
    </r>
    <r>
      <rPr>
        <sz val="10"/>
        <rFont val="Arial"/>
        <family val="2"/>
      </rPr>
      <t xml:space="preserve"> will be accepted for inspection items at the discretion of the Rater if the photo clearly indicates item implementation / completion .</t>
    </r>
  </si>
  <si>
    <r>
      <rPr>
        <b/>
        <sz val="10"/>
        <rFont val="Arial"/>
        <family val="2"/>
      </rPr>
      <t>Disclaimer:</t>
    </r>
    <r>
      <rPr>
        <sz val="10"/>
        <rFont val="Arial"/>
        <family val="2"/>
      </rPr>
      <t xml:space="preserve">  The Green Built program, its representatives, and approved Raters (see item 2b above) are only responsible for verifying Checklist requirements have been implemented.  Verification </t>
    </r>
    <r>
      <rPr>
        <b/>
        <sz val="10"/>
        <rFont val="Arial"/>
        <family val="2"/>
      </rPr>
      <t>should not be considered a warranty</t>
    </r>
    <r>
      <rPr>
        <sz val="10"/>
        <rFont val="Arial"/>
        <family val="2"/>
      </rPr>
      <t xml:space="preserve"> (express or implied) as to the quality or appropriateness of the selected feature or installation.</t>
    </r>
  </si>
  <si>
    <r>
      <rPr>
        <sz val="10"/>
        <rFont val="Arial"/>
        <family val="2"/>
      </rPr>
      <t>All</t>
    </r>
    <r>
      <rPr>
        <b/>
        <sz val="10"/>
        <rFont val="Arial"/>
        <family val="2"/>
      </rPr>
      <t xml:space="preserve"> final measurements and calculations </t>
    </r>
    <r>
      <rPr>
        <sz val="10"/>
        <rFont val="Arial"/>
        <family val="2"/>
      </rPr>
      <t xml:space="preserve">are subject to a 2% deviation allowance (5% for Blower Door and Duct Blaster measurements). </t>
    </r>
  </si>
  <si>
    <t xml:space="preserve">  Green Built Alliance homeowner resource link provided</t>
  </si>
  <si>
    <t xml:space="preserve">  Provide a diagram showing the location of safety valves and controls for major home systems. Minimum systems include HVAC &amp; water distribution.</t>
  </si>
  <si>
    <r>
      <t xml:space="preserve">Seal all ductwork joints and penetrations with low toxic mastic (aerosolized sealant allowed for existing homes).  Test all air distribution systems (at 25 Pascals measured in CFM of leakage per conditioned square footage) to have no more than 4% leakage to the outside </t>
    </r>
    <r>
      <rPr>
        <u/>
        <sz val="10"/>
        <rFont val="Arial"/>
        <family val="2"/>
      </rPr>
      <t>and</t>
    </r>
    <r>
      <rPr>
        <sz val="10"/>
        <color rgb="FF000000"/>
        <rFont val="Arial"/>
        <family val="2"/>
      </rPr>
      <t xml:space="preserve"> no more than 8% total leakage (12% if &gt;3 returns per system) at final inspection OR rough-in testing of less than 4% total leakage if all ducts are in conditioned space </t>
    </r>
  </si>
  <si>
    <t>Number of trees (1 point per tree, max 4)</t>
  </si>
  <si>
    <t>1-4</t>
  </si>
  <si>
    <t xml:space="preserve">  Average .29 or less</t>
  </si>
  <si>
    <t xml:space="preserve">  Pre-schedule an evaluation by a certified Healthy Homes Evaluator for 6 months after occupancy</t>
  </si>
  <si>
    <t>Perform a blower door test and meet minimum standard of 0.30 CFM50/sf of a building envelope's surface area OR 5 ACH50</t>
  </si>
  <si>
    <t>CFLs or LEDs installed in 75% of lamps in permanently installed lighting fixtures.</t>
  </si>
  <si>
    <t xml:space="preserve">    &gt;90% of lamps in lighting fixtures are CFLs or LEDs</t>
  </si>
  <si>
    <t xml:space="preserve">    100% of lamps in lighting fixtures are LEDs</t>
  </si>
  <si>
    <t>Efficient lighting (Choose ONE):</t>
  </si>
  <si>
    <t>Low flow kitchen faucets (Choose ONE):</t>
  </si>
  <si>
    <t xml:space="preserve">  ≤ 1.8 gpm flow rate</t>
  </si>
  <si>
    <t xml:space="preserve">  ≤ 1.5 gpm flow rate</t>
  </si>
  <si>
    <t>We are here to help you achieve a Green Built Home. Contact Info@GreenBuilt.org or call 828-254-1995 with questions</t>
  </si>
  <si>
    <r>
      <rPr>
        <b/>
        <sz val="10"/>
        <rFont val="Arial"/>
        <family val="2"/>
      </rPr>
      <t>Raters</t>
    </r>
    <r>
      <rPr>
        <sz val="10"/>
        <rFont val="Arial"/>
        <family val="2"/>
      </rPr>
      <t xml:space="preserve"> are pre-authorized individuals that provide the required third party inspections on registered Green Built Homes. Raters submit the Checklist and requested documentation to the Green Built Alliance once they have verified that a house has met all of the requirements for receiving a certificate from the Green Built Homes program.  For a list of Raters, contact the Green Built Alliance or visit </t>
    </r>
    <r>
      <rPr>
        <u/>
        <sz val="10"/>
        <rFont val="Arial"/>
        <family val="2"/>
      </rPr>
      <t>www.GreenBuilt.org</t>
    </r>
    <r>
      <rPr>
        <sz val="10"/>
        <rFont val="Arial"/>
        <family val="2"/>
      </rPr>
      <t xml:space="preserve">. </t>
    </r>
  </si>
  <si>
    <t>1-25</t>
  </si>
  <si>
    <t xml:space="preserve">   Level 1 Outlet accessible to parking area</t>
  </si>
  <si>
    <t>Home has access to at least one of the following:
 a. Walkscore &gt; 30
 c. Bike Path/Lanes within 1 mile or Bike Score &gt;50
 d. Bus stop within 1/2 mile
 e. Level 2 EV Charging Station: 240V/30A service with dedicated circuit plus a min. of 2800 kwh/yr renewable energy production</t>
  </si>
  <si>
    <t>Install an ASHRAE 62.2 2010 or 2013 compliant BALANCED mechanical ventilation system</t>
  </si>
  <si>
    <t>Percent Stormwater Control Systems</t>
  </si>
  <si>
    <t># Eligible Appliances</t>
  </si>
  <si>
    <t>8-14</t>
  </si>
  <si>
    <t>Jobsite recycling- 75% diversion rate per component achieved (Credit available for ALL of the following):</t>
  </si>
  <si>
    <t>ENERGY STAR Water Management Checklist inspected by site supervisor and copy provided to homeowner</t>
  </si>
  <si>
    <t>BPI Healthy Home Evaluator</t>
  </si>
  <si>
    <t xml:space="preserve"> + NET ZERO WATER READY CERTIFICATION ONLY: Home meets the following: Site Opportunity 2b (100% Stormwater Management), Water Opportunities 1 &amp; 2 (consumption calculations) and Water Opportunities 4f &amp; 5b (rainwater system to meet total demand and plumbed for non-potable use). </t>
  </si>
  <si>
    <t xml:space="preserve">Rainwater system designed to capture enough rainwater to provide 100% of outdoor and indoor water needs  (may be in conjunction with other methods). </t>
  </si>
  <si>
    <t xml:space="preserve">  Code approved system for  toilet flushing</t>
  </si>
  <si>
    <t>Signature, Inspection where visible</t>
  </si>
  <si>
    <t>Protect all ducts and returns with a durable covering (floors and ceilings)</t>
  </si>
  <si>
    <r>
      <t>Low-emitting/ Low Toxic Products</t>
    </r>
    <r>
      <rPr>
        <sz val="9"/>
        <rFont val="Arial"/>
        <family val="2"/>
      </rPr>
      <t xml:space="preserve"> (Credit available for ANY of the following):</t>
    </r>
  </si>
  <si>
    <t>t</t>
  </si>
  <si>
    <t xml:space="preserve">   Furnishings (Min. 3 pieces)</t>
  </si>
  <si>
    <t xml:space="preserve">  Furnishings (Min. 3 pieces)</t>
  </si>
  <si>
    <r>
      <t xml:space="preserve">GREEN BUILT HOMES
</t>
    </r>
    <r>
      <rPr>
        <b/>
        <i/>
        <sz val="18"/>
        <color rgb="FF009900"/>
        <rFont val="Times New Roman"/>
        <family val="1"/>
      </rPr>
      <t>A Program of the Green Built Alliance</t>
    </r>
  </si>
  <si>
    <t>Inspection,
Documentation of flow rate &amp; fresh air delivery schedule</t>
  </si>
  <si>
    <t xml:space="preserve">Install an ASHRAE 62.2 2010 or 2013 compliant mechanical ventilation system.  Platinum level certification requires a balanced ventilation system.  </t>
  </si>
  <si>
    <t xml:space="preserve">  Bike Paths within 1 mile or bikescore &gt;20</t>
  </si>
  <si>
    <t xml:space="preserve">Bus access within 1/2 mile of home </t>
  </si>
  <si>
    <t xml:space="preserve">  Build home on .10 acre (max.); or build in development
with density of 10 or more homes per acre</t>
  </si>
  <si>
    <t xml:space="preserve">  Bike Path/Lanes within 1 mile that connects to business district 
or bikescore &gt; 40</t>
  </si>
  <si>
    <t xml:space="preserve">  Build home on .15 acre (max.); or build in development
with density of 6 or more homes per acre</t>
  </si>
  <si>
    <t xml:space="preserve">  Permaculture Landscape Installed (must be designed by certified
Permaculturist)</t>
  </si>
  <si>
    <t xml:space="preserve">  Attic kneewall with air barrier insulated above code:
Zone3=R17.5, Zone4=17.5, Zone5=R21.5</t>
  </si>
  <si>
    <t xml:space="preserve">   2 Stage</t>
  </si>
  <si>
    <t xml:space="preserve">   ≥ 2 or Variable Stage</t>
  </si>
  <si>
    <t xml:space="preserve">  Programmable</t>
  </si>
  <si>
    <t xml:space="preserve">  Thermostat with Wifi or Home Automation System capability</t>
  </si>
  <si>
    <t xml:space="preserve">  Flooring  (Min. 75%, should be awarded in addition to "p" )</t>
  </si>
  <si>
    <t xml:space="preserve">  Insulation (Min. 100%, should be awarded in addition to "g")</t>
  </si>
  <si>
    <t>EPA's Radon Standards of Practice/AARST ANSI Standards</t>
  </si>
  <si>
    <t>For homes in Radon Zone 1, follow the Radon Standards of Practice/AARST ANSI Standard for radon resistant construction and perform a passive test OR have an active radon test done by a Certified Radon Measurement Professional.  For homes in Radon Zone 2-3, or Homes on vented crawlspaces a passive test is required. The home must not exceed 4.0 pCi/L. Homes that are fully on stilts are exempt from the testing requirement.</t>
  </si>
  <si>
    <t>Develop a Construction Waste Management Plan and achieve recycling rate of 75% or OR Total Construction waste reduction rate of less than 1 lb/sqft</t>
  </si>
  <si>
    <t>A minimum of 3 biophilic design elements such as daylighting, outdoor living spaces, green roof, or indoor living wall</t>
  </si>
  <si>
    <t>Home is all electric (wood burning fireplaces that meet EPA Indoor airPLUS requirements are allowed)</t>
  </si>
  <si>
    <t>can we anticiate adequately what type of level 2 charger people will need?</t>
  </si>
  <si>
    <t xml:space="preserve">what is the catchment timeframe? </t>
  </si>
  <si>
    <t xml:space="preserve">cover all the non potable use with </t>
  </si>
  <si>
    <t>is there really enough evidence that balanced has a clear benefit?</t>
  </si>
  <si>
    <t>1 lb per square foot? Really?</t>
  </si>
  <si>
    <t>well water and living roof might make the exception to the other ways of doing net zero water.</t>
  </si>
  <si>
    <t>who is higher ground…</t>
  </si>
  <si>
    <t>include low flow plumbing if you go that way.</t>
  </si>
  <si>
    <t>living roof + wellwater as an allowed alternative.</t>
  </si>
  <si>
    <t>the idea being that if you are on a well you are already using water only from your site?</t>
  </si>
  <si>
    <t>not necessarily true…</t>
  </si>
  <si>
    <t>why does the living roof matter in that situation?  Because of stormwater?</t>
  </si>
  <si>
    <t>or because you CAN'T rainwater catch it….</t>
  </si>
  <si>
    <t>Calculate the indoor water use of the project using HERS H2O, WERS, or other equivalent calculation tool approved by GBA</t>
  </si>
  <si>
    <t>South roof area suitable for future solar hot water or photovoltaic collectors facing within 45° East or West of solar South,  min 110 square feet of roof area per 2000 square feet of conditioned floor area</t>
  </si>
  <si>
    <t>Copy of calculations, system cooling capacity information</t>
  </si>
  <si>
    <t>Energy Vanguard: Low Level CO Monitors</t>
  </si>
  <si>
    <t>Any home with combustion appliances including water heaters, furnaces or appliances:
 • Carbon monoxide (CO) detectors must be installed, one per floor 
 •  All gas equipment is sealed combustion, power vented, or located outside the conditioned space (including sealed crawl space). No unvented combustion equipment. (ovens and ranges excluded)</t>
  </si>
  <si>
    <t xml:space="preserve"> + NET ZERO ENERGY READY CERTIFICATION ONLY: meet all of the following (see exceptions in pop up comments):
a) HERS 55 or lower
b) South roof area suitable for future photovoltaic collectors facing within 45° East or West of solar South and free of shade
c) A minimum of 110 sq.ft of roof area per 2000 sq.ft of conditioned area
d) Chase and 3/4 inch metal conduit installed </t>
  </si>
  <si>
    <t>DOE Zero Energy Ready Home Certification</t>
  </si>
  <si>
    <t>Duct system sized, designed, and installed in accordance with latest ANSI/ACCA Manual D or equivalent calculation, using approved software</t>
  </si>
  <si>
    <t>Install and test exhaust fans vented to the outside to meet ASHRAE 62.2 compliant flow rates:  
     •Baths with showers TESTED to exhaust 50 CFM intermittent or 20 CFM continuous. Continuous bath fans must be ENERGY STAR Labeled. 
     • Kitchen exhaust TESTED to exhauast 100 CFM, minimum (hood or downdraft), or comply with ASHRAE Standard 62.2. &gt;600 CFM requires intentional make up air.  
Note that range hoods over 600 CFM have the potential to cause comfort, energy efficiency, and air-quality issues in homes that are not easily solved by technology or inspections.  Green Built Homes strongly encourages participants to consider alternatives, such as induction.</t>
  </si>
  <si>
    <t>Energy Star for Homes Certification</t>
  </si>
  <si>
    <r>
      <rPr>
        <b/>
        <sz val="10"/>
        <rFont val="Arial"/>
        <family val="2"/>
      </rPr>
      <t>PROJECT SCORE CARD</t>
    </r>
    <r>
      <rPr>
        <sz val="10"/>
        <rFont val="Arial"/>
        <family val="2"/>
      </rPr>
      <t xml:space="preserve">  - The User can use the PROJECT SCORE CARD to track the point totals for the project.  The PROJECT SCORE CARD automatically tallies the points of the opportunities that are complete, or marked with a "</t>
    </r>
    <r>
      <rPr>
        <b/>
        <sz val="10"/>
        <rFont val="Arial"/>
        <family val="2"/>
      </rPr>
      <t>Y</t>
    </r>
    <r>
      <rPr>
        <sz val="10"/>
        <rFont val="Arial"/>
        <family val="2"/>
      </rPr>
      <t>" or "</t>
    </r>
    <r>
      <rPr>
        <b/>
        <sz val="10"/>
        <rFont val="Arial"/>
        <family val="2"/>
      </rPr>
      <t>M</t>
    </r>
    <r>
      <rPr>
        <sz val="10"/>
        <rFont val="Arial"/>
        <family val="2"/>
      </rPr>
      <t>."</t>
    </r>
  </si>
  <si>
    <t>Last Updated 9.14.2022</t>
  </si>
  <si>
    <t>Develop and implement a tree preservation plan, AND
Protect individual trees during construction: Fence individual trees at drip line, AND
Leave &gt;25% of trees and natural features on site undisturbed during construction, OR
Tree planting (minimum 12 trees per acre of developed land)</t>
  </si>
  <si>
    <t>Calculate the indoor water use of the project using HERS H2O, WERS, or equivalent water tool approved by GBA</t>
  </si>
  <si>
    <t>Home meets ENERGY STAR V3 or 3.1 with HERS 15 or lower</t>
  </si>
  <si>
    <t>Additional Energy Efficiency Program Participation. Choose ONE of the following:</t>
  </si>
  <si>
    <t xml:space="preserve">Make the home Solar Ready by doing one of the following:
a) Min 3/4" metal conduit installed
b) Quote from installer provided to homeowner (could include future ground mount system and site plan if there isn't suitable roof area) </t>
  </si>
  <si>
    <t>Vertical edge insulation creats a thermal break (Choose ONE):</t>
  </si>
  <si>
    <t xml:space="preserve">  Continuous Insulation: Zone3=R-20, Zone4/5=R-25</t>
  </si>
  <si>
    <t>Heat pump dryer or CEF&gt;4</t>
  </si>
  <si>
    <t>Energy Efficient Clothes Dryer (Choose ONE)</t>
  </si>
  <si>
    <t>EER (14 EER and Above)</t>
  </si>
  <si>
    <t xml:space="preserve">Education and Impact (choose three):
  a. Integrated project team meets monthly during construction
  b. Submit Advocacy letters to suppliers/manufacturers to remove red list chemicals
  c. Submit regulatory appeal for use of graywater/rainwater
  d. Company website includes a page of information about green building including the features &amp; benefits of certification    
  e. Publish newspaper or magazine article on the home
  f.  Make presentation on Green Built to group of 10 or more
  g. Participate in a Green Building Tour or Parade of Homes 
  h. Operations and Maintenance Manual
   i. Builder is a certified Living Wage Employer
  j. Provide GBA access to utility bills for one year
  k. Calculate the embodied carbon footprint of the project and offset
</t>
  </si>
  <si>
    <t xml:space="preserve">   ≥ 13 HSPF or 10 HSPF2</t>
  </si>
  <si>
    <t>Last Updated 6/1/2023</t>
  </si>
  <si>
    <t>Quantify average annual inches of stormwater runoff generated by the home using the EPA Stormwater Tool</t>
  </si>
  <si>
    <t>Install stormwater control systems to manage runoff from at least the 2 year, 24 hour storm</t>
  </si>
  <si>
    <t xml:space="preserve">   ≥ 8.5 HSPF, 7.2 HSPF2, 92 AFUE Furnace, 90 AFUE Boiler or 3.3 COP</t>
  </si>
  <si>
    <t xml:space="preserve">   ≥ 9.0 HSPF, 7.6HSPF2, 94 AFUE Furnace, 94 AFUE Boiler or 3.9 COP</t>
  </si>
  <si>
    <r>
      <t xml:space="preserve">   ≥ 9.5 HSPF, 8.1HSPF2</t>
    </r>
    <r>
      <rPr>
        <sz val="10"/>
        <color rgb="FFFF0000"/>
        <rFont val="Arial"/>
        <family val="2"/>
      </rPr>
      <t>,</t>
    </r>
    <r>
      <rPr>
        <sz val="10"/>
        <rFont val="Arial"/>
        <family val="2"/>
      </rPr>
      <t xml:space="preserve"> 96 AFUE Furnace, 96 AFUE Boiler or 4.1 COP</t>
    </r>
  </si>
  <si>
    <t>SEER or SEER2  (15 and Above)</t>
  </si>
  <si>
    <t>Sealed crawlspace with at minimum 10 mil poly on floor</t>
  </si>
  <si>
    <r>
      <t xml:space="preserve">Offset the home's </t>
    </r>
    <r>
      <rPr>
        <sz val="10"/>
        <rFont val="Arial"/>
        <family val="2"/>
      </rPr>
      <t xml:space="preserve">scope 1 and scope 2 </t>
    </r>
    <r>
      <rPr>
        <sz val="10"/>
        <color rgb="FF008000"/>
        <rFont val="Arial"/>
        <family val="2"/>
      </rPr>
      <t xml:space="preserve">carbon footprint from construction </t>
    </r>
  </si>
  <si>
    <r>
      <t xml:space="preserve">Offset the home's </t>
    </r>
    <r>
      <rPr>
        <sz val="10"/>
        <rFont val="Arial"/>
        <family val="2"/>
      </rPr>
      <t xml:space="preserve">operational </t>
    </r>
    <r>
      <rPr>
        <sz val="10"/>
        <color rgb="FF008000"/>
        <rFont val="Arial"/>
        <family val="2"/>
      </rPr>
      <t>carbon footprint for one year</t>
    </r>
  </si>
  <si>
    <r>
      <t xml:space="preserve">Home meets </t>
    </r>
    <r>
      <rPr>
        <sz val="10"/>
        <rFont val="Arial"/>
        <family val="2"/>
      </rPr>
      <t>ENERGY STAR V3.1</t>
    </r>
    <r>
      <rPr>
        <sz val="10"/>
        <color rgb="FF000000"/>
        <rFont val="Arial"/>
        <family val="2"/>
      </rPr>
      <t xml:space="preserve"> or NC HERO Code with HERS rating</t>
    </r>
  </si>
  <si>
    <t>Soufl Construction</t>
  </si>
  <si>
    <t>147 Abundance Run, Asheville, NC 28805</t>
  </si>
  <si>
    <t>MS - Matt Soufl (Soufl Construction), MV - Matthew Vande (VandeMusser Design)</t>
  </si>
  <si>
    <t>MS</t>
  </si>
  <si>
    <t>MV</t>
  </si>
  <si>
    <t>MV 8.1% total / 0.0% leakage to outside (5 returns)</t>
  </si>
  <si>
    <t>Cooling load: 24 Kbtuh</t>
  </si>
  <si>
    <t>Cooling capacity: 28.8 kbtuh</t>
  </si>
  <si>
    <t>MV - HRV 56 cfm required, 77 cfm tested</t>
  </si>
  <si>
    <t>MV - kitchen hood 138 cfm, powder 78 (continuous HRV), master bath 66 cfm, upper bath 79 cfm</t>
  </si>
  <si>
    <t>n/a - all electric</t>
  </si>
  <si>
    <t>MV - city of Asheville</t>
  </si>
  <si>
    <t>MV - 7 trees / 0.15 acre</t>
  </si>
  <si>
    <t>MV - New Haw Creek Rd</t>
  </si>
  <si>
    <t>MS - less than 0.15 acre</t>
  </si>
  <si>
    <t>MV - 90% no-mow grass, mulch</t>
  </si>
  <si>
    <t>MV - 1.5 gpm</t>
  </si>
  <si>
    <t>MV - 1.2 gpm</t>
  </si>
  <si>
    <t>MV - 2.0 gpm</t>
  </si>
  <si>
    <t xml:space="preserve">MV - 1.28 gpf </t>
  </si>
  <si>
    <t>MV - Kohler K-31615-0</t>
  </si>
  <si>
    <t>not installed</t>
  </si>
  <si>
    <t>MV - 0.10</t>
  </si>
  <si>
    <t xml:space="preserve">MV </t>
  </si>
  <si>
    <t>k-wall (r8)</t>
  </si>
  <si>
    <t>MV - 6" foam over garage</t>
  </si>
  <si>
    <t>MV - 2x6 R-19</t>
  </si>
  <si>
    <t>MV - 0.29 or less</t>
  </si>
  <si>
    <t>MV - 0.20 or less</t>
  </si>
  <si>
    <t>not facing less than or equal to 15 degrees from  south</t>
  </si>
  <si>
    <t>8.1% total</t>
  </si>
  <si>
    <t>MV - single stage</t>
  </si>
  <si>
    <t>MV - HSPF2 7.8</t>
  </si>
  <si>
    <t>MV - SEER2 14.8 (converts to SEER 15.3)</t>
  </si>
  <si>
    <t>MV - GRSC2352AF3 615 kwh/yr</t>
  </si>
  <si>
    <t>MV - Rheem XE50T10H45U0   UEF= 3.88</t>
  </si>
  <si>
    <t>MV - 100%</t>
  </si>
  <si>
    <t>MV - Rhino Renewables</t>
  </si>
  <si>
    <t>MV - 56 cfm required, 77 cfm tested</t>
  </si>
  <si>
    <t>MV - passive pipe</t>
  </si>
  <si>
    <t>MS - Marsh / CARB complaint</t>
  </si>
  <si>
    <t>MV - quartz/ wood</t>
  </si>
  <si>
    <t>MV wood</t>
  </si>
  <si>
    <t>MV - Sherwin Williams ProMar 200</t>
  </si>
  <si>
    <t>MV - Bona Traffic</t>
  </si>
  <si>
    <t>MV - Zero formaldehyde fiberglass</t>
  </si>
  <si>
    <t>2544 sf</t>
  </si>
  <si>
    <t>MV - LP SmartSide</t>
  </si>
  <si>
    <t>MV - trusses</t>
  </si>
  <si>
    <t>MS - MDF doors</t>
  </si>
  <si>
    <t>MS - Fingerjointed pine</t>
  </si>
  <si>
    <t>MV - b, MS - c</t>
  </si>
  <si>
    <t>Date of Final Walkthrough: 1/25/24</t>
  </si>
  <si>
    <t>MV - Energy Star &amp; 2.9 gal/cycle</t>
  </si>
  <si>
    <t>MV - Energy Star 3.1 / confirmed HERS 13</t>
  </si>
  <si>
    <t>MV - Man J by: VandeMusser</t>
  </si>
  <si>
    <t>MV - PV verified with Sugar Hollow / confirmed HERS 54 w/o PV, HERS 13 with PV</t>
  </si>
  <si>
    <t>to have blueberries, serviceberry (NOT IN 1/25/24)</t>
  </si>
  <si>
    <t>y</t>
  </si>
  <si>
    <t>MV - confirmed HERS 13</t>
  </si>
  <si>
    <t>MV - 9440.9 generated / 12382.3 used = 76.24% (see fuel summary report)</t>
  </si>
  <si>
    <t>MV - MERV 10</t>
  </si>
  <si>
    <t>MV - HRV</t>
  </si>
  <si>
    <t>MV - passive pipe installed / 3.4 pCi/L (passive test)</t>
  </si>
  <si>
    <t>% oversized and stage: 122.1% single stage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</si>
</sst>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
  </numFmts>
  <fonts count="78" x14ac:knownFonts="1">
    <font>
      <sz val="11"/>
      <color rgb="FF000000"/>
      <name val="Calibri"/>
    </font>
    <font>
      <b/>
      <sz val="11"/>
      <color rgb="FF000000"/>
      <name val="Arial"/>
      <family val="2"/>
    </font>
    <font>
      <b/>
      <sz val="10"/>
      <color rgb="FFFFFFFF"/>
      <name val="Arial"/>
      <family val="2"/>
    </font>
    <font>
      <b/>
      <sz val="11"/>
      <color rgb="FFFFFFFF"/>
      <name val="Arial"/>
      <family val="2"/>
    </font>
    <font>
      <b/>
      <sz val="10"/>
      <name val="Arial"/>
      <family val="2"/>
    </font>
    <font>
      <b/>
      <sz val="11"/>
      <name val="Arial"/>
      <family val="2"/>
    </font>
    <font>
      <b/>
      <sz val="11"/>
      <name val="Calibri"/>
      <family val="2"/>
    </font>
    <font>
      <sz val="11"/>
      <color rgb="FF000000"/>
      <name val="Arial"/>
      <family val="2"/>
    </font>
    <font>
      <sz val="10"/>
      <color rgb="FF000000"/>
      <name val="Arial"/>
      <family val="2"/>
    </font>
    <font>
      <sz val="11"/>
      <name val="Calibri"/>
      <family val="2"/>
    </font>
    <font>
      <sz val="11"/>
      <name val="Arial"/>
      <family val="2"/>
    </font>
    <font>
      <b/>
      <sz val="14"/>
      <color rgb="FF000000"/>
      <name val="Arial"/>
      <family val="2"/>
    </font>
    <font>
      <b/>
      <sz val="9"/>
      <color rgb="FF000000"/>
      <name val="Arial"/>
      <family val="2"/>
    </font>
    <font>
      <b/>
      <sz val="9"/>
      <name val="Arial"/>
      <family val="2"/>
    </font>
    <font>
      <sz val="14"/>
      <color rgb="FF000000"/>
      <name val="Arial"/>
      <family val="2"/>
    </font>
    <font>
      <sz val="11"/>
      <color rgb="FF008000"/>
      <name val="Arial"/>
      <family val="2"/>
    </font>
    <font>
      <b/>
      <sz val="10"/>
      <color rgb="FF000000"/>
      <name val="Arial"/>
      <family val="2"/>
    </font>
    <font>
      <b/>
      <sz val="12"/>
      <color rgb="FF000000"/>
      <name val="Arial"/>
      <family val="2"/>
    </font>
    <font>
      <u/>
      <sz val="10"/>
      <color rgb="FF000000"/>
      <name val="Arial"/>
      <family val="2"/>
    </font>
    <font>
      <sz val="14"/>
      <name val="Arial"/>
      <family val="2"/>
    </font>
    <font>
      <sz val="10"/>
      <name val="Arial"/>
      <family val="2"/>
    </font>
    <font>
      <sz val="11"/>
      <color rgb="FFC00000"/>
      <name val="Arial"/>
      <family val="2"/>
    </font>
    <font>
      <sz val="11"/>
      <name val="Calibri"/>
      <family val="2"/>
    </font>
    <font>
      <sz val="10"/>
      <color rgb="FF000000"/>
      <name val="Calibri"/>
      <family val="2"/>
    </font>
    <font>
      <u/>
      <sz val="10"/>
      <name val="Arial"/>
      <family val="2"/>
    </font>
    <font>
      <sz val="11"/>
      <color rgb="FF000000"/>
      <name val="Calibri"/>
      <family val="2"/>
    </font>
    <font>
      <sz val="12"/>
      <color rgb="FF000000"/>
      <name val="Arial"/>
      <family val="2"/>
    </font>
    <font>
      <b/>
      <sz val="18"/>
      <color rgb="FFFFFFFF"/>
      <name val="Arial"/>
      <family val="2"/>
    </font>
    <font>
      <sz val="10"/>
      <color rgb="FF008000"/>
      <name val="Arial"/>
      <family val="2"/>
    </font>
    <font>
      <b/>
      <sz val="16"/>
      <color rgb="FFFFFFFF"/>
      <name val="Arial"/>
      <family val="2"/>
    </font>
    <font>
      <u/>
      <sz val="11"/>
      <color rgb="FF000000"/>
      <name val="Arial"/>
      <family val="2"/>
    </font>
    <font>
      <b/>
      <sz val="20"/>
      <color rgb="FFFFFFFF"/>
      <name val="Arial"/>
      <family val="2"/>
    </font>
    <font>
      <sz val="11"/>
      <color rgb="FF70AD47"/>
      <name val="Arial"/>
      <family val="2"/>
    </font>
    <font>
      <b/>
      <sz val="12"/>
      <name val="Arial"/>
      <family val="2"/>
    </font>
    <font>
      <sz val="10"/>
      <color rgb="FF434343"/>
      <name val="Arial"/>
      <family val="2"/>
    </font>
    <font>
      <sz val="8"/>
      <color rgb="FF000000"/>
      <name val="Arial"/>
      <family val="2"/>
    </font>
    <font>
      <b/>
      <sz val="8"/>
      <color rgb="FF000000"/>
      <name val="Arial"/>
      <family val="2"/>
    </font>
    <font>
      <sz val="9"/>
      <color rgb="FF000000"/>
      <name val="Arial"/>
      <family val="2"/>
    </font>
    <font>
      <b/>
      <sz val="10"/>
      <color rgb="FF003300"/>
      <name val="Arial"/>
      <family val="2"/>
    </font>
    <font>
      <b/>
      <sz val="12"/>
      <color rgb="FFFFFFFF"/>
      <name val="Arial"/>
      <family val="2"/>
    </font>
    <font>
      <b/>
      <sz val="10"/>
      <color rgb="FF008000"/>
      <name val="Arial"/>
      <family val="2"/>
    </font>
    <font>
      <sz val="10"/>
      <name val="Calibri"/>
      <family val="2"/>
    </font>
    <font>
      <i/>
      <sz val="10"/>
      <name val="Arial"/>
      <family val="2"/>
    </font>
    <font>
      <u/>
      <sz val="10"/>
      <name val="Calibri"/>
      <family val="2"/>
    </font>
    <font>
      <u/>
      <sz val="11"/>
      <name val="Arial"/>
      <family val="2"/>
    </font>
    <font>
      <b/>
      <u/>
      <sz val="11"/>
      <name val="Arial"/>
      <family val="2"/>
    </font>
    <font>
      <sz val="9"/>
      <name val="Arial"/>
      <family val="2"/>
    </font>
    <font>
      <i/>
      <sz val="11"/>
      <name val="Arial"/>
      <family val="2"/>
    </font>
    <font>
      <b/>
      <u/>
      <sz val="16"/>
      <color theme="0"/>
      <name val="Arial"/>
      <family val="2"/>
    </font>
    <font>
      <b/>
      <sz val="16"/>
      <color theme="0"/>
      <name val="Arial"/>
      <family val="2"/>
    </font>
    <font>
      <u/>
      <sz val="11"/>
      <color rgb="FF70AD47"/>
      <name val="Arial"/>
      <family val="2"/>
    </font>
    <font>
      <u/>
      <sz val="11"/>
      <color theme="10"/>
      <name val="Calibri"/>
      <family val="2"/>
    </font>
    <font>
      <b/>
      <u/>
      <sz val="10"/>
      <name val="Arial"/>
      <family val="2"/>
    </font>
    <font>
      <b/>
      <sz val="18"/>
      <color theme="0"/>
      <name val="Times New Roman"/>
      <family val="1"/>
    </font>
    <font>
      <b/>
      <i/>
      <sz val="18"/>
      <color theme="0"/>
      <name val="Times New Roman"/>
      <family val="1"/>
    </font>
    <font>
      <sz val="18"/>
      <color rgb="FF000000"/>
      <name val="Times New Roman"/>
      <family val="1"/>
    </font>
    <font>
      <sz val="9"/>
      <color indexed="81"/>
      <name val="Tahoma"/>
      <family val="2"/>
    </font>
    <font>
      <b/>
      <sz val="12"/>
      <color theme="0"/>
      <name val="Arial"/>
      <family val="2"/>
    </font>
    <font>
      <b/>
      <sz val="11"/>
      <color theme="0"/>
      <name val="Arial"/>
      <family val="2"/>
    </font>
    <font>
      <b/>
      <sz val="16"/>
      <color theme="0"/>
      <name val="Calibri"/>
      <family val="2"/>
    </font>
    <font>
      <sz val="16"/>
      <color theme="0"/>
      <name val="Calibri"/>
      <family val="2"/>
    </font>
    <font>
      <b/>
      <sz val="10"/>
      <color rgb="FFFF0000"/>
      <name val="Arial"/>
      <family val="2"/>
    </font>
    <font>
      <b/>
      <sz val="14"/>
      <name val="Arial"/>
      <family val="2"/>
    </font>
    <font>
      <b/>
      <u/>
      <sz val="14"/>
      <name val="Arial"/>
      <family val="2"/>
    </font>
    <font>
      <sz val="10"/>
      <color rgb="FF009900"/>
      <name val="Arial"/>
      <family val="2"/>
    </font>
    <font>
      <sz val="11"/>
      <color rgb="FF009900"/>
      <name val="Arial"/>
      <family val="2"/>
    </font>
    <font>
      <sz val="11"/>
      <color indexed="81"/>
      <name val="Calibri"/>
      <family val="2"/>
      <scheme val="minor"/>
    </font>
    <font>
      <b/>
      <sz val="10"/>
      <color rgb="FF009900"/>
      <name val="Arial"/>
      <family val="2"/>
    </font>
    <font>
      <b/>
      <sz val="48"/>
      <color rgb="FF009900"/>
      <name val="Times New Roman"/>
      <family val="1"/>
    </font>
    <font>
      <b/>
      <i/>
      <sz val="18"/>
      <color rgb="FF009900"/>
      <name val="Times New Roman"/>
      <family val="1"/>
    </font>
    <font>
      <sz val="11"/>
      <color rgb="FF009900"/>
      <name val="Calibri"/>
      <family val="2"/>
    </font>
    <font>
      <b/>
      <sz val="9"/>
      <color indexed="81"/>
      <name val="Tahoma"/>
      <family val="2"/>
    </font>
    <font>
      <u/>
      <sz val="10"/>
      <color theme="1"/>
      <name val="Arial"/>
      <family val="2"/>
    </font>
    <font>
      <sz val="10"/>
      <color theme="1"/>
      <name val="Arial"/>
      <family val="2"/>
    </font>
    <font>
      <u/>
      <sz val="11"/>
      <color theme="1"/>
      <name val="Calibri"/>
      <family val="2"/>
    </font>
    <font>
      <sz val="11"/>
      <color theme="1"/>
      <name val="Arial"/>
      <family val="2"/>
    </font>
    <font>
      <sz val="10"/>
      <color rgb="FFFF0000"/>
      <name val="Arial"/>
      <family val="2"/>
    </font>
    <font>
      <sz val="11"/>
      <color rgb="FFFF0000"/>
      <name val="Arial"/>
      <family val="2"/>
    </font>
  </fonts>
  <fills count="24">
    <fill>
      <patternFill patternType="none"/>
    </fill>
    <fill>
      <patternFill patternType="gray125"/>
    </fill>
    <fill>
      <patternFill patternType="solid">
        <fgColor rgb="FF70AD47"/>
        <bgColor rgb="FF70AD47"/>
      </patternFill>
    </fill>
    <fill>
      <patternFill patternType="solid">
        <fgColor rgb="FF008000"/>
        <bgColor rgb="FF008000"/>
      </patternFill>
    </fill>
    <fill>
      <patternFill patternType="solid">
        <fgColor rgb="FFFFFFFF"/>
        <bgColor rgb="FFFFFFFF"/>
      </patternFill>
    </fill>
    <fill>
      <patternFill patternType="solid">
        <fgColor rgb="FF0000FF"/>
        <bgColor rgb="FF0000FF"/>
      </patternFill>
    </fill>
    <fill>
      <patternFill patternType="solid">
        <fgColor rgb="FF3366FF"/>
        <bgColor rgb="FF3366FF"/>
      </patternFill>
    </fill>
    <fill>
      <patternFill patternType="solid">
        <fgColor rgb="FFCCCCFF"/>
        <bgColor rgb="FFCCCCFF"/>
      </patternFill>
    </fill>
    <fill>
      <patternFill patternType="solid">
        <fgColor rgb="FFFFFF99"/>
        <bgColor rgb="FFFFFF99"/>
      </patternFill>
    </fill>
    <fill>
      <patternFill patternType="solid">
        <fgColor rgb="FFCCFFCC"/>
        <bgColor rgb="FFCCFFCC"/>
      </patternFill>
    </fill>
    <fill>
      <patternFill patternType="solid">
        <fgColor rgb="FFCCFECC"/>
        <bgColor rgb="FFCCFECC"/>
      </patternFill>
    </fill>
    <fill>
      <patternFill patternType="solid">
        <fgColor theme="0"/>
        <bgColor indexed="64"/>
      </patternFill>
    </fill>
    <fill>
      <patternFill patternType="solid">
        <fgColor rgb="FFFFFF99"/>
        <bgColor rgb="FFFFFFCC"/>
      </patternFill>
    </fill>
    <fill>
      <patternFill patternType="solid">
        <fgColor rgb="FFFFFF99"/>
        <bgColor indexed="64"/>
      </patternFill>
    </fill>
    <fill>
      <patternFill patternType="solid">
        <fgColor rgb="FFCCCCFF"/>
        <bgColor rgb="FFB7B7B7"/>
      </patternFill>
    </fill>
    <fill>
      <patternFill patternType="solid">
        <fgColor rgb="FFCCCCFF"/>
        <bgColor indexed="64"/>
      </patternFill>
    </fill>
    <fill>
      <patternFill patternType="solid">
        <fgColor rgb="FFCCCCFF"/>
        <bgColor rgb="FFC0C0C0"/>
      </patternFill>
    </fill>
    <fill>
      <patternFill patternType="solid">
        <fgColor rgb="FFCCCCFF"/>
        <bgColor rgb="FFD9E2F3"/>
      </patternFill>
    </fill>
    <fill>
      <patternFill patternType="solid">
        <fgColor rgb="FFCCCCFF"/>
        <bgColor rgb="FFDADADA"/>
      </patternFill>
    </fill>
    <fill>
      <patternFill patternType="solid">
        <fgColor rgb="FF009900"/>
        <bgColor indexed="64"/>
      </patternFill>
    </fill>
    <fill>
      <patternFill patternType="solid">
        <fgColor rgb="FF009900"/>
        <bgColor rgb="FFFFFF99"/>
      </patternFill>
    </fill>
    <fill>
      <patternFill patternType="solid">
        <fgColor rgb="FF009900"/>
        <bgColor rgb="FFFFFFFF"/>
      </patternFill>
    </fill>
    <fill>
      <patternFill patternType="solid">
        <fgColor theme="0"/>
        <bgColor rgb="FFFFFF99"/>
      </patternFill>
    </fill>
    <fill>
      <patternFill patternType="solid">
        <fgColor theme="0"/>
        <bgColor rgb="FFFFFFFF"/>
      </patternFill>
    </fill>
  </fills>
  <borders count="332">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style="thin">
        <color rgb="FF000000"/>
      </left>
      <right/>
      <top style="thin">
        <color rgb="FF000000"/>
      </top>
      <bottom style="thin">
        <color rgb="FF000000"/>
      </bottom>
      <diagonal/>
    </border>
    <border>
      <left/>
      <right/>
      <top style="medium">
        <color rgb="FF000000"/>
      </top>
      <bottom/>
      <diagonal/>
    </border>
    <border>
      <left/>
      <right/>
      <top style="thin">
        <color rgb="FF000000"/>
      </top>
      <bottom style="thin">
        <color rgb="FF000000"/>
      </bottom>
      <diagonal/>
    </border>
    <border>
      <left/>
      <right style="medium">
        <color rgb="FF000000"/>
      </right>
      <top style="medium">
        <color rgb="FF000000"/>
      </top>
      <bottom/>
      <diagonal/>
    </border>
    <border>
      <left/>
      <right style="thin">
        <color rgb="FF000000"/>
      </right>
      <top style="thin">
        <color rgb="FF000000"/>
      </top>
      <bottom style="thin">
        <color rgb="FF000000"/>
      </bottom>
      <diagonal/>
    </border>
    <border>
      <left/>
      <right/>
      <top style="hair">
        <color rgb="FF000000"/>
      </top>
      <bottom/>
      <diagonal/>
    </border>
    <border>
      <left style="medium">
        <color rgb="FF000000"/>
      </left>
      <right/>
      <top/>
      <bottom/>
      <diagonal/>
    </border>
    <border>
      <left/>
      <right style="medium">
        <color rgb="FF000000"/>
      </right>
      <top/>
      <bottom/>
      <diagonal/>
    </border>
    <border>
      <left style="thin">
        <color rgb="FF000000"/>
      </left>
      <right style="medium">
        <color rgb="FF000000"/>
      </right>
      <top style="thin">
        <color rgb="FF000000"/>
      </top>
      <bottom style="thin">
        <color rgb="FF000000"/>
      </bottom>
      <diagonal/>
    </border>
    <border>
      <left style="medium">
        <color rgb="FF000000"/>
      </left>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thin">
        <color rgb="FF000000"/>
      </top>
      <bottom style="thin">
        <color rgb="FF000000"/>
      </bottom>
      <diagonal/>
    </border>
    <border>
      <left/>
      <right/>
      <top/>
      <bottom/>
      <diagonal/>
    </border>
    <border>
      <left/>
      <right/>
      <top/>
      <bottom/>
      <diagonal/>
    </border>
    <border>
      <left/>
      <right/>
      <top/>
      <bottom/>
      <diagonal/>
    </border>
    <border>
      <left/>
      <right style="thin">
        <color rgb="FF000000"/>
      </right>
      <top/>
      <bottom/>
      <diagonal/>
    </border>
    <border>
      <left style="thin">
        <color rgb="FF000000"/>
      </left>
      <right style="medium">
        <color rgb="FF000000"/>
      </right>
      <top/>
      <bottom/>
      <diagonal/>
    </border>
    <border>
      <left/>
      <right style="medium">
        <color rgb="FF000000"/>
      </right>
      <top style="thin">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diagonal/>
    </border>
    <border>
      <left style="thin">
        <color rgb="FF000000"/>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style="thin">
        <color rgb="FF000000"/>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diagonal/>
    </border>
    <border>
      <left style="medium">
        <color rgb="FF000000"/>
      </left>
      <right style="thin">
        <color rgb="FF000000"/>
      </right>
      <top/>
      <bottom/>
      <diagonal/>
    </border>
    <border>
      <left/>
      <right style="medium">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diagonal/>
    </border>
    <border>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style="medium">
        <color rgb="FF000000"/>
      </right>
      <top style="hair">
        <color rgb="FF000000"/>
      </top>
      <bottom style="hair">
        <color rgb="FF000000"/>
      </bottom>
      <diagonal/>
    </border>
    <border>
      <left style="medium">
        <color rgb="FF000000"/>
      </left>
      <right style="thin">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style="thin">
        <color rgb="FF000000"/>
      </top>
      <bottom style="thin">
        <color rgb="FF000000"/>
      </bottom>
      <diagonal/>
    </border>
    <border>
      <left style="medium">
        <color rgb="FF000000"/>
      </left>
      <right style="thin">
        <color rgb="FF000000"/>
      </right>
      <top/>
      <bottom style="hair">
        <color rgb="FF000000"/>
      </bottom>
      <diagonal/>
    </border>
    <border>
      <left style="thin">
        <color rgb="FF000000"/>
      </left>
      <right style="thin">
        <color rgb="FF000000"/>
      </right>
      <top/>
      <bottom style="hair">
        <color rgb="FF000000"/>
      </bottom>
      <diagonal/>
    </border>
    <border>
      <left style="thin">
        <color rgb="FF000000"/>
      </left>
      <right/>
      <top/>
      <bottom style="hair">
        <color rgb="FF000000"/>
      </bottom>
      <diagonal/>
    </border>
    <border>
      <left style="thin">
        <color rgb="FF000000"/>
      </left>
      <right style="medium">
        <color rgb="FF000000"/>
      </right>
      <top/>
      <bottom style="hair">
        <color rgb="FF000000"/>
      </bottom>
      <diagonal/>
    </border>
    <border>
      <left style="medium">
        <color rgb="FF000000"/>
      </left>
      <right style="thin">
        <color rgb="FF000000"/>
      </right>
      <top style="hair">
        <color rgb="FF000000"/>
      </top>
      <bottom/>
      <diagonal/>
    </border>
    <border>
      <left style="thin">
        <color rgb="FF000000"/>
      </left>
      <right style="thin">
        <color rgb="FF000000"/>
      </right>
      <top style="hair">
        <color rgb="FF000000"/>
      </top>
      <bottom/>
      <diagonal/>
    </border>
    <border>
      <left style="thin">
        <color rgb="FF000000"/>
      </left>
      <right/>
      <top style="hair">
        <color rgb="FF000000"/>
      </top>
      <bottom/>
      <diagonal/>
    </border>
    <border>
      <left style="thin">
        <color rgb="FF000000"/>
      </left>
      <right style="medium">
        <color rgb="FF000000"/>
      </right>
      <top style="hair">
        <color rgb="FF000000"/>
      </top>
      <bottom/>
      <diagonal/>
    </border>
    <border>
      <left style="medium">
        <color rgb="FF000000"/>
      </left>
      <right style="medium">
        <color rgb="FF000000"/>
      </right>
      <top style="hair">
        <color rgb="FF000000"/>
      </top>
      <bottom/>
      <diagonal/>
    </border>
    <border>
      <left style="medium">
        <color rgb="FF000000"/>
      </left>
      <right style="thin">
        <color rgb="FF000000"/>
      </right>
      <top/>
      <bottom/>
      <diagonal/>
    </border>
    <border>
      <left style="medium">
        <color rgb="FF000000"/>
      </left>
      <right style="medium">
        <color rgb="FF000000"/>
      </right>
      <top style="hair">
        <color rgb="FF000000"/>
      </top>
      <bottom style="thin">
        <color rgb="FF000000"/>
      </bottom>
      <diagonal/>
    </border>
    <border>
      <left style="thin">
        <color rgb="FF000000"/>
      </left>
      <right/>
      <top/>
      <bottom/>
      <diagonal/>
    </border>
    <border>
      <left style="thin">
        <color rgb="FF000000"/>
      </left>
      <right style="medium">
        <color rgb="FF000000"/>
      </right>
      <top/>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bottom/>
      <diagonal/>
    </border>
    <border>
      <left/>
      <right style="medium">
        <color rgb="FF000000"/>
      </right>
      <top style="medium">
        <color rgb="FF000000"/>
      </top>
      <bottom style="medium">
        <color rgb="FF000000"/>
      </bottom>
      <diagonal/>
    </border>
    <border>
      <left/>
      <right style="thin">
        <color rgb="FF000000"/>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bottom style="hair">
        <color rgb="FF000000"/>
      </bottom>
      <diagonal/>
    </border>
    <border>
      <left style="thin">
        <color rgb="FF000000"/>
      </left>
      <right style="thin">
        <color rgb="FF000000"/>
      </right>
      <top/>
      <bottom style="hair">
        <color rgb="FF000000"/>
      </bottom>
      <diagonal/>
    </border>
    <border>
      <left style="thin">
        <color rgb="FF000000"/>
      </left>
      <right/>
      <top/>
      <bottom style="hair">
        <color rgb="FF000000"/>
      </bottom>
      <diagonal/>
    </border>
    <border>
      <left style="thin">
        <color rgb="FF000000"/>
      </left>
      <right style="medium">
        <color rgb="FF000000"/>
      </right>
      <top/>
      <bottom style="hair">
        <color rgb="FF000000"/>
      </bottom>
      <diagonal/>
    </border>
    <border>
      <left style="thin">
        <color rgb="FF000000"/>
      </left>
      <right/>
      <top style="hair">
        <color rgb="FF000000"/>
      </top>
      <bottom style="hair">
        <color rgb="FF000000"/>
      </bottom>
      <diagonal/>
    </border>
    <border>
      <left style="medium">
        <color rgb="FF000000"/>
      </left>
      <right style="thin">
        <color rgb="FF000000"/>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style="medium">
        <color rgb="FF000000"/>
      </right>
      <top style="hair">
        <color rgb="FF000000"/>
      </top>
      <bottom style="thin">
        <color rgb="FF000000"/>
      </bottom>
      <diagonal/>
    </border>
    <border>
      <left style="thin">
        <color rgb="FF000000"/>
      </left>
      <right/>
      <top style="thin">
        <color rgb="FF000000"/>
      </top>
      <bottom style="hair">
        <color rgb="FF000000"/>
      </bottom>
      <diagonal/>
    </border>
    <border>
      <left/>
      <right style="medium">
        <color rgb="FF000000"/>
      </right>
      <top style="thin">
        <color rgb="FF000000"/>
      </top>
      <bottom style="hair">
        <color rgb="FF000000"/>
      </bottom>
      <diagonal/>
    </border>
    <border>
      <left/>
      <right/>
      <top style="medium">
        <color rgb="FF000000"/>
      </top>
      <bottom/>
      <diagonal/>
    </border>
    <border>
      <left style="thin">
        <color rgb="FF000000"/>
      </left>
      <right/>
      <top style="medium">
        <color rgb="FF000000"/>
      </top>
      <bottom style="hair">
        <color rgb="FF000000"/>
      </bottom>
      <diagonal/>
    </border>
    <border>
      <left/>
      <right style="medium">
        <color rgb="FF000000"/>
      </right>
      <top style="medium">
        <color rgb="FF000000"/>
      </top>
      <bottom style="hair">
        <color rgb="FF000000"/>
      </bottom>
      <diagonal/>
    </border>
    <border>
      <left style="thin">
        <color rgb="FF000000"/>
      </left>
      <right/>
      <top/>
      <bottom style="hair">
        <color rgb="FF000000"/>
      </bottom>
      <diagonal/>
    </border>
    <border>
      <left/>
      <right style="medium">
        <color rgb="FF000000"/>
      </right>
      <top/>
      <bottom style="hair">
        <color rgb="FF000000"/>
      </bottom>
      <diagonal/>
    </border>
    <border>
      <left style="medium">
        <color rgb="FF000000"/>
      </left>
      <right style="hair">
        <color rgb="FF000000"/>
      </right>
      <top style="hair">
        <color rgb="FF000000"/>
      </top>
      <bottom style="hair">
        <color rgb="FF000000"/>
      </bottom>
      <diagonal/>
    </border>
    <border>
      <left style="thin">
        <color rgb="FF000000"/>
      </left>
      <right/>
      <top style="hair">
        <color rgb="FF000000"/>
      </top>
      <bottom/>
      <diagonal/>
    </border>
    <border>
      <left/>
      <right style="medium">
        <color rgb="FF000000"/>
      </right>
      <top style="hair">
        <color rgb="FF000000"/>
      </top>
      <bottom/>
      <diagonal/>
    </border>
    <border>
      <left style="medium">
        <color rgb="FF000000"/>
      </left>
      <right style="hair">
        <color rgb="FF000000"/>
      </right>
      <top style="hair">
        <color rgb="FF000000"/>
      </top>
      <bottom/>
      <diagonal/>
    </border>
    <border>
      <left style="thin">
        <color rgb="FF000000"/>
      </left>
      <right/>
      <top style="thin">
        <color rgb="FF000000"/>
      </top>
      <bottom style="thick">
        <color rgb="FF000000"/>
      </bottom>
      <diagonal/>
    </border>
    <border>
      <left/>
      <right style="medium">
        <color rgb="FF000000"/>
      </right>
      <top style="thin">
        <color rgb="FF000000"/>
      </top>
      <bottom style="thick">
        <color rgb="FF000000"/>
      </bottom>
      <diagonal/>
    </border>
    <border>
      <left style="medium">
        <color rgb="FF000000"/>
      </left>
      <right style="medium">
        <color rgb="FF000000"/>
      </right>
      <top style="thin">
        <color rgb="FF000000"/>
      </top>
      <bottom style="medium">
        <color rgb="FF000000"/>
      </bottom>
      <diagonal/>
    </border>
    <border>
      <left/>
      <right/>
      <top style="thick">
        <color rgb="FF000000"/>
      </top>
      <bottom style="thick">
        <color rgb="FF000000"/>
      </bottom>
      <diagonal/>
    </border>
    <border>
      <left/>
      <right/>
      <top style="thick">
        <color rgb="FF000000"/>
      </top>
      <bottom style="thick">
        <color rgb="FF000000"/>
      </bottom>
      <diagonal/>
    </border>
    <border>
      <left/>
      <right/>
      <top style="thick">
        <color rgb="FF000000"/>
      </top>
      <bottom style="thick">
        <color rgb="FF000000"/>
      </bottom>
      <diagonal/>
    </border>
    <border>
      <left style="medium">
        <color rgb="FF000000"/>
      </left>
      <right style="medium">
        <color rgb="FF000000"/>
      </right>
      <top style="thick">
        <color rgb="FF000000"/>
      </top>
      <bottom style="thick">
        <color rgb="FF000000"/>
      </bottom>
      <diagonal/>
    </border>
    <border>
      <left/>
      <right/>
      <top/>
      <bottom style="thick">
        <color rgb="FF000000"/>
      </bottom>
      <diagonal/>
    </border>
    <border>
      <left/>
      <right style="thick">
        <color rgb="FF000000"/>
      </right>
      <top/>
      <bottom style="thick">
        <color rgb="FF000000"/>
      </bottom>
      <diagonal/>
    </border>
    <border>
      <left/>
      <right/>
      <top style="thick">
        <color rgb="FF000000"/>
      </top>
      <bottom/>
      <diagonal/>
    </border>
    <border>
      <left/>
      <right style="medium">
        <color rgb="FF000000"/>
      </right>
      <top/>
      <bottom/>
      <diagonal/>
    </border>
    <border>
      <left style="medium">
        <color rgb="FF000000"/>
      </left>
      <right/>
      <top/>
      <bottom style="thin">
        <color rgb="FF000000"/>
      </bottom>
      <diagonal/>
    </border>
    <border>
      <left style="medium">
        <color rgb="FF000000"/>
      </left>
      <right style="medium">
        <color rgb="FF000000"/>
      </right>
      <top/>
      <bottom/>
      <diagonal/>
    </border>
    <border>
      <left style="thin">
        <color rgb="FF000000"/>
      </left>
      <right style="medium">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style="hair">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medium">
        <color rgb="FF000000"/>
      </right>
      <top style="thin">
        <color rgb="FF000000"/>
      </top>
      <bottom style="hair">
        <color rgb="FF000000"/>
      </bottom>
      <diagonal/>
    </border>
    <border>
      <left style="medium">
        <color rgb="FF000000"/>
      </left>
      <right/>
      <top style="hair">
        <color rgb="FF000000"/>
      </top>
      <bottom style="hair">
        <color rgb="FF000000"/>
      </bottom>
      <diagonal/>
    </border>
    <border>
      <left style="thin">
        <color rgb="FF000000"/>
      </left>
      <right style="medium">
        <color rgb="FF000000"/>
      </right>
      <top style="hair">
        <color rgb="FF000000"/>
      </top>
      <bottom/>
      <diagonal/>
    </border>
    <border>
      <left style="medium">
        <color rgb="FF000000"/>
      </left>
      <right/>
      <top style="hair">
        <color rgb="FF000000"/>
      </top>
      <bottom/>
      <diagonal/>
    </border>
    <border>
      <left style="medium">
        <color rgb="FF000000"/>
      </left>
      <right style="medium">
        <color rgb="FF000000"/>
      </right>
      <top/>
      <bottom style="hair">
        <color rgb="FF000000"/>
      </bottom>
      <diagonal/>
    </border>
    <border>
      <left style="thin">
        <color rgb="FF000000"/>
      </left>
      <right style="thin">
        <color rgb="FF000000"/>
      </right>
      <top style="hair">
        <color rgb="FF000000"/>
      </top>
      <bottom/>
      <diagonal/>
    </border>
    <border>
      <left style="medium">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style="thin">
        <color rgb="FF000000"/>
      </left>
      <right style="medium">
        <color rgb="FF000000"/>
      </right>
      <top style="thin">
        <color rgb="FF000000"/>
      </top>
      <bottom style="thick">
        <color rgb="FF000000"/>
      </bottom>
      <diagonal/>
    </border>
    <border>
      <left style="medium">
        <color rgb="FF000000"/>
      </left>
      <right style="medium">
        <color rgb="FF000000"/>
      </right>
      <top style="thin">
        <color rgb="FF000000"/>
      </top>
      <bottom style="thick">
        <color rgb="FF000000"/>
      </bottom>
      <diagonal/>
    </border>
    <border>
      <left/>
      <right/>
      <top/>
      <bottom/>
      <diagonal/>
    </border>
    <border>
      <left/>
      <right/>
      <top/>
      <bottom/>
      <diagonal/>
    </border>
    <border>
      <left/>
      <right/>
      <top/>
      <bottom style="medium">
        <color rgb="FF000000"/>
      </bottom>
      <diagonal/>
    </border>
    <border>
      <left/>
      <right/>
      <top style="thick">
        <color rgb="FF000000"/>
      </top>
      <bottom style="medium">
        <color rgb="FF000000"/>
      </bottom>
      <diagonal/>
    </border>
    <border>
      <left style="thin">
        <color rgb="FF000000"/>
      </left>
      <right/>
      <top style="medium">
        <color rgb="FF000000"/>
      </top>
      <bottom/>
      <diagonal/>
    </border>
    <border>
      <left/>
      <right/>
      <top/>
      <bottom/>
      <diagonal/>
    </border>
    <border>
      <left style="thin">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top style="hair">
        <color rgb="FF000000"/>
      </top>
      <bottom/>
      <diagonal/>
    </border>
    <border>
      <left style="medium">
        <color rgb="FF000000"/>
      </left>
      <right style="thin">
        <color rgb="FF000000"/>
      </right>
      <top style="hair">
        <color rgb="FF000000"/>
      </top>
      <bottom style="medium">
        <color rgb="FF000000"/>
      </bottom>
      <diagonal/>
    </border>
    <border>
      <left style="thin">
        <color rgb="FF000000"/>
      </left>
      <right/>
      <top style="hair">
        <color rgb="FF000000"/>
      </top>
      <bottom style="medium">
        <color rgb="FF000000"/>
      </bottom>
      <diagonal/>
    </border>
    <border>
      <left/>
      <right style="medium">
        <color rgb="FF000000"/>
      </right>
      <top style="hair">
        <color rgb="FF000000"/>
      </top>
      <bottom style="medium">
        <color rgb="FF000000"/>
      </bottom>
      <diagonal/>
    </border>
    <border>
      <left/>
      <right/>
      <top style="medium">
        <color rgb="FF000000"/>
      </top>
      <bottom style="medium">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rgb="FF000000"/>
      </left>
      <right style="medium">
        <color rgb="FF000000"/>
      </right>
      <top/>
      <bottom/>
      <diagonal/>
    </border>
    <border>
      <left style="medium">
        <color rgb="FF000000"/>
      </left>
      <right style="medium">
        <color rgb="FF000000"/>
      </right>
      <top/>
      <bottom/>
      <diagonal/>
    </border>
    <border>
      <left style="thin">
        <color rgb="FF000000"/>
      </left>
      <right style="thin">
        <color rgb="FF000000"/>
      </right>
      <top style="hair">
        <color rgb="FF000000"/>
      </top>
      <bottom style="medium">
        <color rgb="FF000000"/>
      </bottom>
      <diagonal/>
    </border>
    <border>
      <left style="thin">
        <color rgb="FF000000"/>
      </left>
      <right/>
      <top style="hair">
        <color rgb="FF000000"/>
      </top>
      <bottom style="medium">
        <color rgb="FF000000"/>
      </bottom>
      <diagonal/>
    </border>
    <border>
      <left style="thin">
        <color rgb="FF000000"/>
      </left>
      <right style="medium">
        <color rgb="FF000000"/>
      </right>
      <top style="hair">
        <color rgb="FF000000"/>
      </top>
      <bottom style="medium">
        <color rgb="FF000000"/>
      </bottom>
      <diagonal/>
    </border>
    <border>
      <left style="medium">
        <color rgb="FF000000"/>
      </left>
      <right style="medium">
        <color rgb="FF000000"/>
      </right>
      <top style="hair">
        <color rgb="FF000000"/>
      </top>
      <bottom style="medium">
        <color rgb="FF000000"/>
      </bottom>
      <diagonal/>
    </border>
    <border>
      <left/>
      <right/>
      <top style="hair">
        <color rgb="FF000000"/>
      </top>
      <bottom style="hair">
        <color rgb="FF000000"/>
      </bottom>
      <diagonal/>
    </border>
    <border>
      <left style="thin">
        <color rgb="FF000000"/>
      </left>
      <right/>
      <top style="thin">
        <color rgb="FF000000"/>
      </top>
      <bottom style="medium">
        <color rgb="FF000000"/>
      </bottom>
      <diagonal/>
    </border>
    <border>
      <left style="medium">
        <color rgb="FF000000"/>
      </left>
      <right style="medium">
        <color rgb="FF000000"/>
      </right>
      <top style="thin">
        <color rgb="FF000000"/>
      </top>
      <bottom style="hair">
        <color rgb="FF000000"/>
      </bottom>
      <diagonal/>
    </border>
    <border>
      <left style="thin">
        <color rgb="FF000000"/>
      </left>
      <right style="thin">
        <color rgb="FF000000"/>
      </right>
      <top style="medium">
        <color rgb="FF000000"/>
      </top>
      <bottom style="thin">
        <color rgb="FF000000"/>
      </bottom>
      <diagonal/>
    </border>
    <border>
      <left/>
      <right style="thin">
        <color rgb="FF000000"/>
      </right>
      <top/>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style="hair">
        <color rgb="FF000000"/>
      </top>
      <bottom style="thin">
        <color rgb="FF000000"/>
      </bottom>
      <diagonal/>
    </border>
    <border>
      <left/>
      <right/>
      <top style="hair">
        <color rgb="FF000000"/>
      </top>
      <bottom style="thin">
        <color rgb="FF000000"/>
      </bottom>
      <diagonal/>
    </border>
    <border>
      <left/>
      <right/>
      <top style="hair">
        <color rgb="FF000000"/>
      </top>
      <bottom style="thin">
        <color rgb="FF000000"/>
      </bottom>
      <diagonal/>
    </border>
    <border>
      <left/>
      <right style="thin">
        <color rgb="FF000000"/>
      </right>
      <top/>
      <bottom style="hair">
        <color rgb="FF000000"/>
      </bottom>
      <diagonal/>
    </border>
    <border>
      <left style="medium">
        <color rgb="FF000000"/>
      </left>
      <right/>
      <top/>
      <bottom style="hair">
        <color rgb="FF000000"/>
      </bottom>
      <diagonal/>
    </border>
    <border>
      <left style="medium">
        <color rgb="FF000000"/>
      </left>
      <right style="thin">
        <color rgb="FF000000"/>
      </right>
      <top style="thick">
        <color rgb="FF000000"/>
      </top>
      <bottom style="thick">
        <color rgb="FF000000"/>
      </bottom>
      <diagonal/>
    </border>
    <border>
      <left style="thin">
        <color rgb="FF000000"/>
      </left>
      <right/>
      <top style="medium">
        <color rgb="FF000000"/>
      </top>
      <bottom style="medium">
        <color rgb="FF000000"/>
      </bottom>
      <diagonal/>
    </border>
    <border>
      <left/>
      <right style="thin">
        <color rgb="FF000000"/>
      </right>
      <top style="hair">
        <color rgb="FF000000"/>
      </top>
      <bottom style="hair">
        <color rgb="FF000000"/>
      </bottom>
      <diagonal/>
    </border>
    <border>
      <left/>
      <right/>
      <top/>
      <bottom style="hair">
        <color rgb="FF000000"/>
      </bottom>
      <diagonal/>
    </border>
    <border>
      <left/>
      <right style="medium">
        <color rgb="FF000000"/>
      </right>
      <top style="thick">
        <color rgb="FF000000"/>
      </top>
      <bottom style="thick">
        <color rgb="FF000000"/>
      </bottom>
      <diagonal/>
    </border>
    <border>
      <left style="thin">
        <color rgb="FF000000"/>
      </left>
      <right style="medium">
        <color rgb="FF000000"/>
      </right>
      <top/>
      <bottom style="medium">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right style="thin">
        <color rgb="FF000000"/>
      </right>
      <top style="hair">
        <color rgb="FF000000"/>
      </top>
      <bottom/>
      <diagonal/>
    </border>
    <border>
      <left/>
      <right style="thin">
        <color rgb="FF000000"/>
      </right>
      <top style="hair">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style="medium">
        <color indexed="64"/>
      </top>
      <bottom/>
      <diagonal/>
    </border>
    <border>
      <left style="medium">
        <color rgb="FF000000"/>
      </left>
      <right style="thin">
        <color rgb="FF000000"/>
      </right>
      <top style="medium">
        <color indexed="64"/>
      </top>
      <bottom/>
      <diagonal/>
    </border>
    <border>
      <left style="thin">
        <color rgb="FF000000"/>
      </left>
      <right style="medium">
        <color rgb="FF000000"/>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thin">
        <color indexed="64"/>
      </bottom>
      <diagonal/>
    </border>
    <border>
      <left style="medium">
        <color rgb="FF000000"/>
      </left>
      <right style="medium">
        <color indexed="64"/>
      </right>
      <top style="medium">
        <color rgb="FF000000"/>
      </top>
      <bottom style="thin">
        <color indexed="64"/>
      </bottom>
      <diagonal/>
    </border>
    <border>
      <left style="medium">
        <color rgb="FF000000"/>
      </left>
      <right style="thin">
        <color indexed="64"/>
      </right>
      <top style="hair">
        <color rgb="FF000000"/>
      </top>
      <bottom style="thin">
        <color rgb="FF000000"/>
      </bottom>
      <diagonal/>
    </border>
    <border>
      <left style="thin">
        <color indexed="64"/>
      </left>
      <right/>
      <top/>
      <bottom/>
      <diagonal/>
    </border>
    <border>
      <left/>
      <right style="thin">
        <color indexed="64"/>
      </right>
      <top/>
      <bottom/>
      <diagonal/>
    </border>
    <border>
      <left style="medium">
        <color rgb="FF000000"/>
      </left>
      <right style="medium">
        <color rgb="FF000000"/>
      </right>
      <top style="thin">
        <color rgb="FF000000"/>
      </top>
      <bottom style="thin">
        <color indexed="64"/>
      </bottom>
      <diagonal/>
    </border>
    <border>
      <left style="medium">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rgb="FF000000"/>
      </right>
      <top style="thin">
        <color rgb="FF000000"/>
      </top>
      <bottom style="thin">
        <color indexed="64"/>
      </bottom>
      <diagonal/>
    </border>
    <border>
      <left style="medium">
        <color rgb="FF000000"/>
      </left>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hair">
        <color indexed="64"/>
      </top>
      <bottom style="hair">
        <color rgb="FF000000"/>
      </bottom>
      <diagonal/>
    </border>
    <border>
      <left style="medium">
        <color rgb="FF000000"/>
      </left>
      <right style="thin">
        <color rgb="FF000000"/>
      </right>
      <top style="hair">
        <color indexed="64"/>
      </top>
      <bottom style="medium">
        <color rgb="FF000000"/>
      </bottom>
      <diagonal/>
    </border>
    <border>
      <left style="thin">
        <color rgb="FF000000"/>
      </left>
      <right style="thin">
        <color rgb="FF000000"/>
      </right>
      <top style="hair">
        <color indexed="64"/>
      </top>
      <bottom style="medium">
        <color rgb="FF000000"/>
      </bottom>
      <diagonal/>
    </border>
    <border>
      <left style="thin">
        <color rgb="FF000000"/>
      </left>
      <right/>
      <top style="hair">
        <color indexed="64"/>
      </top>
      <bottom style="medium">
        <color rgb="FF000000"/>
      </bottom>
      <diagonal/>
    </border>
    <border>
      <left style="thin">
        <color rgb="FF000000"/>
      </left>
      <right style="medium">
        <color rgb="FF000000"/>
      </right>
      <top style="hair">
        <color indexed="64"/>
      </top>
      <bottom style="medium">
        <color rgb="FF000000"/>
      </bottom>
      <diagonal/>
    </border>
    <border>
      <left/>
      <right/>
      <top style="medium">
        <color indexed="64"/>
      </top>
      <bottom style="medium">
        <color rgb="FF000000"/>
      </bottom>
      <diagonal/>
    </border>
    <border>
      <left style="thin">
        <color rgb="FF000000"/>
      </left>
      <right/>
      <top style="thin">
        <color indexed="64"/>
      </top>
      <bottom style="hair">
        <color rgb="FF000000"/>
      </bottom>
      <diagonal/>
    </border>
    <border>
      <left/>
      <right style="medium">
        <color rgb="FF000000"/>
      </right>
      <top style="thin">
        <color indexed="64"/>
      </top>
      <bottom style="hair">
        <color rgb="FF000000"/>
      </bottom>
      <diagonal/>
    </border>
    <border>
      <left/>
      <right style="medium">
        <color indexed="64"/>
      </right>
      <top/>
      <bottom style="thin">
        <color rgb="FF000000"/>
      </bottom>
      <diagonal/>
    </border>
    <border>
      <left style="medium">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top/>
      <bottom style="thick">
        <color rgb="FF000000"/>
      </bottom>
      <diagonal/>
    </border>
    <border>
      <left style="thin">
        <color rgb="FF000000"/>
      </left>
      <right style="medium">
        <color rgb="FF000000"/>
      </right>
      <top/>
      <bottom style="thick">
        <color rgb="FF000000"/>
      </bottom>
      <diagonal/>
    </border>
    <border>
      <left/>
      <right style="medium">
        <color rgb="FF000000"/>
      </right>
      <top/>
      <bottom style="thick">
        <color rgb="FF000000"/>
      </bottom>
      <diagonal/>
    </border>
    <border>
      <left style="medium">
        <color rgb="FF000000"/>
      </left>
      <right style="medium">
        <color rgb="FF000000"/>
      </right>
      <top/>
      <bottom style="thick">
        <color rgb="FF000000"/>
      </bottom>
      <diagonal/>
    </border>
    <border>
      <left style="medium">
        <color rgb="FF000000"/>
      </left>
      <right style="medium">
        <color rgb="FF000000"/>
      </right>
      <top style="thin">
        <color indexed="64"/>
      </top>
      <bottom/>
      <diagonal/>
    </border>
    <border>
      <left style="medium">
        <color indexed="64"/>
      </left>
      <right style="thin">
        <color rgb="FF000000"/>
      </right>
      <top style="hair">
        <color indexed="64"/>
      </top>
      <bottom style="thin">
        <color indexed="64"/>
      </bottom>
      <diagonal/>
    </border>
    <border>
      <left style="thin">
        <color rgb="FF000000"/>
      </left>
      <right style="thin">
        <color rgb="FF000000"/>
      </right>
      <top style="hair">
        <color indexed="64"/>
      </top>
      <bottom style="thin">
        <color indexed="64"/>
      </bottom>
      <diagonal/>
    </border>
    <border>
      <left style="thin">
        <color rgb="FF000000"/>
      </left>
      <right style="medium">
        <color rgb="FF000000"/>
      </right>
      <top style="hair">
        <color indexed="64"/>
      </top>
      <bottom style="thin">
        <color indexed="64"/>
      </bottom>
      <diagonal/>
    </border>
    <border>
      <left style="medium">
        <color rgb="FF000000"/>
      </left>
      <right style="medium">
        <color rgb="FF000000"/>
      </right>
      <top style="hair">
        <color indexed="64"/>
      </top>
      <bottom style="thin">
        <color indexed="64"/>
      </bottom>
      <diagonal/>
    </border>
    <border>
      <left style="medium">
        <color rgb="FF000000"/>
      </left>
      <right style="medium">
        <color rgb="FF000000"/>
      </right>
      <top style="medium">
        <color rgb="FF000000"/>
      </top>
      <bottom style="hair">
        <color rgb="FF000000"/>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style="medium">
        <color indexed="64"/>
      </top>
      <bottom/>
      <diagonal/>
    </border>
    <border>
      <left style="medium">
        <color indexed="64"/>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0000"/>
      </left>
      <right/>
      <top/>
      <bottom style="hair">
        <color indexed="64"/>
      </bottom>
      <diagonal/>
    </border>
    <border>
      <left/>
      <right style="medium">
        <color rgb="FF000000"/>
      </right>
      <top/>
      <bottom style="hair">
        <color indexed="64"/>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top/>
      <bottom style="thin">
        <color rgb="FF000000"/>
      </bottom>
      <diagonal/>
    </border>
    <border>
      <left style="thin">
        <color rgb="FF000000"/>
      </left>
      <right style="medium">
        <color indexed="64"/>
      </right>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style="medium">
        <color indexed="64"/>
      </left>
      <right/>
      <top style="thin">
        <color rgb="FF000000"/>
      </top>
      <bottom style="medium">
        <color indexed="64"/>
      </bottom>
      <diagonal/>
    </border>
    <border>
      <left/>
      <right style="medium">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thin">
        <color rgb="FF000000"/>
      </left>
      <right/>
      <top style="medium">
        <color indexed="64"/>
      </top>
      <bottom/>
      <diagonal/>
    </border>
    <border>
      <left style="thin">
        <color rgb="FF000000"/>
      </left>
      <right style="medium">
        <color indexed="64"/>
      </right>
      <top/>
      <bottom/>
      <diagonal/>
    </border>
    <border>
      <left style="thin">
        <color rgb="FF000000"/>
      </left>
      <right/>
      <top/>
      <bottom style="medium">
        <color indexed="64"/>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ck">
        <color rgb="FF000000"/>
      </right>
      <top style="hair">
        <color rgb="FF000000"/>
      </top>
      <bottom style="hair">
        <color rgb="FF000000"/>
      </bottom>
      <diagonal/>
    </border>
    <border>
      <left style="medium">
        <color rgb="FF000000"/>
      </left>
      <right style="medium">
        <color rgb="FF000000"/>
      </right>
      <top/>
      <bottom style="thin">
        <color indexed="64"/>
      </bottom>
      <diagonal/>
    </border>
    <border>
      <left style="medium">
        <color rgb="FF000000"/>
      </left>
      <right/>
      <top style="thin">
        <color rgb="FF000000"/>
      </top>
      <bottom style="hair">
        <color rgb="FF000000"/>
      </bottom>
      <diagonal/>
    </border>
    <border>
      <left/>
      <right/>
      <top style="thin">
        <color indexed="64"/>
      </top>
      <bottom style="medium">
        <color rgb="FF000000"/>
      </bottom>
      <diagonal/>
    </border>
  </borders>
  <cellStyleXfs count="2">
    <xf numFmtId="0" fontId="0" fillId="0" borderId="0"/>
    <xf numFmtId="0" fontId="51" fillId="0" borderId="0" applyNumberFormat="0" applyFill="0" applyBorder="0" applyAlignment="0" applyProtection="0"/>
  </cellStyleXfs>
  <cellXfs count="1471">
    <xf numFmtId="0" fontId="0" fillId="0" borderId="0" xfId="0"/>
    <xf numFmtId="0" fontId="6" fillId="0" borderId="0" xfId="0" applyFont="1"/>
    <xf numFmtId="0" fontId="7" fillId="0" borderId="8" xfId="0" applyFont="1" applyBorder="1"/>
    <xf numFmtId="0" fontId="8" fillId="0" borderId="8" xfId="0" applyFont="1" applyBorder="1"/>
    <xf numFmtId="0" fontId="7" fillId="0" borderId="0" xfId="0" applyFont="1"/>
    <xf numFmtId="0" fontId="8" fillId="0" borderId="0" xfId="0" applyFont="1"/>
    <xf numFmtId="0" fontId="8" fillId="0" borderId="0" xfId="0" applyFont="1" applyAlignment="1">
      <alignment vertical="center"/>
    </xf>
    <xf numFmtId="0" fontId="1" fillId="0" borderId="0" xfId="0" applyFont="1"/>
    <xf numFmtId="0" fontId="8" fillId="0" borderId="7" xfId="0" applyFont="1" applyBorder="1" applyAlignment="1">
      <alignment horizontal="left" vertical="center" wrapText="1"/>
    </xf>
    <xf numFmtId="0" fontId="7" fillId="0" borderId="0" xfId="0" applyFont="1" applyAlignment="1">
      <alignment vertical="center"/>
    </xf>
    <xf numFmtId="0" fontId="25" fillId="0" borderId="0" xfId="0" applyFont="1"/>
    <xf numFmtId="0" fontId="7" fillId="4" borderId="30" xfId="0" applyFont="1" applyFill="1" applyBorder="1" applyAlignment="1">
      <alignment horizontal="left" vertical="center"/>
    </xf>
    <xf numFmtId="0" fontId="16" fillId="0" borderId="0" xfId="0" applyFont="1"/>
    <xf numFmtId="0" fontId="7" fillId="4" borderId="0" xfId="0" applyFont="1" applyFill="1"/>
    <xf numFmtId="0" fontId="22" fillId="0" borderId="0" xfId="0" applyFont="1"/>
    <xf numFmtId="0" fontId="8" fillId="4" borderId="0" xfId="0" applyFont="1" applyFill="1"/>
    <xf numFmtId="0" fontId="8" fillId="0" borderId="0" xfId="0" applyFont="1" applyAlignment="1">
      <alignment horizontal="center" vertical="center"/>
    </xf>
    <xf numFmtId="0" fontId="16" fillId="0" borderId="0" xfId="0" applyFont="1" applyAlignment="1">
      <alignment vertical="center"/>
    </xf>
    <xf numFmtId="0" fontId="8" fillId="0" borderId="0" xfId="0" applyFont="1" applyAlignment="1">
      <alignment horizontal="left" vertical="top"/>
    </xf>
    <xf numFmtId="0" fontId="25" fillId="4" borderId="0" xfId="0" applyFont="1" applyFill="1"/>
    <xf numFmtId="0" fontId="9" fillId="0" borderId="0" xfId="0" applyFont="1" applyAlignment="1">
      <alignment horizontal="left"/>
    </xf>
    <xf numFmtId="0" fontId="9" fillId="0" borderId="0" xfId="0" applyFont="1" applyAlignment="1">
      <alignment horizontal="left" vertical="center"/>
    </xf>
    <xf numFmtId="0" fontId="10" fillId="0" borderId="0" xfId="0" applyFont="1" applyAlignment="1">
      <alignment horizontal="left" vertical="center"/>
    </xf>
    <xf numFmtId="0" fontId="20" fillId="0" borderId="10" xfId="0" applyFont="1" applyBorder="1" applyAlignment="1">
      <alignment horizontal="left" vertical="center" wrapText="1"/>
    </xf>
    <xf numFmtId="0" fontId="7" fillId="3" borderId="45" xfId="0" applyFont="1" applyFill="1" applyBorder="1" applyAlignment="1">
      <alignment horizontal="center" vertical="center"/>
    </xf>
    <xf numFmtId="0" fontId="8" fillId="0" borderId="66" xfId="0" applyFont="1" applyBorder="1" applyAlignment="1">
      <alignment horizontal="left" vertical="center" wrapText="1"/>
    </xf>
    <xf numFmtId="0" fontId="8" fillId="8" borderId="72" xfId="0" applyFont="1" applyFill="1" applyBorder="1"/>
    <xf numFmtId="0" fontId="8" fillId="8" borderId="73" xfId="0" applyFont="1" applyFill="1" applyBorder="1" applyAlignment="1">
      <alignment horizontal="left" vertical="center"/>
    </xf>
    <xf numFmtId="0" fontId="8" fillId="4" borderId="72" xfId="0" applyFont="1" applyFill="1" applyBorder="1" applyAlignment="1">
      <alignment horizontal="left" vertical="center"/>
    </xf>
    <xf numFmtId="0" fontId="8" fillId="4" borderId="73" xfId="0" applyFont="1" applyFill="1" applyBorder="1" applyAlignment="1">
      <alignment horizontal="left" vertical="center"/>
    </xf>
    <xf numFmtId="0" fontId="26" fillId="8" borderId="78" xfId="0" applyFont="1" applyFill="1" applyBorder="1" applyAlignment="1">
      <alignment horizontal="center" vertical="center"/>
    </xf>
    <xf numFmtId="0" fontId="26" fillId="8" borderId="79" xfId="0" applyFont="1" applyFill="1" applyBorder="1" applyAlignment="1">
      <alignment horizontal="center" vertical="center"/>
    </xf>
    <xf numFmtId="0" fontId="26" fillId="4" borderId="78" xfId="0" applyFont="1" applyFill="1" applyBorder="1" applyAlignment="1">
      <alignment horizontal="center" vertical="center"/>
    </xf>
    <xf numFmtId="0" fontId="26" fillId="4" borderId="79" xfId="0" applyFont="1" applyFill="1" applyBorder="1" applyAlignment="1">
      <alignment horizontal="center" vertical="center"/>
    </xf>
    <xf numFmtId="0" fontId="8" fillId="4" borderId="0" xfId="0" applyFont="1" applyFill="1" applyAlignment="1">
      <alignment horizontal="left"/>
    </xf>
    <xf numFmtId="0" fontId="16" fillId="9" borderId="84" xfId="0" applyFont="1" applyFill="1" applyBorder="1"/>
    <xf numFmtId="164" fontId="16" fillId="0" borderId="29" xfId="0" applyNumberFormat="1" applyFont="1" applyBorder="1" applyAlignment="1">
      <alignment horizontal="center" vertical="center"/>
    </xf>
    <xf numFmtId="164" fontId="8" fillId="0" borderId="29" xfId="0" applyNumberFormat="1" applyFont="1" applyBorder="1" applyAlignment="1">
      <alignment horizontal="center" vertical="center"/>
    </xf>
    <xf numFmtId="0" fontId="28" fillId="0" borderId="67" xfId="0" applyFont="1" applyBorder="1" applyAlignment="1">
      <alignment horizontal="left" vertical="center"/>
    </xf>
    <xf numFmtId="164" fontId="8" fillId="0" borderId="34" xfId="0" applyNumberFormat="1" applyFont="1" applyBorder="1" applyAlignment="1">
      <alignment horizontal="center" vertical="center"/>
    </xf>
    <xf numFmtId="0" fontId="8" fillId="0" borderId="66" xfId="0" applyFont="1" applyBorder="1" applyAlignment="1">
      <alignment horizontal="center" vertical="center" wrapText="1"/>
    </xf>
    <xf numFmtId="0" fontId="8" fillId="0" borderId="108" xfId="0" applyFont="1" applyBorder="1" applyAlignment="1">
      <alignment horizontal="left" vertical="center" wrapText="1"/>
    </xf>
    <xf numFmtId="0" fontId="20" fillId="0" borderId="0" xfId="0" applyFont="1"/>
    <xf numFmtId="164" fontId="16" fillId="0" borderId="34" xfId="0" applyNumberFormat="1" applyFont="1" applyBorder="1" applyAlignment="1">
      <alignment horizontal="center" vertical="center"/>
    </xf>
    <xf numFmtId="164" fontId="16" fillId="8" borderId="67" xfId="0" applyNumberFormat="1" applyFont="1" applyFill="1" applyBorder="1" applyAlignment="1">
      <alignment horizontal="center" wrapText="1"/>
    </xf>
    <xf numFmtId="164" fontId="16" fillId="0" borderId="11" xfId="0" applyNumberFormat="1" applyFont="1" applyBorder="1" applyAlignment="1">
      <alignment horizontal="center"/>
    </xf>
    <xf numFmtId="164" fontId="16" fillId="0" borderId="34" xfId="0" applyNumberFormat="1" applyFont="1" applyBorder="1" applyAlignment="1">
      <alignment horizontal="center"/>
    </xf>
    <xf numFmtId="0" fontId="8" fillId="0" borderId="66" xfId="0" applyFont="1" applyBorder="1" applyAlignment="1">
      <alignment horizontal="left" wrapText="1"/>
    </xf>
    <xf numFmtId="0" fontId="20" fillId="10" borderId="117" xfId="0" applyFont="1" applyFill="1" applyBorder="1" applyAlignment="1">
      <alignment horizontal="left" vertical="center" wrapText="1"/>
    </xf>
    <xf numFmtId="0" fontId="8" fillId="3" borderId="71" xfId="0" applyFont="1" applyFill="1" applyBorder="1" applyAlignment="1">
      <alignment horizontal="center" vertical="center"/>
    </xf>
    <xf numFmtId="0" fontId="8" fillId="0" borderId="92" xfId="0" applyFont="1" applyBorder="1" applyAlignment="1">
      <alignment horizontal="center" vertical="center" wrapText="1"/>
    </xf>
    <xf numFmtId="164" fontId="16" fillId="0" borderId="15" xfId="0" applyNumberFormat="1" applyFont="1" applyBorder="1" applyAlignment="1">
      <alignment horizontal="center" vertical="center"/>
    </xf>
    <xf numFmtId="0" fontId="20" fillId="0" borderId="93" xfId="0" applyFont="1" applyBorder="1" applyAlignment="1">
      <alignment horizontal="right" vertical="center"/>
    </xf>
    <xf numFmtId="0" fontId="8" fillId="0" borderId="93" xfId="0" applyFont="1" applyBorder="1" applyAlignment="1">
      <alignment horizontal="right" vertical="center"/>
    </xf>
    <xf numFmtId="0" fontId="8" fillId="0" borderId="127" xfId="0" applyFont="1" applyBorder="1" applyAlignment="1">
      <alignment horizontal="right" vertical="center"/>
    </xf>
    <xf numFmtId="0" fontId="8" fillId="0" borderId="29" xfId="0" applyFont="1" applyBorder="1" applyAlignment="1">
      <alignment horizontal="center" vertical="center" wrapText="1"/>
    </xf>
    <xf numFmtId="0" fontId="8" fillId="0" borderId="91" xfId="0" applyFont="1" applyBorder="1" applyAlignment="1">
      <alignment horizontal="center" vertical="center" wrapText="1"/>
    </xf>
    <xf numFmtId="0" fontId="28" fillId="0" borderId="0" xfId="0" applyFont="1" applyAlignment="1">
      <alignment vertical="center"/>
    </xf>
    <xf numFmtId="0" fontId="34" fillId="0" borderId="70" xfId="0" applyFont="1" applyBorder="1" applyAlignment="1">
      <alignment horizontal="right" vertical="center"/>
    </xf>
    <xf numFmtId="0" fontId="8" fillId="0" borderId="140" xfId="0" applyFont="1" applyBorder="1" applyAlignment="1">
      <alignment horizontal="center" vertical="center" wrapText="1"/>
    </xf>
    <xf numFmtId="0" fontId="8" fillId="0" borderId="143" xfId="0" applyFont="1" applyBorder="1" applyAlignment="1">
      <alignment horizontal="center" vertical="center" wrapText="1"/>
    </xf>
    <xf numFmtId="0" fontId="34" fillId="0" borderId="93" xfId="0" applyFont="1" applyBorder="1" applyAlignment="1">
      <alignment horizontal="right" vertical="center"/>
    </xf>
    <xf numFmtId="0" fontId="8" fillId="0" borderId="106" xfId="0" applyFont="1" applyBorder="1" applyAlignment="1">
      <alignment horizontal="center" vertical="center" wrapText="1"/>
    </xf>
    <xf numFmtId="0" fontId="8" fillId="0" borderId="146" xfId="0" applyFont="1" applyBorder="1" applyAlignment="1">
      <alignment horizontal="left" vertical="center" wrapText="1"/>
    </xf>
    <xf numFmtId="164" fontId="16" fillId="8" borderId="150" xfId="0" applyNumberFormat="1" applyFont="1" applyFill="1" applyBorder="1" applyAlignment="1">
      <alignment horizontal="center" vertical="center"/>
    </xf>
    <xf numFmtId="164" fontId="16" fillId="8" borderId="151" xfId="0" applyNumberFormat="1" applyFont="1" applyFill="1" applyBorder="1" applyAlignment="1">
      <alignment horizontal="center" vertical="top"/>
    </xf>
    <xf numFmtId="0" fontId="20" fillId="8" borderId="152" xfId="0" applyFont="1" applyFill="1" applyBorder="1" applyAlignment="1">
      <alignment horizontal="left" vertical="center" wrapText="1"/>
    </xf>
    <xf numFmtId="164" fontId="8" fillId="0" borderId="11" xfId="0" applyNumberFormat="1" applyFont="1" applyBorder="1" applyAlignment="1">
      <alignment horizontal="left" vertical="center" wrapText="1"/>
    </xf>
    <xf numFmtId="0" fontId="4" fillId="9" borderId="84" xfId="0" applyFont="1" applyFill="1" applyBorder="1" applyAlignment="1">
      <alignment vertical="top" wrapText="1"/>
    </xf>
    <xf numFmtId="0" fontId="16" fillId="9" borderId="84" xfId="0" applyFont="1" applyFill="1" applyBorder="1" applyAlignment="1">
      <alignment horizontal="center" vertical="center"/>
    </xf>
    <xf numFmtId="0" fontId="16" fillId="9" borderId="84" xfId="0" applyFont="1" applyFill="1" applyBorder="1" applyAlignment="1">
      <alignment horizontal="center"/>
    </xf>
    <xf numFmtId="164" fontId="16" fillId="9" borderId="84" xfId="0" applyNumberFormat="1" applyFont="1" applyFill="1" applyBorder="1" applyAlignment="1">
      <alignment horizontal="center" vertical="center"/>
    </xf>
    <xf numFmtId="0" fontId="8" fillId="0" borderId="108" xfId="0" applyFont="1" applyBorder="1" applyAlignment="1">
      <alignment horizontal="center" vertical="center" wrapText="1"/>
    </xf>
    <xf numFmtId="164" fontId="16" fillId="0" borderId="134" xfId="0" applyNumberFormat="1" applyFont="1" applyBorder="1" applyAlignment="1">
      <alignment horizontal="center" vertical="center"/>
    </xf>
    <xf numFmtId="0" fontId="8" fillId="0" borderId="169" xfId="0" applyFont="1" applyBorder="1" applyAlignment="1">
      <alignment horizontal="center" vertical="center" wrapText="1"/>
    </xf>
    <xf numFmtId="0" fontId="4" fillId="9" borderId="84" xfId="0" applyFont="1" applyFill="1" applyBorder="1" applyAlignment="1">
      <alignment vertical="center" wrapText="1"/>
    </xf>
    <xf numFmtId="164" fontId="16" fillId="0" borderId="59" xfId="0" applyNumberFormat="1" applyFont="1" applyBorder="1" applyAlignment="1">
      <alignment horizontal="center" vertical="center"/>
    </xf>
    <xf numFmtId="0" fontId="20" fillId="0" borderId="9" xfId="0" applyFont="1" applyBorder="1" applyAlignment="1">
      <alignment horizontal="left" vertical="center"/>
    </xf>
    <xf numFmtId="0" fontId="20" fillId="0" borderId="170" xfId="0" applyFont="1" applyBorder="1" applyAlignment="1">
      <alignment horizontal="left" vertical="center" wrapText="1"/>
    </xf>
    <xf numFmtId="0" fontId="20" fillId="0" borderId="159" xfId="0" applyFont="1" applyBorder="1" applyAlignment="1">
      <alignment horizontal="left" vertical="center"/>
    </xf>
    <xf numFmtId="0" fontId="20" fillId="0" borderId="69" xfId="0" applyFont="1" applyBorder="1" applyAlignment="1">
      <alignment horizontal="left" vertical="center"/>
    </xf>
    <xf numFmtId="0" fontId="8" fillId="0" borderId="142" xfId="0" applyFont="1" applyBorder="1" applyAlignment="1">
      <alignment horizontal="left" vertical="center" wrapText="1"/>
    </xf>
    <xf numFmtId="0" fontId="20" fillId="0" borderId="64" xfId="0" applyFont="1" applyBorder="1" applyAlignment="1">
      <alignment horizontal="left" vertical="center"/>
    </xf>
    <xf numFmtId="0" fontId="8" fillId="0" borderId="132" xfId="0" applyFont="1" applyBorder="1" applyAlignment="1">
      <alignment horizontal="left" vertical="center" wrapText="1"/>
    </xf>
    <xf numFmtId="49" fontId="8" fillId="0" borderId="64" xfId="0" applyNumberFormat="1" applyFont="1" applyBorder="1" applyAlignment="1">
      <alignment horizontal="center" vertical="center" wrapText="1"/>
    </xf>
    <xf numFmtId="0" fontId="8" fillId="0" borderId="176" xfId="0" applyFont="1" applyBorder="1" applyAlignment="1">
      <alignment horizontal="left" vertical="center" wrapText="1"/>
    </xf>
    <xf numFmtId="0" fontId="16" fillId="8" borderId="179" xfId="0" applyFont="1" applyFill="1" applyBorder="1" applyAlignment="1">
      <alignment horizontal="center" vertical="top"/>
    </xf>
    <xf numFmtId="0" fontId="20" fillId="8" borderId="41" xfId="0" applyFont="1" applyFill="1" applyBorder="1" applyAlignment="1">
      <alignment horizontal="left" vertical="center" wrapText="1"/>
    </xf>
    <xf numFmtId="0" fontId="8" fillId="4" borderId="181" xfId="0" applyFont="1" applyFill="1" applyBorder="1" applyAlignment="1">
      <alignment horizontal="left" vertical="center"/>
    </xf>
    <xf numFmtId="0" fontId="26" fillId="4" borderId="183" xfId="0" applyFont="1" applyFill="1" applyBorder="1" applyAlignment="1">
      <alignment horizontal="center" vertical="center"/>
    </xf>
    <xf numFmtId="0" fontId="8" fillId="0" borderId="64" xfId="0" applyFont="1" applyBorder="1" applyAlignment="1">
      <alignment horizontal="left" vertical="center" wrapText="1"/>
    </xf>
    <xf numFmtId="0" fontId="20" fillId="0" borderId="189" xfId="0" applyFont="1" applyBorder="1" applyAlignment="1">
      <alignment horizontal="right" vertical="center"/>
    </xf>
    <xf numFmtId="0" fontId="8" fillId="10" borderId="83" xfId="0" applyFont="1" applyFill="1" applyBorder="1"/>
    <xf numFmtId="0" fontId="8" fillId="10" borderId="84" xfId="0" applyFont="1" applyFill="1" applyBorder="1"/>
    <xf numFmtId="0" fontId="8" fillId="3" borderId="45" xfId="0" applyFont="1" applyFill="1" applyBorder="1" applyAlignment="1">
      <alignment horizontal="center" vertical="center"/>
    </xf>
    <xf numFmtId="0" fontId="8" fillId="3" borderId="46" xfId="0" applyFont="1" applyFill="1" applyBorder="1" applyAlignment="1">
      <alignment horizontal="center" vertical="center"/>
    </xf>
    <xf numFmtId="0" fontId="8" fillId="3" borderId="49" xfId="0" applyFont="1" applyFill="1" applyBorder="1" applyAlignment="1">
      <alignment horizontal="center" vertical="center"/>
    </xf>
    <xf numFmtId="164" fontId="8" fillId="0" borderId="15" xfId="0" applyNumberFormat="1" applyFont="1" applyBorder="1" applyAlignment="1">
      <alignment horizontal="center" vertical="center"/>
    </xf>
    <xf numFmtId="0" fontId="20" fillId="0" borderId="70" xfId="0" applyFont="1" applyBorder="1" applyAlignment="1">
      <alignment horizontal="right" vertical="center"/>
    </xf>
    <xf numFmtId="0" fontId="8" fillId="0" borderId="70" xfId="0" applyFont="1" applyBorder="1" applyAlignment="1">
      <alignment horizontal="right" vertical="center"/>
    </xf>
    <xf numFmtId="0" fontId="8" fillId="0" borderId="64" xfId="0" applyFont="1" applyBorder="1" applyAlignment="1">
      <alignment horizontal="center" vertical="center" wrapText="1"/>
    </xf>
    <xf numFmtId="0" fontId="8" fillId="0" borderId="208" xfId="0" applyFont="1" applyBorder="1" applyAlignment="1">
      <alignment horizontal="center" vertical="center" wrapText="1"/>
    </xf>
    <xf numFmtId="0" fontId="38" fillId="10" borderId="84" xfId="0" applyFont="1" applyFill="1" applyBorder="1" applyAlignment="1">
      <alignment horizontal="left" vertical="center"/>
    </xf>
    <xf numFmtId="0" fontId="38" fillId="10" borderId="84" xfId="0" applyFont="1" applyFill="1" applyBorder="1" applyAlignment="1">
      <alignment horizontal="center" vertical="center"/>
    </xf>
    <xf numFmtId="0" fontId="38" fillId="10" borderId="84" xfId="0" applyFont="1" applyFill="1" applyBorder="1" applyAlignment="1">
      <alignment vertical="center" wrapText="1"/>
    </xf>
    <xf numFmtId="0" fontId="16" fillId="10" borderId="84" xfId="0" applyFont="1" applyFill="1" applyBorder="1" applyAlignment="1">
      <alignment horizontal="center" vertical="center"/>
    </xf>
    <xf numFmtId="164" fontId="16" fillId="10" borderId="71" xfId="0" applyNumberFormat="1" applyFont="1" applyFill="1" applyBorder="1" applyAlignment="1">
      <alignment horizontal="center" vertical="center"/>
    </xf>
    <xf numFmtId="0" fontId="8" fillId="0" borderId="65" xfId="0" applyFont="1" applyBorder="1" applyAlignment="1">
      <alignment horizontal="right" vertical="center"/>
    </xf>
    <xf numFmtId="0" fontId="8" fillId="0" borderId="211" xfId="0" applyFont="1" applyBorder="1" applyAlignment="1">
      <alignment horizontal="center" vertical="center" wrapText="1"/>
    </xf>
    <xf numFmtId="0" fontId="8" fillId="0" borderId="211" xfId="0" applyFont="1" applyBorder="1" applyAlignment="1">
      <alignment horizontal="left" vertical="center" wrapText="1"/>
    </xf>
    <xf numFmtId="0" fontId="20" fillId="0" borderId="159" xfId="0" applyFont="1" applyBorder="1" applyAlignment="1">
      <alignment horizontal="right" vertical="center"/>
    </xf>
    <xf numFmtId="0" fontId="8" fillId="0" borderId="6" xfId="0" applyFont="1" applyBorder="1" applyAlignment="1">
      <alignment horizontal="center" vertical="center" wrapText="1"/>
    </xf>
    <xf numFmtId="164" fontId="8" fillId="0" borderId="17" xfId="0" applyNumberFormat="1" applyFont="1" applyBorder="1" applyAlignment="1">
      <alignment horizontal="center" vertical="center"/>
    </xf>
    <xf numFmtId="0" fontId="20" fillId="0" borderId="95" xfId="0" applyFont="1" applyBorder="1" applyAlignment="1">
      <alignment horizontal="right" vertical="center"/>
    </xf>
    <xf numFmtId="0" fontId="20" fillId="0" borderId="171" xfId="0" applyFont="1" applyBorder="1" applyAlignment="1">
      <alignment horizontal="right" vertical="center"/>
    </xf>
    <xf numFmtId="0" fontId="8" fillId="0" borderId="132" xfId="0" applyFont="1" applyBorder="1" applyAlignment="1">
      <alignment horizontal="center" vertical="center" wrapText="1"/>
    </xf>
    <xf numFmtId="0" fontId="8" fillId="0" borderId="142" xfId="0" applyFont="1" applyBorder="1" applyAlignment="1">
      <alignment horizontal="center" vertical="center" wrapText="1"/>
    </xf>
    <xf numFmtId="164" fontId="8" fillId="0" borderId="18" xfId="0" applyNumberFormat="1" applyFont="1" applyBorder="1" applyAlignment="1">
      <alignment horizontal="center" vertical="center"/>
    </xf>
    <xf numFmtId="0" fontId="20" fillId="0" borderId="127" xfId="0" applyFont="1" applyBorder="1" applyAlignment="1">
      <alignment horizontal="right" vertical="center"/>
    </xf>
    <xf numFmtId="0" fontId="16" fillId="8" borderId="214" xfId="0" applyFont="1" applyFill="1" applyBorder="1" applyAlignment="1">
      <alignment horizontal="center" vertical="top"/>
    </xf>
    <xf numFmtId="0" fontId="20" fillId="8" borderId="215" xfId="0" applyFont="1" applyFill="1" applyBorder="1" applyAlignment="1">
      <alignment horizontal="left" vertical="center" wrapText="1"/>
    </xf>
    <xf numFmtId="0" fontId="38" fillId="9" borderId="179" xfId="0" applyFont="1" applyFill="1" applyBorder="1" applyAlignment="1">
      <alignment horizontal="left" vertical="center"/>
    </xf>
    <xf numFmtId="0" fontId="38" fillId="9" borderId="179" xfId="0" applyFont="1" applyFill="1" applyBorder="1" applyAlignment="1">
      <alignment horizontal="center" vertical="center"/>
    </xf>
    <xf numFmtId="0" fontId="38" fillId="9" borderId="179" xfId="0" applyFont="1" applyFill="1" applyBorder="1" applyAlignment="1">
      <alignment vertical="top" wrapText="1"/>
    </xf>
    <xf numFmtId="0" fontId="8" fillId="0" borderId="60" xfId="0" applyFont="1" applyBorder="1" applyAlignment="1">
      <alignment horizontal="center" vertical="center"/>
    </xf>
    <xf numFmtId="0" fontId="8" fillId="0" borderId="61" xfId="0" applyFont="1" applyBorder="1" applyAlignment="1">
      <alignment horizontal="left" vertical="center" wrapText="1"/>
    </xf>
    <xf numFmtId="0" fontId="8" fillId="4" borderId="198" xfId="0" applyFont="1" applyFill="1" applyBorder="1" applyAlignment="1">
      <alignment horizontal="center" vertical="center"/>
    </xf>
    <xf numFmtId="0" fontId="8" fillId="0" borderId="24" xfId="0" applyFont="1" applyBorder="1" applyAlignment="1">
      <alignment horizontal="center" vertical="center"/>
    </xf>
    <xf numFmtId="0" fontId="8" fillId="0" borderId="189" xfId="0" applyFont="1" applyBorder="1" applyAlignment="1">
      <alignment horizontal="right" vertical="center"/>
    </xf>
    <xf numFmtId="0" fontId="8" fillId="0" borderId="208" xfId="0" applyFont="1" applyBorder="1" applyAlignment="1">
      <alignment horizontal="center" vertical="center"/>
    </xf>
    <xf numFmtId="0" fontId="38" fillId="9" borderId="84" xfId="0" applyFont="1" applyFill="1" applyBorder="1" applyAlignment="1">
      <alignment horizontal="left" vertical="center"/>
    </xf>
    <xf numFmtId="0" fontId="38" fillId="9" borderId="84" xfId="0" applyFont="1" applyFill="1" applyBorder="1" applyAlignment="1">
      <alignment horizontal="center" vertical="center"/>
    </xf>
    <xf numFmtId="0" fontId="38" fillId="9" borderId="84" xfId="0" applyFont="1" applyFill="1" applyBorder="1" applyAlignment="1">
      <alignment vertical="center" wrapText="1"/>
    </xf>
    <xf numFmtId="0" fontId="8" fillId="0" borderId="10" xfId="0" applyFont="1" applyBorder="1" applyAlignment="1">
      <alignment horizontal="left" vertical="center" wrapText="1"/>
    </xf>
    <xf numFmtId="0" fontId="38" fillId="9" borderId="84" xfId="0" applyFont="1" applyFill="1" applyBorder="1" applyAlignment="1">
      <alignment vertical="top" wrapText="1"/>
    </xf>
    <xf numFmtId="0" fontId="8" fillId="3" borderId="120" xfId="0" applyFont="1" applyFill="1" applyBorder="1" applyAlignment="1">
      <alignment horizontal="center" vertical="center"/>
    </xf>
    <xf numFmtId="0" fontId="20" fillId="0" borderId="172" xfId="0" applyFont="1" applyBorder="1" applyAlignment="1">
      <alignment horizontal="left" vertical="center"/>
    </xf>
    <xf numFmtId="0" fontId="8" fillId="0" borderId="167" xfId="0" applyFont="1" applyBorder="1" applyAlignment="1">
      <alignment horizontal="center" vertical="center" wrapText="1"/>
    </xf>
    <xf numFmtId="0" fontId="20" fillId="0" borderId="93" xfId="0" applyFont="1" applyBorder="1" applyAlignment="1">
      <alignment horizontal="right" vertical="center" wrapText="1"/>
    </xf>
    <xf numFmtId="0" fontId="20" fillId="0" borderId="127" xfId="0" applyFont="1" applyBorder="1" applyAlignment="1">
      <alignment horizontal="right" vertical="center" wrapText="1"/>
    </xf>
    <xf numFmtId="164" fontId="16" fillId="8" borderId="63" xfId="0" applyNumberFormat="1" applyFont="1" applyFill="1" applyBorder="1" applyAlignment="1">
      <alignment horizontal="center" wrapText="1"/>
    </xf>
    <xf numFmtId="164" fontId="16" fillId="0" borderId="19" xfId="0" applyNumberFormat="1" applyFont="1" applyBorder="1" applyAlignment="1">
      <alignment horizontal="center"/>
    </xf>
    <xf numFmtId="0" fontId="20" fillId="4" borderId="127" xfId="0" applyFont="1" applyFill="1" applyBorder="1" applyAlignment="1">
      <alignment horizontal="right" vertical="center"/>
    </xf>
    <xf numFmtId="0" fontId="8" fillId="0" borderId="92" xfId="0" applyFont="1" applyBorder="1" applyAlignment="1">
      <alignment horizontal="center" vertical="center"/>
    </xf>
    <xf numFmtId="0" fontId="8" fillId="0" borderId="167" xfId="0" applyFont="1" applyBorder="1" applyAlignment="1">
      <alignment horizontal="center" vertical="center"/>
    </xf>
    <xf numFmtId="0" fontId="20" fillId="4" borderId="45" xfId="0" applyFont="1" applyFill="1" applyBorder="1" applyAlignment="1">
      <alignment horizontal="left" vertical="center"/>
    </xf>
    <xf numFmtId="0" fontId="40" fillId="9" borderId="84" xfId="0" applyFont="1" applyFill="1" applyBorder="1" applyAlignment="1">
      <alignment horizontal="left" vertical="center"/>
    </xf>
    <xf numFmtId="0" fontId="40" fillId="9" borderId="84" xfId="0" applyFont="1" applyFill="1" applyBorder="1" applyAlignment="1">
      <alignment horizontal="center" vertical="center"/>
    </xf>
    <xf numFmtId="0" fontId="8" fillId="0" borderId="66" xfId="0" applyFont="1" applyBorder="1" applyAlignment="1">
      <alignment horizontal="center" vertical="center"/>
    </xf>
    <xf numFmtId="0" fontId="20" fillId="0" borderId="139" xfId="0" applyFont="1" applyBorder="1" applyAlignment="1">
      <alignment vertical="center" wrapText="1"/>
    </xf>
    <xf numFmtId="164" fontId="16" fillId="0" borderId="145" xfId="0" applyNumberFormat="1" applyFont="1" applyBorder="1" applyAlignment="1">
      <alignment horizontal="center" vertical="center"/>
    </xf>
    <xf numFmtId="164" fontId="16" fillId="8" borderId="231" xfId="0" applyNumberFormat="1" applyFont="1" applyFill="1" applyBorder="1" applyAlignment="1">
      <alignment horizontal="center" vertical="center"/>
    </xf>
    <xf numFmtId="0" fontId="16" fillId="9" borderId="84" xfId="0" applyFont="1" applyFill="1" applyBorder="1" applyAlignment="1">
      <alignment horizontal="center" vertical="center" wrapText="1"/>
    </xf>
    <xf numFmtId="0" fontId="20" fillId="0" borderId="15" xfId="0" applyFont="1" applyBorder="1" applyAlignment="1">
      <alignment horizontal="left" vertical="center" wrapText="1"/>
    </xf>
    <xf numFmtId="0" fontId="8" fillId="0" borderId="12" xfId="0" applyFont="1" applyBorder="1" applyAlignment="1">
      <alignment horizontal="center" vertical="center"/>
    </xf>
    <xf numFmtId="0" fontId="8" fillId="0" borderId="34" xfId="0" applyFont="1" applyBorder="1" applyAlignment="1">
      <alignment wrapText="1"/>
    </xf>
    <xf numFmtId="0" fontId="20" fillId="0" borderId="63" xfId="0" applyFont="1" applyBorder="1" applyAlignment="1">
      <alignment horizontal="center" vertical="center" wrapText="1"/>
    </xf>
    <xf numFmtId="0" fontId="28" fillId="0" borderId="93" xfId="0" applyFont="1" applyBorder="1" applyAlignment="1">
      <alignment horizontal="right" vertical="center"/>
    </xf>
    <xf numFmtId="0" fontId="8" fillId="0" borderId="12" xfId="0" applyFont="1" applyBorder="1" applyAlignment="1">
      <alignment horizontal="center" vertical="center" wrapText="1"/>
    </xf>
    <xf numFmtId="0" fontId="8" fillId="3" borderId="121" xfId="0" applyFont="1" applyFill="1" applyBorder="1" applyAlignment="1">
      <alignment horizontal="center" vertical="center"/>
    </xf>
    <xf numFmtId="164" fontId="8" fillId="0" borderId="91" xfId="0" applyNumberFormat="1" applyFont="1" applyBorder="1" applyAlignment="1">
      <alignment horizontal="center" vertical="center"/>
    </xf>
    <xf numFmtId="0" fontId="8" fillId="0" borderId="159" xfId="0" applyFont="1" applyBorder="1" applyAlignment="1">
      <alignment horizontal="right" vertical="center"/>
    </xf>
    <xf numFmtId="0" fontId="8" fillId="0" borderId="233" xfId="0" applyFont="1" applyBorder="1" applyAlignment="1">
      <alignment horizontal="right"/>
    </xf>
    <xf numFmtId="0" fontId="16" fillId="4" borderId="0" xfId="0" applyFont="1" applyFill="1"/>
    <xf numFmtId="0" fontId="20" fillId="8" borderId="235" xfId="0" applyFont="1" applyFill="1" applyBorder="1" applyAlignment="1">
      <alignment horizontal="left" vertical="center" wrapText="1"/>
    </xf>
    <xf numFmtId="0" fontId="8" fillId="0" borderId="9" xfId="0" applyFont="1" applyBorder="1" applyAlignment="1">
      <alignment horizontal="left" vertical="center"/>
    </xf>
    <xf numFmtId="0" fontId="20" fillId="0" borderId="52" xfId="0" applyFont="1" applyBorder="1" applyAlignment="1">
      <alignment horizontal="left" vertical="center" wrapText="1"/>
    </xf>
    <xf numFmtId="0" fontId="38" fillId="9" borderId="84" xfId="0" applyFont="1" applyFill="1" applyBorder="1" applyAlignment="1">
      <alignment vertical="center"/>
    </xf>
    <xf numFmtId="0" fontId="20" fillId="0" borderId="70" xfId="0" applyFont="1" applyBorder="1" applyAlignment="1">
      <alignment horizontal="left" vertical="center"/>
    </xf>
    <xf numFmtId="0" fontId="8" fillId="0" borderId="9" xfId="0" applyFont="1" applyBorder="1" applyAlignment="1">
      <alignment horizontal="center" vertical="center"/>
    </xf>
    <xf numFmtId="0" fontId="8" fillId="0" borderId="29" xfId="0" applyFont="1" applyBorder="1"/>
    <xf numFmtId="164" fontId="8" fillId="0" borderId="34" xfId="0" applyNumberFormat="1" applyFont="1" applyBorder="1"/>
    <xf numFmtId="0" fontId="20" fillId="4" borderId="229" xfId="0" applyFont="1" applyFill="1" applyBorder="1" applyAlignment="1">
      <alignment horizontal="right"/>
    </xf>
    <xf numFmtId="0" fontId="8" fillId="0" borderId="91" xfId="0" applyFont="1" applyBorder="1" applyAlignment="1">
      <alignment horizontal="center"/>
    </xf>
    <xf numFmtId="164" fontId="8" fillId="0" borderId="15" xfId="0" applyNumberFormat="1" applyFont="1" applyBorder="1"/>
    <xf numFmtId="0" fontId="20" fillId="4" borderId="233" xfId="0" applyFont="1" applyFill="1" applyBorder="1" applyAlignment="1">
      <alignment horizontal="right"/>
    </xf>
    <xf numFmtId="0" fontId="20" fillId="4" borderId="239" xfId="0" applyFont="1" applyFill="1" applyBorder="1" applyAlignment="1">
      <alignment horizontal="right"/>
    </xf>
    <xf numFmtId="0" fontId="8" fillId="0" borderId="142" xfId="0" applyFont="1" applyBorder="1" applyAlignment="1">
      <alignment horizontal="center"/>
    </xf>
    <xf numFmtId="0" fontId="20" fillId="4" borderId="240" xfId="0" applyFont="1" applyFill="1" applyBorder="1" applyAlignment="1">
      <alignment horizontal="right"/>
    </xf>
    <xf numFmtId="0" fontId="8" fillId="0" borderId="50" xfId="0" applyFont="1" applyBorder="1" applyAlignment="1">
      <alignment horizontal="left" vertical="center"/>
    </xf>
    <xf numFmtId="164" fontId="8" fillId="0" borderId="106" xfId="0" applyNumberFormat="1" applyFont="1" applyBorder="1" applyAlignment="1">
      <alignment horizontal="center" vertical="center"/>
    </xf>
    <xf numFmtId="0" fontId="8" fillId="0" borderId="106" xfId="0" applyFont="1" applyBorder="1" applyAlignment="1">
      <alignment horizontal="left" vertical="center" wrapText="1"/>
    </xf>
    <xf numFmtId="0" fontId="20" fillId="4" borderId="93" xfId="0" applyFont="1" applyFill="1" applyBorder="1" applyAlignment="1">
      <alignment horizontal="right" vertical="center"/>
    </xf>
    <xf numFmtId="0" fontId="8" fillId="0" borderId="106" xfId="0" applyFont="1" applyBorder="1" applyAlignment="1">
      <alignment horizontal="center" vertical="center"/>
    </xf>
    <xf numFmtId="0" fontId="8" fillId="0" borderId="239" xfId="0" applyFont="1" applyBorder="1" applyAlignment="1">
      <alignment horizontal="right"/>
    </xf>
    <xf numFmtId="0" fontId="8" fillId="0" borderId="142" xfId="0" applyFont="1" applyBorder="1" applyAlignment="1">
      <alignment horizontal="center" wrapText="1"/>
    </xf>
    <xf numFmtId="0" fontId="8" fillId="0" borderId="0" xfId="0" applyFont="1" applyAlignment="1">
      <alignment horizontal="left"/>
    </xf>
    <xf numFmtId="0" fontId="8" fillId="0" borderId="170" xfId="0" applyFont="1" applyBorder="1" applyAlignment="1">
      <alignment horizontal="center" vertical="center" wrapText="1"/>
    </xf>
    <xf numFmtId="164" fontId="16" fillId="8" borderId="98" xfId="0" applyNumberFormat="1" applyFont="1" applyFill="1" applyBorder="1" applyAlignment="1">
      <alignment horizontal="center" wrapText="1"/>
    </xf>
    <xf numFmtId="164" fontId="16" fillId="0" borderId="101" xfId="0" applyNumberFormat="1" applyFont="1" applyBorder="1" applyAlignment="1">
      <alignment horizontal="center"/>
    </xf>
    <xf numFmtId="0" fontId="8" fillId="0" borderId="90" xfId="0" applyFont="1" applyBorder="1" applyAlignment="1">
      <alignment horizontal="center" vertical="center"/>
    </xf>
    <xf numFmtId="0" fontId="8" fillId="0" borderId="132" xfId="0" applyFont="1" applyBorder="1" applyAlignment="1">
      <alignment horizontal="center" vertical="center"/>
    </xf>
    <xf numFmtId="0" fontId="8" fillId="0" borderId="5" xfId="0" applyFont="1" applyBorder="1" applyAlignment="1">
      <alignment horizontal="center" vertical="center"/>
    </xf>
    <xf numFmtId="0" fontId="10" fillId="0" borderId="0" xfId="0" applyFont="1" applyAlignment="1">
      <alignment horizontal="center" vertical="top"/>
    </xf>
    <xf numFmtId="0" fontId="10" fillId="0" borderId="0" xfId="0" applyFont="1" applyAlignment="1">
      <alignment vertical="top" wrapText="1"/>
    </xf>
    <xf numFmtId="0" fontId="16" fillId="0" borderId="0" xfId="0" applyFont="1" applyAlignment="1">
      <alignment horizontal="center"/>
    </xf>
    <xf numFmtId="0" fontId="20" fillId="0" borderId="0" xfId="0" applyFont="1" applyAlignment="1">
      <alignment horizontal="left" vertical="center" wrapText="1"/>
    </xf>
    <xf numFmtId="0" fontId="8" fillId="0" borderId="62" xfId="0" applyFont="1" applyBorder="1" applyAlignment="1">
      <alignment horizontal="left" vertical="center" wrapText="1"/>
    </xf>
    <xf numFmtId="0" fontId="18" fillId="0" borderId="0" xfId="0" applyFont="1" applyAlignment="1">
      <alignment vertical="center"/>
    </xf>
    <xf numFmtId="0" fontId="8" fillId="0" borderId="69" xfId="0" applyFont="1" applyBorder="1" applyAlignment="1">
      <alignment horizontal="left" vertical="center" wrapText="1"/>
    </xf>
    <xf numFmtId="164" fontId="8" fillId="0" borderId="62" xfId="0" applyNumberFormat="1" applyFont="1" applyBorder="1" applyAlignment="1">
      <alignment horizontal="center" vertical="center"/>
    </xf>
    <xf numFmtId="0" fontId="8" fillId="0" borderId="0" xfId="0" applyFont="1" applyAlignment="1">
      <alignment horizontal="left" vertical="center"/>
    </xf>
    <xf numFmtId="0" fontId="8" fillId="0" borderId="28" xfId="0" applyFont="1" applyBorder="1" applyAlignment="1">
      <alignment horizontal="center" vertical="center"/>
    </xf>
    <xf numFmtId="0" fontId="8" fillId="0" borderId="0" xfId="0" applyFont="1" applyAlignment="1">
      <alignment wrapText="1"/>
    </xf>
    <xf numFmtId="0" fontId="8" fillId="0" borderId="77" xfId="0" applyFont="1" applyBorder="1" applyAlignment="1">
      <alignment horizontal="left" vertical="center" wrapText="1"/>
    </xf>
    <xf numFmtId="0" fontId="20" fillId="4" borderId="159" xfId="0" applyFont="1" applyFill="1" applyBorder="1" applyAlignment="1">
      <alignment horizontal="right" vertical="center"/>
    </xf>
    <xf numFmtId="0" fontId="8" fillId="0" borderId="62"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62" xfId="0" applyFont="1" applyBorder="1" applyAlignment="1">
      <alignment horizontal="center" vertical="center"/>
    </xf>
    <xf numFmtId="0" fontId="8" fillId="0" borderId="0" xfId="0" applyFont="1" applyAlignment="1">
      <alignment horizontal="left" vertical="center" wrapText="1"/>
    </xf>
    <xf numFmtId="0" fontId="26" fillId="8" borderId="114" xfId="0" applyFont="1" applyFill="1" applyBorder="1" applyAlignment="1">
      <alignment horizontal="center" vertical="center"/>
    </xf>
    <xf numFmtId="0" fontId="26" fillId="8" borderId="236" xfId="0" applyFont="1" applyFill="1" applyBorder="1" applyAlignment="1">
      <alignment horizontal="center" vertical="center"/>
    </xf>
    <xf numFmtId="0" fontId="26" fillId="4" borderId="114" xfId="0" applyFont="1" applyFill="1" applyBorder="1" applyAlignment="1">
      <alignment horizontal="center" vertical="center"/>
    </xf>
    <xf numFmtId="0" fontId="26" fillId="4" borderId="236" xfId="0" applyFont="1" applyFill="1" applyBorder="1" applyAlignment="1">
      <alignment horizontal="center" vertical="center"/>
    </xf>
    <xf numFmtId="0" fontId="8" fillId="8" borderId="243" xfId="0" applyFont="1" applyFill="1" applyBorder="1"/>
    <xf numFmtId="0" fontId="8" fillId="8" borderId="244" xfId="0" applyFont="1" applyFill="1" applyBorder="1" applyAlignment="1">
      <alignment horizontal="left" vertical="center"/>
    </xf>
    <xf numFmtId="0" fontId="8" fillId="4" borderId="243" xfId="0" applyFont="1" applyFill="1" applyBorder="1" applyAlignment="1">
      <alignment horizontal="left" vertical="center"/>
    </xf>
    <xf numFmtId="0" fontId="8" fillId="4" borderId="244" xfId="0" applyFont="1" applyFill="1" applyBorder="1" applyAlignment="1">
      <alignment horizontal="left" vertical="center"/>
    </xf>
    <xf numFmtId="0" fontId="8" fillId="0" borderId="97" xfId="0" applyFont="1" applyBorder="1" applyAlignment="1">
      <alignment vertical="center" wrapText="1"/>
    </xf>
    <xf numFmtId="0" fontId="20" fillId="0" borderId="182" xfId="0" applyFont="1" applyBorder="1" applyAlignment="1">
      <alignment horizontal="left" vertical="center"/>
    </xf>
    <xf numFmtId="0" fontId="20" fillId="0" borderId="182" xfId="0" applyFont="1" applyBorder="1" applyAlignment="1">
      <alignment horizontal="center" vertical="center"/>
    </xf>
    <xf numFmtId="0" fontId="20" fillId="0" borderId="182" xfId="0" applyFont="1" applyBorder="1" applyAlignment="1">
      <alignment vertical="center"/>
    </xf>
    <xf numFmtId="0" fontId="8" fillId="0" borderId="182" xfId="0" applyFont="1" applyBorder="1" applyAlignment="1">
      <alignment horizontal="center" vertical="center"/>
    </xf>
    <xf numFmtId="0" fontId="8" fillId="0" borderId="182" xfId="0" applyFont="1" applyBorder="1"/>
    <xf numFmtId="0" fontId="8" fillId="0" borderId="182" xfId="0" applyFont="1" applyBorder="1" applyAlignment="1">
      <alignment horizontal="left" vertical="top"/>
    </xf>
    <xf numFmtId="0" fontId="7" fillId="7" borderId="182" xfId="0" applyFont="1" applyFill="1" applyBorder="1" applyAlignment="1">
      <alignment vertical="center"/>
    </xf>
    <xf numFmtId="0" fontId="10" fillId="7" borderId="182" xfId="0" applyFont="1" applyFill="1" applyBorder="1" applyAlignment="1">
      <alignment horizontal="left" vertical="center"/>
    </xf>
    <xf numFmtId="0" fontId="10" fillId="7" borderId="182" xfId="0" applyFont="1" applyFill="1" applyBorder="1" applyAlignment="1">
      <alignment horizontal="center" vertical="center"/>
    </xf>
    <xf numFmtId="0" fontId="33" fillId="7" borderId="182" xfId="0" applyFont="1" applyFill="1" applyBorder="1" applyAlignment="1">
      <alignment horizontal="right" vertical="center"/>
    </xf>
    <xf numFmtId="0" fontId="11" fillId="7" borderId="223" xfId="0" applyFont="1" applyFill="1" applyBorder="1" applyAlignment="1">
      <alignment horizontal="center" vertical="center"/>
    </xf>
    <xf numFmtId="0" fontId="7" fillId="0" borderId="182" xfId="0" applyFont="1" applyBorder="1" applyAlignment="1">
      <alignment vertical="center"/>
    </xf>
    <xf numFmtId="0" fontId="10" fillId="0" borderId="182" xfId="0" applyFont="1" applyBorder="1" applyAlignment="1">
      <alignment horizontal="left" vertical="center"/>
    </xf>
    <xf numFmtId="0" fontId="10" fillId="0" borderId="182" xfId="0" applyFont="1" applyBorder="1" applyAlignment="1">
      <alignment horizontal="center" vertical="center"/>
    </xf>
    <xf numFmtId="0" fontId="33" fillId="0" borderId="182" xfId="0" applyFont="1" applyBorder="1" applyAlignment="1">
      <alignment horizontal="right" vertical="center"/>
    </xf>
    <xf numFmtId="0" fontId="11" fillId="0" borderId="223" xfId="0" applyFont="1" applyBorder="1" applyAlignment="1">
      <alignment horizontal="center" vertical="center"/>
    </xf>
    <xf numFmtId="0" fontId="8" fillId="7" borderId="182" xfId="0" applyFont="1" applyFill="1" applyBorder="1" applyAlignment="1">
      <alignment vertical="top"/>
    </xf>
    <xf numFmtId="0" fontId="20" fillId="7" borderId="182" xfId="0" applyFont="1" applyFill="1" applyBorder="1" applyAlignment="1">
      <alignment horizontal="left" vertical="center"/>
    </xf>
    <xf numFmtId="0" fontId="20" fillId="7" borderId="182" xfId="0" applyFont="1" applyFill="1" applyBorder="1" applyAlignment="1">
      <alignment horizontal="center" vertical="top"/>
    </xf>
    <xf numFmtId="0" fontId="8" fillId="0" borderId="182" xfId="0" applyFont="1" applyBorder="1" applyAlignment="1">
      <alignment vertical="top"/>
    </xf>
    <xf numFmtId="0" fontId="20" fillId="0" borderId="182" xfId="0" applyFont="1" applyBorder="1" applyAlignment="1">
      <alignment horizontal="center" vertical="top"/>
    </xf>
    <xf numFmtId="0" fontId="7" fillId="0" borderId="182" xfId="0" applyFont="1" applyBorder="1" applyAlignment="1">
      <alignment vertical="top"/>
    </xf>
    <xf numFmtId="0" fontId="18" fillId="0" borderId="0" xfId="0" applyFont="1" applyAlignment="1">
      <alignment horizontal="left"/>
    </xf>
    <xf numFmtId="0" fontId="18" fillId="0" borderId="0" xfId="0" applyFont="1"/>
    <xf numFmtId="0" fontId="18" fillId="0" borderId="0" xfId="0" applyFont="1" applyAlignment="1">
      <alignment horizontal="left" vertical="center"/>
    </xf>
    <xf numFmtId="0" fontId="18" fillId="0" borderId="0" xfId="0" applyFont="1" applyAlignment="1">
      <alignment wrapText="1"/>
    </xf>
    <xf numFmtId="0" fontId="18" fillId="4" borderId="0" xfId="0" applyFont="1" applyFill="1"/>
    <xf numFmtId="0" fontId="8" fillId="0" borderId="59" xfId="0" applyFont="1" applyBorder="1" applyAlignment="1">
      <alignment horizontal="left" vertical="center"/>
    </xf>
    <xf numFmtId="0" fontId="8" fillId="0" borderId="34" xfId="0" applyFont="1" applyBorder="1" applyAlignment="1">
      <alignment horizontal="left" vertical="center"/>
    </xf>
    <xf numFmtId="0" fontId="8" fillId="0" borderId="29" xfId="0" applyFont="1" applyBorder="1" applyAlignment="1">
      <alignment horizontal="left" vertical="center"/>
    </xf>
    <xf numFmtId="0" fontId="7" fillId="0" borderId="0" xfId="0" applyFont="1" applyAlignment="1">
      <alignment horizontal="left" vertical="center"/>
    </xf>
    <xf numFmtId="0" fontId="20" fillId="0" borderId="15" xfId="0" applyFont="1" applyBorder="1" applyAlignment="1">
      <alignment vertical="center" wrapText="1"/>
    </xf>
    <xf numFmtId="0" fontId="8" fillId="4" borderId="90" xfId="0" applyFont="1" applyFill="1" applyBorder="1" applyAlignment="1">
      <alignment horizontal="left" vertical="center"/>
    </xf>
    <xf numFmtId="0" fontId="8" fillId="4" borderId="91" xfId="0" applyFont="1" applyFill="1" applyBorder="1" applyAlignment="1">
      <alignment horizontal="left" vertical="center"/>
    </xf>
    <xf numFmtId="0" fontId="28" fillId="0" borderId="247" xfId="0" applyFont="1" applyBorder="1" applyAlignment="1">
      <alignment vertical="center" wrapText="1"/>
    </xf>
    <xf numFmtId="0" fontId="40" fillId="9" borderId="84" xfId="0" applyFont="1" applyFill="1" applyBorder="1" applyAlignment="1">
      <alignment vertical="center" wrapText="1"/>
    </xf>
    <xf numFmtId="0" fontId="20" fillId="0" borderId="239" xfId="0" applyFont="1" applyBorder="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15" fillId="0" borderId="0" xfId="0" applyFont="1" applyAlignment="1">
      <alignment horizontal="left" vertical="center"/>
    </xf>
    <xf numFmtId="0" fontId="21" fillId="0" borderId="0" xfId="0" applyFont="1" applyAlignment="1">
      <alignment horizontal="left" vertical="center"/>
    </xf>
    <xf numFmtId="0" fontId="32" fillId="0" borderId="0" xfId="0" applyFont="1" applyAlignment="1">
      <alignment horizontal="left" vertical="center"/>
    </xf>
    <xf numFmtId="0" fontId="2" fillId="3" borderId="258" xfId="0" applyFont="1" applyFill="1" applyBorder="1" applyAlignment="1">
      <alignment horizontal="left" vertical="center" wrapText="1"/>
    </xf>
    <xf numFmtId="0" fontId="3" fillId="3" borderId="258" xfId="0" applyFont="1" applyFill="1" applyBorder="1" applyAlignment="1">
      <alignment horizontal="left" vertical="center" wrapText="1"/>
    </xf>
    <xf numFmtId="0" fontId="7" fillId="4" borderId="0" xfId="0" applyFont="1" applyFill="1" applyAlignment="1">
      <alignment horizontal="left" vertical="center"/>
    </xf>
    <xf numFmtId="0" fontId="10" fillId="0" borderId="35" xfId="0" applyFont="1" applyBorder="1" applyAlignment="1">
      <alignment horizontal="left" vertical="center"/>
    </xf>
    <xf numFmtId="0" fontId="10" fillId="0" borderId="36" xfId="0" applyFont="1" applyBorder="1" applyAlignment="1">
      <alignment horizontal="left" vertical="center"/>
    </xf>
    <xf numFmtId="0" fontId="10" fillId="0" borderId="37" xfId="0" applyFont="1" applyBorder="1" applyAlignment="1">
      <alignment horizontal="left" vertical="center"/>
    </xf>
    <xf numFmtId="0" fontId="30" fillId="0" borderId="0" xfId="0" applyFont="1" applyAlignment="1">
      <alignment horizontal="left" vertical="center"/>
    </xf>
    <xf numFmtId="0" fontId="7" fillId="0" borderId="86" xfId="0" applyFont="1" applyBorder="1" applyAlignment="1">
      <alignment horizontal="left" vertical="center" wrapText="1"/>
    </xf>
    <xf numFmtId="0" fontId="7" fillId="0" borderId="7" xfId="0" applyFont="1" applyBorder="1" applyAlignment="1">
      <alignment horizontal="left" vertical="center" wrapText="1"/>
    </xf>
    <xf numFmtId="0" fontId="7" fillId="0" borderId="7" xfId="0" applyFont="1" applyBorder="1" applyAlignment="1">
      <alignment horizontal="left" vertical="center"/>
    </xf>
    <xf numFmtId="0" fontId="44" fillId="0" borderId="0" xfId="0" applyFont="1" applyAlignment="1">
      <alignment horizontal="left" vertical="center"/>
    </xf>
    <xf numFmtId="0" fontId="50" fillId="0" borderId="0" xfId="0" applyFont="1" applyAlignment="1">
      <alignment horizontal="left" vertical="center"/>
    </xf>
    <xf numFmtId="0" fontId="7" fillId="0" borderId="21" xfId="0" applyFont="1" applyBorder="1" applyAlignment="1">
      <alignment horizontal="left" vertical="center"/>
    </xf>
    <xf numFmtId="0" fontId="7" fillId="0" borderId="21" xfId="0" applyFont="1" applyBorder="1" applyAlignment="1">
      <alignment horizontal="left" vertical="center" wrapText="1"/>
    </xf>
    <xf numFmtId="0" fontId="7" fillId="4" borderId="7" xfId="0" applyFont="1" applyFill="1" applyBorder="1" applyAlignment="1">
      <alignment horizontal="left" vertical="center"/>
    </xf>
    <xf numFmtId="0" fontId="7" fillId="0" borderId="1" xfId="0" applyFont="1" applyBorder="1" applyAlignment="1">
      <alignment horizontal="left" vertical="center" wrapText="1"/>
    </xf>
    <xf numFmtId="0" fontId="30" fillId="4" borderId="0" xfId="0" applyFont="1" applyFill="1" applyAlignment="1">
      <alignment horizontal="left" vertical="center"/>
    </xf>
    <xf numFmtId="0" fontId="8" fillId="4" borderId="0" xfId="0" applyFont="1" applyFill="1" applyAlignment="1">
      <alignment horizontal="left" vertical="center"/>
    </xf>
    <xf numFmtId="0" fontId="41" fillId="0" borderId="0" xfId="0" applyFont="1" applyAlignment="1">
      <alignment horizontal="left" vertical="center"/>
    </xf>
    <xf numFmtId="0" fontId="23" fillId="0" borderId="0" xfId="0" applyFont="1"/>
    <xf numFmtId="0" fontId="24" fillId="0" borderId="0" xfId="1" applyFont="1" applyAlignment="1">
      <alignment horizontal="left" vertical="center"/>
    </xf>
    <xf numFmtId="0" fontId="20" fillId="0" borderId="61" xfId="0" applyFont="1" applyBorder="1" applyAlignment="1" applyProtection="1">
      <alignment horizontal="left" vertical="center" wrapText="1"/>
      <protection locked="0"/>
    </xf>
    <xf numFmtId="0" fontId="20" fillId="4" borderId="66" xfId="0" applyFont="1" applyFill="1" applyBorder="1" applyAlignment="1" applyProtection="1">
      <alignment horizontal="left" vertical="center" wrapText="1"/>
      <protection locked="0"/>
    </xf>
    <xf numFmtId="0" fontId="20" fillId="0" borderId="66" xfId="0" applyFont="1" applyBorder="1" applyAlignment="1" applyProtection="1">
      <alignment horizontal="left" vertical="center" wrapText="1"/>
      <protection locked="0"/>
    </xf>
    <xf numFmtId="0" fontId="8" fillId="8" borderId="55" xfId="0" applyFont="1" applyFill="1" applyBorder="1" applyAlignment="1" applyProtection="1">
      <alignment horizontal="center" vertical="center"/>
      <protection locked="0"/>
    </xf>
    <xf numFmtId="0" fontId="8" fillId="8" borderId="66" xfId="0" applyFont="1" applyFill="1" applyBorder="1" applyAlignment="1" applyProtection="1">
      <alignment horizontal="center" vertical="center"/>
      <protection locked="0"/>
    </xf>
    <xf numFmtId="0" fontId="8" fillId="8" borderId="68" xfId="0" applyFont="1" applyFill="1" applyBorder="1" applyAlignment="1" applyProtection="1">
      <alignment horizontal="center" vertical="center"/>
      <protection locked="0"/>
    </xf>
    <xf numFmtId="0" fontId="8" fillId="8" borderId="252" xfId="0" applyFont="1" applyFill="1" applyBorder="1" applyAlignment="1" applyProtection="1">
      <alignment horizontal="center" vertical="center"/>
      <protection locked="0"/>
    </xf>
    <xf numFmtId="0" fontId="14" fillId="0" borderId="0" xfId="0" applyFont="1" applyProtection="1">
      <protection locked="0"/>
    </xf>
    <xf numFmtId="0" fontId="8" fillId="0" borderId="0" xfId="0" applyFont="1" applyProtection="1">
      <protection locked="0"/>
    </xf>
    <xf numFmtId="0" fontId="0" fillId="0" borderId="0" xfId="0" applyProtection="1">
      <protection locked="0"/>
    </xf>
    <xf numFmtId="0" fontId="16" fillId="0" borderId="86" xfId="0" applyFont="1" applyBorder="1" applyAlignment="1" applyProtection="1">
      <alignment vertical="center" wrapText="1"/>
      <protection locked="0"/>
    </xf>
    <xf numFmtId="0" fontId="14" fillId="0" borderId="30" xfId="0" applyFont="1" applyBorder="1" applyAlignment="1" applyProtection="1">
      <alignment horizontal="left"/>
      <protection locked="0"/>
    </xf>
    <xf numFmtId="0" fontId="1" fillId="0" borderId="0" xfId="0" applyFont="1" applyProtection="1">
      <protection locked="0"/>
    </xf>
    <xf numFmtId="0" fontId="16" fillId="0" borderId="0" xfId="0" applyFont="1" applyProtection="1">
      <protection locked="0"/>
    </xf>
    <xf numFmtId="0" fontId="26" fillId="0" borderId="0" xfId="0" applyFont="1" applyProtection="1">
      <protection locked="0"/>
    </xf>
    <xf numFmtId="0" fontId="8" fillId="3" borderId="85" xfId="0" applyFont="1" applyFill="1" applyBorder="1" applyAlignment="1" applyProtection="1">
      <alignment horizontal="center" vertical="center"/>
      <protection locked="0"/>
    </xf>
    <xf numFmtId="0" fontId="8" fillId="3" borderId="86" xfId="0" applyFont="1" applyFill="1" applyBorder="1" applyAlignment="1" applyProtection="1">
      <alignment horizontal="center" vertical="center"/>
      <protection locked="0"/>
    </xf>
    <xf numFmtId="0" fontId="8" fillId="3" borderId="87" xfId="0" applyFont="1" applyFill="1" applyBorder="1" applyAlignment="1" applyProtection="1">
      <alignment horizontal="center" vertical="center"/>
      <protection locked="0"/>
    </xf>
    <xf numFmtId="0" fontId="8" fillId="3" borderId="88" xfId="0" applyFont="1" applyFill="1" applyBorder="1" applyAlignment="1" applyProtection="1">
      <alignment horizontal="center" vertical="center"/>
      <protection locked="0"/>
    </xf>
    <xf numFmtId="0" fontId="8" fillId="8" borderId="70" xfId="0" applyFont="1" applyFill="1" applyBorder="1" applyAlignment="1" applyProtection="1">
      <alignment horizontal="center" vertical="center"/>
      <protection locked="0"/>
    </xf>
    <xf numFmtId="0" fontId="8" fillId="8" borderId="26" xfId="0" applyFont="1" applyFill="1" applyBorder="1" applyAlignment="1" applyProtection="1">
      <alignment horizontal="center" vertical="center"/>
      <protection locked="0"/>
    </xf>
    <xf numFmtId="0" fontId="8" fillId="4" borderId="89" xfId="0" applyFont="1" applyFill="1" applyBorder="1" applyAlignment="1" applyProtection="1">
      <alignment horizontal="center" vertical="center"/>
      <protection locked="0"/>
    </xf>
    <xf numFmtId="0" fontId="8" fillId="4" borderId="39" xfId="0" applyFont="1" applyFill="1" applyBorder="1" applyAlignment="1" applyProtection="1">
      <alignment horizontal="center" vertical="center"/>
      <protection locked="0"/>
    </xf>
    <xf numFmtId="0" fontId="8" fillId="8" borderId="93" xfId="0" applyFont="1" applyFill="1" applyBorder="1" applyAlignment="1" applyProtection="1">
      <alignment horizontal="center" vertical="center"/>
      <protection locked="0"/>
    </xf>
    <xf numFmtId="0" fontId="8" fillId="8" borderId="95" xfId="0" applyFont="1" applyFill="1" applyBorder="1" applyAlignment="1" applyProtection="1">
      <alignment horizontal="center" vertical="center"/>
      <protection locked="0"/>
    </xf>
    <xf numFmtId="0" fontId="8" fillId="4" borderId="96" xfId="0" applyFont="1" applyFill="1" applyBorder="1" applyAlignment="1" applyProtection="1">
      <alignment horizontal="center" vertical="center"/>
      <protection locked="0"/>
    </xf>
    <xf numFmtId="0" fontId="8" fillId="4" borderId="94" xfId="0" applyFont="1" applyFill="1" applyBorder="1" applyAlignment="1" applyProtection="1">
      <alignment horizontal="center" vertical="center"/>
      <protection locked="0"/>
    </xf>
    <xf numFmtId="0" fontId="8" fillId="3" borderId="67"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3" borderId="97"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8" borderId="98" xfId="0" applyFont="1" applyFill="1" applyBorder="1" applyAlignment="1" applyProtection="1">
      <alignment horizontal="center" vertical="center"/>
      <protection locked="0"/>
    </xf>
    <xf numFmtId="0" fontId="8" fillId="8" borderId="99" xfId="0" applyFont="1" applyFill="1" applyBorder="1" applyAlignment="1" applyProtection="1">
      <alignment horizontal="center" vertical="center"/>
      <protection locked="0"/>
    </xf>
    <xf numFmtId="0" fontId="8" fillId="4" borderId="100" xfId="0" applyFont="1" applyFill="1" applyBorder="1" applyAlignment="1" applyProtection="1">
      <alignment horizontal="center" vertical="center"/>
      <protection locked="0"/>
    </xf>
    <xf numFmtId="0" fontId="8" fillId="4" borderId="101" xfId="0" applyFont="1" applyFill="1" applyBorder="1" applyAlignment="1" applyProtection="1">
      <alignment horizontal="center" vertical="center"/>
      <protection locked="0"/>
    </xf>
    <xf numFmtId="0" fontId="8" fillId="8" borderId="67" xfId="0" applyFont="1" applyFill="1" applyBorder="1" applyAlignment="1" applyProtection="1">
      <alignment horizontal="center" vertical="center"/>
      <protection locked="0"/>
    </xf>
    <xf numFmtId="0" fontId="8" fillId="8" borderId="1" xfId="0" applyFont="1" applyFill="1" applyBorder="1" applyAlignment="1" applyProtection="1">
      <alignment horizontal="center" vertical="center"/>
      <protection locked="0"/>
    </xf>
    <xf numFmtId="0" fontId="8" fillId="4" borderId="97"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protection locked="0"/>
    </xf>
    <xf numFmtId="0" fontId="8" fillId="8" borderId="102" xfId="0" applyFont="1" applyFill="1" applyBorder="1" applyAlignment="1" applyProtection="1">
      <alignment horizontal="center" vertical="center"/>
      <protection locked="0"/>
    </xf>
    <xf numFmtId="0" fontId="8" fillId="8" borderId="103" xfId="0" applyFont="1" applyFill="1" applyBorder="1" applyAlignment="1" applyProtection="1">
      <alignment horizontal="center" vertical="center"/>
      <protection locked="0"/>
    </xf>
    <xf numFmtId="0" fontId="8" fillId="4" borderId="104" xfId="0" applyFont="1" applyFill="1" applyBorder="1" applyAlignment="1" applyProtection="1">
      <alignment horizontal="center" vertical="center"/>
      <protection locked="0"/>
    </xf>
    <xf numFmtId="0" fontId="8" fillId="4" borderId="105" xfId="0" applyFont="1" applyFill="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8" borderId="67" xfId="0" applyFont="1" applyFill="1" applyBorder="1" applyAlignment="1" applyProtection="1">
      <alignment horizontal="center"/>
      <protection locked="0"/>
    </xf>
    <xf numFmtId="0" fontId="8" fillId="8" borderId="1" xfId="0" applyFont="1" applyFill="1" applyBorder="1" applyAlignment="1" applyProtection="1">
      <alignment horizontal="center"/>
      <protection locked="0"/>
    </xf>
    <xf numFmtId="0" fontId="8" fillId="4" borderId="97" xfId="0" applyFont="1" applyFill="1" applyBorder="1" applyAlignment="1" applyProtection="1">
      <alignment horizontal="center"/>
      <protection locked="0"/>
    </xf>
    <xf numFmtId="0" fontId="8" fillId="4" borderId="11" xfId="0" applyFont="1" applyFill="1" applyBorder="1" applyAlignment="1" applyProtection="1">
      <alignment horizontal="center"/>
      <protection locked="0"/>
    </xf>
    <xf numFmtId="0" fontId="8" fillId="8" borderId="107" xfId="0" applyFont="1" applyFill="1" applyBorder="1" applyAlignment="1" applyProtection="1">
      <alignment horizontal="center" vertical="center"/>
      <protection locked="0"/>
    </xf>
    <xf numFmtId="0" fontId="8" fillId="8" borderId="48" xfId="0" applyFont="1" applyFill="1" applyBorder="1" applyAlignment="1" applyProtection="1">
      <alignment horizontal="center" vertical="center"/>
      <protection locked="0"/>
    </xf>
    <xf numFmtId="0" fontId="8" fillId="4" borderId="109" xfId="0" applyFont="1" applyFill="1" applyBorder="1" applyAlignment="1" applyProtection="1">
      <alignment horizontal="center" vertical="center"/>
      <protection locked="0"/>
    </xf>
    <xf numFmtId="0" fontId="8" fillId="4" borderId="110" xfId="0" applyFont="1" applyFill="1" applyBorder="1" applyAlignment="1" applyProtection="1">
      <alignment horizontal="center" vertical="center"/>
      <protection locked="0"/>
    </xf>
    <xf numFmtId="0" fontId="8" fillId="3" borderId="120" xfId="0" applyFont="1" applyFill="1" applyBorder="1" applyAlignment="1" applyProtection="1">
      <alignment horizontal="center" vertical="center"/>
      <protection locked="0"/>
    </xf>
    <xf numFmtId="0" fontId="8" fillId="3" borderId="121" xfId="0" applyFont="1" applyFill="1" applyBorder="1" applyAlignment="1" applyProtection="1">
      <alignment horizontal="center" vertical="center"/>
      <protection locked="0"/>
    </xf>
    <xf numFmtId="0" fontId="8" fillId="3" borderId="71" xfId="0" applyFont="1" applyFill="1" applyBorder="1" applyAlignment="1" applyProtection="1">
      <alignment horizontal="center" vertical="center"/>
      <protection locked="0"/>
    </xf>
    <xf numFmtId="0" fontId="8" fillId="8" borderId="122" xfId="0" applyFont="1" applyFill="1" applyBorder="1" applyAlignment="1" applyProtection="1">
      <alignment horizontal="center" vertical="center"/>
      <protection locked="0"/>
    </xf>
    <xf numFmtId="0" fontId="8" fillId="8" borderId="123" xfId="0" applyFont="1" applyFill="1" applyBorder="1" applyAlignment="1" applyProtection="1">
      <alignment horizontal="center" vertical="center"/>
      <protection locked="0"/>
    </xf>
    <xf numFmtId="0" fontId="8" fillId="4" borderId="124" xfId="0" applyFont="1" applyFill="1" applyBorder="1" applyAlignment="1" applyProtection="1">
      <alignment horizontal="center" vertical="center"/>
      <protection locked="0"/>
    </xf>
    <xf numFmtId="0" fontId="8" fillId="4" borderId="125" xfId="0" applyFont="1" applyFill="1" applyBorder="1" applyAlignment="1" applyProtection="1">
      <alignment horizontal="center" vertical="center"/>
      <protection locked="0"/>
    </xf>
    <xf numFmtId="0" fontId="8" fillId="8" borderId="127" xfId="0" applyFont="1" applyFill="1" applyBorder="1" applyAlignment="1" applyProtection="1">
      <alignment horizontal="center" vertical="center"/>
      <protection locked="0"/>
    </xf>
    <xf numFmtId="0" fontId="8" fillId="8" borderId="128" xfId="0" applyFont="1" applyFill="1" applyBorder="1" applyAlignment="1" applyProtection="1">
      <alignment horizontal="center" vertical="center"/>
      <protection locked="0"/>
    </xf>
    <xf numFmtId="0" fontId="8" fillId="4" borderId="129" xfId="0" applyFont="1" applyFill="1" applyBorder="1" applyAlignment="1" applyProtection="1">
      <alignment horizontal="center" vertical="center"/>
      <protection locked="0"/>
    </xf>
    <xf numFmtId="0" fontId="8" fillId="4" borderId="130" xfId="0" applyFont="1" applyFill="1" applyBorder="1" applyAlignment="1" applyProtection="1">
      <alignment horizontal="center" vertical="center"/>
      <protection locked="0"/>
    </xf>
    <xf numFmtId="0" fontId="20" fillId="0" borderId="146" xfId="0" applyFont="1" applyBorder="1" applyAlignment="1" applyProtection="1">
      <alignment horizontal="left" vertical="center" wrapText="1"/>
      <protection locked="0"/>
    </xf>
    <xf numFmtId="0" fontId="20" fillId="0" borderId="42" xfId="0" applyFont="1" applyBorder="1" applyAlignment="1" applyProtection="1">
      <alignment horizontal="center" vertical="center"/>
      <protection locked="0"/>
    </xf>
    <xf numFmtId="0" fontId="8" fillId="8" borderId="111" xfId="0" applyFont="1" applyFill="1" applyBorder="1" applyAlignment="1" applyProtection="1">
      <alignment horizontal="center" vertical="center"/>
      <protection locked="0"/>
    </xf>
    <xf numFmtId="0" fontId="8" fillId="8" borderId="30" xfId="0" applyFont="1" applyFill="1" applyBorder="1" applyAlignment="1" applyProtection="1">
      <alignment horizontal="center" vertical="center"/>
      <protection locked="0"/>
    </xf>
    <xf numFmtId="0" fontId="8" fillId="4" borderId="158" xfId="0" applyFont="1" applyFill="1" applyBorder="1" applyAlignment="1" applyProtection="1">
      <alignment horizontal="center" vertical="center"/>
      <protection locked="0"/>
    </xf>
    <xf numFmtId="0" fontId="8" fillId="4" borderId="157" xfId="0" applyFont="1" applyFill="1" applyBorder="1" applyAlignment="1" applyProtection="1">
      <alignment horizontal="center" vertical="center"/>
      <protection locked="0"/>
    </xf>
    <xf numFmtId="0" fontId="8" fillId="8" borderId="163" xfId="0" applyFont="1" applyFill="1" applyBorder="1" applyAlignment="1" applyProtection="1">
      <alignment horizontal="center" vertical="center"/>
      <protection locked="0"/>
    </xf>
    <xf numFmtId="0" fontId="8" fillId="8" borderId="164" xfId="0" applyFont="1" applyFill="1" applyBorder="1" applyAlignment="1" applyProtection="1">
      <alignment horizontal="center" vertical="center"/>
      <protection locked="0"/>
    </xf>
    <xf numFmtId="0" fontId="8" fillId="4" borderId="165" xfId="0" applyFont="1" applyFill="1" applyBorder="1" applyAlignment="1" applyProtection="1">
      <alignment horizontal="center" vertical="center"/>
      <protection locked="0"/>
    </xf>
    <xf numFmtId="0" fontId="8" fillId="4" borderId="166" xfId="0" applyFont="1" applyFill="1" applyBorder="1" applyAlignment="1" applyProtection="1">
      <alignment horizontal="center" vertical="center"/>
      <protection locked="0"/>
    </xf>
    <xf numFmtId="0" fontId="8" fillId="8" borderId="172" xfId="0" applyFont="1" applyFill="1" applyBorder="1" applyAlignment="1" applyProtection="1">
      <alignment horizontal="center" vertical="center"/>
      <protection locked="0"/>
    </xf>
    <xf numFmtId="0" fontId="8" fillId="8" borderId="173" xfId="0" applyFont="1" applyFill="1" applyBorder="1" applyAlignment="1" applyProtection="1">
      <alignment horizontal="center" vertical="center"/>
      <protection locked="0"/>
    </xf>
    <xf numFmtId="0" fontId="8" fillId="4" borderId="174" xfId="0" applyFont="1" applyFill="1" applyBorder="1" applyAlignment="1" applyProtection="1">
      <alignment horizontal="center" vertical="center"/>
      <protection locked="0"/>
    </xf>
    <xf numFmtId="0" fontId="8" fillId="4" borderId="175" xfId="0" applyFont="1" applyFill="1" applyBorder="1" applyAlignment="1" applyProtection="1">
      <alignment horizontal="center" vertical="center"/>
      <protection locked="0"/>
    </xf>
    <xf numFmtId="0" fontId="35" fillId="0" borderId="66" xfId="0" applyFont="1" applyBorder="1" applyAlignment="1" applyProtection="1">
      <alignment horizontal="center" vertical="center" wrapText="1"/>
      <protection locked="0"/>
    </xf>
    <xf numFmtId="0" fontId="20" fillId="0" borderId="176" xfId="0" applyFont="1" applyBorder="1" applyAlignment="1" applyProtection="1">
      <alignment horizontal="left" vertical="center" wrapText="1"/>
      <protection locked="0"/>
    </xf>
    <xf numFmtId="0" fontId="28" fillId="0" borderId="248" xfId="0" applyFont="1" applyBorder="1" applyAlignment="1" applyProtection="1">
      <alignment horizontal="center" vertical="center"/>
      <protection locked="0"/>
    </xf>
    <xf numFmtId="49" fontId="8" fillId="0" borderId="69" xfId="0" applyNumberFormat="1" applyFont="1" applyBorder="1" applyAlignment="1" applyProtection="1">
      <alignment horizontal="center" vertical="center" wrapText="1"/>
      <protection locked="0"/>
    </xf>
    <xf numFmtId="0" fontId="8" fillId="0" borderId="176" xfId="0" applyFont="1" applyBorder="1" applyAlignment="1" applyProtection="1">
      <alignment horizontal="center" vertical="center" wrapText="1"/>
      <protection locked="0"/>
    </xf>
    <xf numFmtId="0" fontId="8" fillId="8" borderId="159" xfId="0" applyFont="1" applyFill="1" applyBorder="1" applyAlignment="1" applyProtection="1">
      <alignment horizontal="center" vertical="center"/>
      <protection locked="0"/>
    </xf>
    <xf numFmtId="0" fontId="8" fillId="8" borderId="171" xfId="0" applyFont="1" applyFill="1" applyBorder="1" applyAlignment="1" applyProtection="1">
      <alignment horizontal="center" vertical="center"/>
      <protection locked="0"/>
    </xf>
    <xf numFmtId="0" fontId="8" fillId="4" borderId="188" xfId="0" applyFont="1" applyFill="1" applyBorder="1" applyAlignment="1" applyProtection="1">
      <alignment horizontal="center" vertical="center"/>
      <protection locked="0"/>
    </xf>
    <xf numFmtId="0" fontId="8" fillId="4" borderId="168" xfId="0" applyFont="1" applyFill="1" applyBorder="1" applyAlignment="1" applyProtection="1">
      <alignment horizontal="center" vertical="center"/>
      <protection locked="0"/>
    </xf>
    <xf numFmtId="0" fontId="8" fillId="8" borderId="85" xfId="0" applyFont="1" applyFill="1" applyBorder="1" applyAlignment="1" applyProtection="1">
      <alignment horizontal="center" vertical="center"/>
      <protection locked="0"/>
    </xf>
    <xf numFmtId="0" fontId="8" fillId="8" borderId="86" xfId="0" applyFont="1" applyFill="1" applyBorder="1" applyAlignment="1" applyProtection="1">
      <alignment horizontal="center" vertical="center"/>
      <protection locked="0"/>
    </xf>
    <xf numFmtId="0" fontId="8" fillId="4" borderId="87" xfId="0" applyFont="1" applyFill="1" applyBorder="1" applyAlignment="1" applyProtection="1">
      <alignment horizontal="center" vertical="center"/>
      <protection locked="0"/>
    </xf>
    <xf numFmtId="0" fontId="8" fillId="4" borderId="88" xfId="0" applyFont="1" applyFill="1" applyBorder="1" applyAlignment="1" applyProtection="1">
      <alignment horizontal="center" vertical="center"/>
      <protection locked="0"/>
    </xf>
    <xf numFmtId="0" fontId="8" fillId="3" borderId="198" xfId="0" applyFont="1" applyFill="1" applyBorder="1" applyAlignment="1" applyProtection="1">
      <alignment horizontal="center" vertical="center"/>
      <protection locked="0"/>
    </xf>
    <xf numFmtId="0" fontId="8" fillId="3" borderId="199" xfId="0" applyFont="1" applyFill="1" applyBorder="1" applyAlignment="1" applyProtection="1">
      <alignment horizontal="center" vertical="center"/>
      <protection locked="0"/>
    </xf>
    <xf numFmtId="0" fontId="8" fillId="3" borderId="200" xfId="0" applyFont="1" applyFill="1" applyBorder="1" applyAlignment="1" applyProtection="1">
      <alignment horizontal="center" vertical="center"/>
      <protection locked="0"/>
    </xf>
    <xf numFmtId="0" fontId="8" fillId="8" borderId="197" xfId="0" applyFont="1" applyFill="1" applyBorder="1" applyAlignment="1" applyProtection="1">
      <alignment horizontal="center" vertical="center"/>
      <protection locked="0"/>
    </xf>
    <xf numFmtId="0" fontId="8" fillId="8" borderId="16" xfId="0" applyFont="1" applyFill="1" applyBorder="1" applyAlignment="1" applyProtection="1">
      <alignment horizontal="center" vertical="center"/>
      <protection locked="0"/>
    </xf>
    <xf numFmtId="0" fontId="8" fillId="4" borderId="202" xfId="0" applyFont="1" applyFill="1" applyBorder="1" applyAlignment="1" applyProtection="1">
      <alignment horizontal="center" vertical="center"/>
      <protection locked="0"/>
    </xf>
    <xf numFmtId="0" fontId="8" fillId="4" borderId="203" xfId="0" applyFont="1" applyFill="1" applyBorder="1" applyAlignment="1" applyProtection="1">
      <alignment horizontal="center" vertical="center"/>
      <protection locked="0"/>
    </xf>
    <xf numFmtId="0" fontId="8" fillId="8" borderId="189" xfId="0" applyFont="1" applyFill="1" applyBorder="1" applyAlignment="1" applyProtection="1">
      <alignment horizontal="center" vertical="center"/>
      <protection locked="0"/>
    </xf>
    <xf numFmtId="0" fontId="8" fillId="8" borderId="205" xfId="0" applyFont="1" applyFill="1" applyBorder="1" applyAlignment="1" applyProtection="1">
      <alignment horizontal="center" vertical="center"/>
      <protection locked="0"/>
    </xf>
    <xf numFmtId="0" fontId="8" fillId="4" borderId="206" xfId="0" applyFont="1" applyFill="1" applyBorder="1" applyAlignment="1" applyProtection="1">
      <alignment horizontal="center" vertical="center"/>
      <protection locked="0"/>
    </xf>
    <xf numFmtId="0" fontId="8" fillId="4" borderId="207" xfId="0" applyFont="1" applyFill="1" applyBorder="1" applyAlignment="1" applyProtection="1">
      <alignment horizontal="center" vertical="center"/>
      <protection locked="0"/>
    </xf>
    <xf numFmtId="0" fontId="16" fillId="10" borderId="84" xfId="0" applyFont="1" applyFill="1" applyBorder="1" applyAlignment="1" applyProtection="1">
      <alignment horizontal="left" vertical="center"/>
      <protection locked="0"/>
    </xf>
    <xf numFmtId="0" fontId="8" fillId="4" borderId="1" xfId="0" applyFont="1" applyFill="1" applyBorder="1" applyAlignment="1" applyProtection="1">
      <alignment horizontal="center" vertical="center"/>
      <protection locked="0"/>
    </xf>
    <xf numFmtId="0" fontId="8" fillId="8" borderId="63" xfId="0" applyFont="1" applyFill="1" applyBorder="1" applyAlignment="1" applyProtection="1">
      <alignment horizontal="center" vertical="center"/>
      <protection locked="0"/>
    </xf>
    <xf numFmtId="0" fontId="8" fillId="8" borderId="13" xfId="0" applyFont="1" applyFill="1" applyBorder="1" applyAlignment="1" applyProtection="1">
      <alignment horizontal="center" vertical="center"/>
      <protection locked="0"/>
    </xf>
    <xf numFmtId="0" fontId="8" fillId="4" borderId="112" xfId="0" applyFont="1" applyFill="1" applyBorder="1" applyAlignment="1" applyProtection="1">
      <alignment horizontal="center" vertical="center"/>
      <protection locked="0"/>
    </xf>
    <xf numFmtId="0" fontId="8" fillId="4" borderId="19" xfId="0" applyFont="1" applyFill="1" applyBorder="1" applyAlignment="1" applyProtection="1">
      <alignment horizontal="center" vertical="center"/>
      <protection locked="0"/>
    </xf>
    <xf numFmtId="0" fontId="8" fillId="8" borderId="65" xfId="0" applyFont="1" applyFill="1" applyBorder="1" applyAlignment="1" applyProtection="1">
      <alignment horizontal="center" vertical="center"/>
      <protection locked="0"/>
    </xf>
    <xf numFmtId="0" fontId="8" fillId="8" borderId="22" xfId="0" applyFont="1" applyFill="1" applyBorder="1" applyAlignment="1" applyProtection="1">
      <alignment horizontal="center" vertical="center"/>
      <protection locked="0"/>
    </xf>
    <xf numFmtId="0" fontId="8" fillId="4" borderId="113" xfId="0" applyFont="1" applyFill="1" applyBorder="1" applyAlignment="1" applyProtection="1">
      <alignment horizontal="center" vertical="center"/>
      <protection locked="0"/>
    </xf>
    <xf numFmtId="0" fontId="8" fillId="4" borderId="23" xfId="0" applyFont="1" applyFill="1" applyBorder="1" applyAlignment="1" applyProtection="1">
      <alignment horizontal="center" vertical="center"/>
      <protection locked="0"/>
    </xf>
    <xf numFmtId="0" fontId="8" fillId="3" borderId="56" xfId="0" applyFont="1" applyFill="1" applyBorder="1" applyAlignment="1" applyProtection="1">
      <alignment horizontal="center" vertical="center"/>
      <protection locked="0"/>
    </xf>
    <xf numFmtId="0" fontId="8" fillId="3" borderId="212" xfId="0" applyFont="1" applyFill="1" applyBorder="1" applyAlignment="1" applyProtection="1">
      <alignment horizontal="center" vertical="center"/>
      <protection locked="0"/>
    </xf>
    <xf numFmtId="0" fontId="8" fillId="4" borderId="123" xfId="0" applyFont="1" applyFill="1" applyBorder="1" applyAlignment="1" applyProtection="1">
      <alignment horizontal="center" vertical="center"/>
      <protection locked="0"/>
    </xf>
    <xf numFmtId="0" fontId="8" fillId="4" borderId="95" xfId="0" applyFont="1" applyFill="1" applyBorder="1" applyAlignment="1" applyProtection="1">
      <alignment horizontal="center" vertical="center"/>
      <protection locked="0"/>
    </xf>
    <xf numFmtId="0" fontId="8" fillId="4" borderId="128" xfId="0" applyFont="1" applyFill="1" applyBorder="1" applyAlignment="1" applyProtection="1">
      <alignment horizontal="center" vertical="center"/>
      <protection locked="0"/>
    </xf>
    <xf numFmtId="0" fontId="20" fillId="4" borderId="68" xfId="0" applyFont="1" applyFill="1" applyBorder="1" applyAlignment="1" applyProtection="1">
      <alignment horizontal="left" vertical="center" wrapText="1"/>
      <protection locked="0"/>
    </xf>
    <xf numFmtId="0" fontId="20" fillId="0" borderId="34" xfId="0" applyFont="1" applyBorder="1" applyAlignment="1" applyProtection="1">
      <alignment horizontal="left" vertical="center" wrapText="1"/>
      <protection locked="0"/>
    </xf>
    <xf numFmtId="0" fontId="20" fillId="0" borderId="134" xfId="0" applyFont="1" applyBorder="1" applyAlignment="1" applyProtection="1">
      <alignment horizontal="left" vertical="center" wrapText="1"/>
      <protection locked="0"/>
    </xf>
    <xf numFmtId="0" fontId="8" fillId="8" borderId="56" xfId="0" applyFont="1" applyFill="1" applyBorder="1" applyAlignment="1" applyProtection="1">
      <alignment horizontal="center" vertical="center"/>
      <protection locked="0"/>
    </xf>
    <xf numFmtId="0" fontId="8" fillId="8" borderId="212" xfId="0" applyFont="1" applyFill="1" applyBorder="1" applyAlignment="1" applyProtection="1">
      <alignment horizontal="center" vertical="center"/>
      <protection locked="0"/>
    </xf>
    <xf numFmtId="0" fontId="8" fillId="4" borderId="216" xfId="0" applyFont="1" applyFill="1" applyBorder="1" applyAlignment="1" applyProtection="1">
      <alignment horizontal="center" vertical="center"/>
      <protection locked="0"/>
    </xf>
    <xf numFmtId="0" fontId="8" fillId="4" borderId="217" xfId="0" applyFont="1" applyFill="1" applyBorder="1" applyAlignment="1" applyProtection="1">
      <alignment horizontal="center" vertical="center"/>
      <protection locked="0"/>
    </xf>
    <xf numFmtId="0" fontId="8" fillId="3" borderId="218" xfId="0" applyFont="1" applyFill="1" applyBorder="1" applyAlignment="1" applyProtection="1">
      <alignment horizontal="center" vertical="center"/>
      <protection locked="0"/>
    </xf>
    <xf numFmtId="0" fontId="8" fillId="3" borderId="219" xfId="0" applyFont="1" applyFill="1" applyBorder="1" applyAlignment="1" applyProtection="1">
      <alignment horizontal="center" vertical="center"/>
      <protection locked="0"/>
    </xf>
    <xf numFmtId="0" fontId="8" fillId="3" borderId="220" xfId="0" applyFont="1" applyFill="1" applyBorder="1" applyAlignment="1" applyProtection="1">
      <alignment horizontal="center" vertical="center"/>
      <protection locked="0"/>
    </xf>
    <xf numFmtId="0" fontId="8" fillId="3" borderId="222" xfId="0" applyFont="1" applyFill="1" applyBorder="1" applyAlignment="1" applyProtection="1">
      <alignment horizontal="center" vertical="center"/>
      <protection locked="0"/>
    </xf>
    <xf numFmtId="0" fontId="8" fillId="3" borderId="195" xfId="0" applyFont="1" applyFill="1" applyBorder="1" applyAlignment="1" applyProtection="1">
      <alignment horizontal="center" vertical="center"/>
      <protection locked="0"/>
    </xf>
    <xf numFmtId="0" fontId="8" fillId="3" borderId="196" xfId="0" applyFont="1" applyFill="1" applyBorder="1" applyAlignment="1" applyProtection="1">
      <alignment horizontal="center" vertical="center"/>
      <protection locked="0"/>
    </xf>
    <xf numFmtId="0" fontId="8" fillId="0" borderId="43"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8" fillId="0" borderId="131" xfId="0" applyFont="1" applyBorder="1" applyAlignment="1" applyProtection="1">
      <alignment horizontal="center" vertical="center"/>
      <protection locked="0"/>
    </xf>
    <xf numFmtId="0" fontId="8" fillId="0" borderId="130" xfId="0" applyFont="1" applyBorder="1" applyAlignment="1" applyProtection="1">
      <alignment horizontal="center" vertical="center"/>
      <protection locked="0"/>
    </xf>
    <xf numFmtId="0" fontId="8" fillId="0" borderId="138" xfId="0" applyFont="1" applyBorder="1" applyAlignment="1" applyProtection="1">
      <alignment horizontal="center" vertical="center"/>
      <protection locked="0"/>
    </xf>
    <xf numFmtId="0" fontId="8" fillId="0" borderId="101" xfId="0" applyFont="1" applyBorder="1" applyAlignment="1" applyProtection="1">
      <alignment horizontal="center" vertical="center"/>
      <protection locked="0"/>
    </xf>
    <xf numFmtId="0" fontId="8" fillId="3" borderId="226" xfId="0" applyFont="1" applyFill="1" applyBorder="1" applyAlignment="1" applyProtection="1">
      <alignment horizontal="center" vertical="center"/>
      <protection locked="0"/>
    </xf>
    <xf numFmtId="0" fontId="8" fillId="3" borderId="227" xfId="0" applyFont="1" applyFill="1" applyBorder="1" applyAlignment="1" applyProtection="1">
      <alignment horizontal="center" vertical="center"/>
      <protection locked="0"/>
    </xf>
    <xf numFmtId="0" fontId="8" fillId="3" borderId="228" xfId="0" applyFont="1" applyFill="1" applyBorder="1" applyAlignment="1" applyProtection="1">
      <alignment horizontal="center" vertical="center"/>
      <protection locked="0"/>
    </xf>
    <xf numFmtId="0" fontId="20" fillId="4" borderId="77" xfId="0" applyFont="1" applyFill="1" applyBorder="1" applyAlignment="1" applyProtection="1">
      <alignment horizontal="center" vertical="center"/>
      <protection locked="0"/>
    </xf>
    <xf numFmtId="0" fontId="20" fillId="0" borderId="77" xfId="0" applyFont="1" applyBorder="1" applyAlignment="1" applyProtection="1">
      <alignment horizontal="center" vertical="center"/>
      <protection locked="0"/>
    </xf>
    <xf numFmtId="0" fontId="8" fillId="8" borderId="93" xfId="0" applyFont="1" applyFill="1" applyBorder="1" applyProtection="1">
      <protection locked="0"/>
    </xf>
    <xf numFmtId="0" fontId="8" fillId="8" borderId="233" xfId="0" applyFont="1" applyFill="1" applyBorder="1" applyProtection="1">
      <protection locked="0"/>
    </xf>
    <xf numFmtId="0" fontId="8" fillId="4" borderId="233" xfId="0" applyFont="1" applyFill="1" applyBorder="1" applyProtection="1">
      <protection locked="0"/>
    </xf>
    <xf numFmtId="0" fontId="8" fillId="4" borderId="91" xfId="0" applyFont="1" applyFill="1" applyBorder="1" applyProtection="1">
      <protection locked="0"/>
    </xf>
    <xf numFmtId="0" fontId="8" fillId="0" borderId="62" xfId="0" applyFont="1" applyBorder="1" applyAlignment="1" applyProtection="1">
      <alignment horizontal="center" vertical="center" wrapText="1"/>
      <protection locked="0"/>
    </xf>
    <xf numFmtId="0" fontId="8" fillId="3" borderId="120" xfId="0" applyFont="1" applyFill="1" applyBorder="1" applyProtection="1">
      <protection locked="0"/>
    </xf>
    <xf numFmtId="0" fontId="8" fillId="3" borderId="201" xfId="0" applyFont="1" applyFill="1" applyBorder="1" applyProtection="1">
      <protection locked="0"/>
    </xf>
    <xf numFmtId="0" fontId="8" fillId="3" borderId="34" xfId="0" applyFont="1" applyFill="1" applyBorder="1" applyProtection="1">
      <protection locked="0"/>
    </xf>
    <xf numFmtId="0" fontId="8" fillId="8" borderId="98" xfId="0" applyFont="1" applyFill="1" applyBorder="1" applyProtection="1">
      <protection locked="0"/>
    </xf>
    <xf numFmtId="0" fontId="8" fillId="8" borderId="229" xfId="0" applyFont="1" applyFill="1" applyBorder="1" applyProtection="1">
      <protection locked="0"/>
    </xf>
    <xf numFmtId="0" fontId="8" fillId="4" borderId="229" xfId="0" applyFont="1" applyFill="1" applyBorder="1" applyProtection="1">
      <protection locked="0"/>
    </xf>
    <xf numFmtId="0" fontId="8" fillId="4" borderId="139" xfId="0" applyFont="1" applyFill="1" applyBorder="1" applyProtection="1">
      <protection locked="0"/>
    </xf>
    <xf numFmtId="0" fontId="8" fillId="8" borderId="159" xfId="0" applyFont="1" applyFill="1" applyBorder="1" applyProtection="1">
      <protection locked="0"/>
    </xf>
    <xf numFmtId="0" fontId="8" fillId="8" borderId="239" xfId="0" applyFont="1" applyFill="1" applyBorder="1" applyProtection="1">
      <protection locked="0"/>
    </xf>
    <xf numFmtId="0" fontId="8" fillId="4" borderId="239" xfId="0" applyFont="1" applyFill="1" applyBorder="1" applyProtection="1">
      <protection locked="0"/>
    </xf>
    <xf numFmtId="0" fontId="8" fillId="4" borderId="142" xfId="0" applyFont="1" applyFill="1" applyBorder="1" applyProtection="1">
      <protection locked="0"/>
    </xf>
    <xf numFmtId="0" fontId="8" fillId="8" borderId="127" xfId="0" applyFont="1" applyFill="1" applyBorder="1" applyProtection="1">
      <protection locked="0"/>
    </xf>
    <xf numFmtId="0" fontId="8" fillId="8" borderId="240" xfId="0" applyFont="1" applyFill="1" applyBorder="1" applyProtection="1">
      <protection locked="0"/>
    </xf>
    <xf numFmtId="0" fontId="8" fillId="4" borderId="240" xfId="0" applyFont="1" applyFill="1" applyBorder="1" applyProtection="1">
      <protection locked="0"/>
    </xf>
    <xf numFmtId="0" fontId="8" fillId="4" borderId="132" xfId="0" applyFont="1" applyFill="1" applyBorder="1" applyProtection="1">
      <protection locked="0"/>
    </xf>
    <xf numFmtId="0" fontId="8" fillId="8" borderId="122" xfId="0" applyFont="1" applyFill="1" applyBorder="1" applyAlignment="1" applyProtection="1">
      <alignment horizontal="center"/>
      <protection locked="0"/>
    </xf>
    <xf numFmtId="0" fontId="8" fillId="8" borderId="123" xfId="0" applyFont="1" applyFill="1" applyBorder="1" applyAlignment="1" applyProtection="1">
      <alignment horizontal="center"/>
      <protection locked="0"/>
    </xf>
    <xf numFmtId="0" fontId="8" fillId="4" borderId="124" xfId="0" applyFont="1" applyFill="1" applyBorder="1" applyAlignment="1" applyProtection="1">
      <alignment horizontal="center"/>
      <protection locked="0"/>
    </xf>
    <xf numFmtId="0" fontId="8" fillId="4" borderId="125" xfId="0" applyFont="1" applyFill="1" applyBorder="1" applyAlignment="1" applyProtection="1">
      <alignment horizontal="center"/>
      <protection locked="0"/>
    </xf>
    <xf numFmtId="0" fontId="8" fillId="8" borderId="93" xfId="0" applyFont="1" applyFill="1" applyBorder="1" applyAlignment="1" applyProtection="1">
      <alignment horizontal="center"/>
      <protection locked="0"/>
    </xf>
    <xf numFmtId="0" fontId="8" fillId="8" borderId="95" xfId="0" applyFont="1" applyFill="1" applyBorder="1" applyAlignment="1" applyProtection="1">
      <alignment horizontal="center"/>
      <protection locked="0"/>
    </xf>
    <xf numFmtId="0" fontId="8" fillId="4" borderId="96" xfId="0" applyFont="1" applyFill="1" applyBorder="1" applyAlignment="1" applyProtection="1">
      <alignment horizontal="center"/>
      <protection locked="0"/>
    </xf>
    <xf numFmtId="0" fontId="8" fillId="4" borderId="94" xfId="0" applyFont="1" applyFill="1" applyBorder="1" applyAlignment="1" applyProtection="1">
      <alignment horizontal="center"/>
      <protection locked="0"/>
    </xf>
    <xf numFmtId="0" fontId="20" fillId="4" borderId="55" xfId="0" applyFont="1" applyFill="1" applyBorder="1" applyAlignment="1" applyProtection="1">
      <alignment horizontal="left" vertical="center" wrapText="1"/>
      <protection locked="0"/>
    </xf>
    <xf numFmtId="0" fontId="20" fillId="4" borderId="241" xfId="0" applyFont="1" applyFill="1" applyBorder="1" applyAlignment="1" applyProtection="1">
      <alignment horizontal="left" vertical="center" wrapText="1"/>
      <protection locked="0"/>
    </xf>
    <xf numFmtId="0" fontId="20" fillId="0" borderId="92" xfId="0" applyFont="1" applyBorder="1" applyAlignment="1" applyProtection="1">
      <alignment horizontal="left" vertical="center" wrapText="1"/>
      <protection locked="0"/>
    </xf>
    <xf numFmtId="0" fontId="20" fillId="0" borderId="106" xfId="0" applyFont="1" applyBorder="1" applyAlignment="1" applyProtection="1">
      <alignment horizontal="left" vertical="center" wrapText="1"/>
      <protection locked="0"/>
    </xf>
    <xf numFmtId="49" fontId="8" fillId="0" borderId="169" xfId="0" applyNumberFormat="1" applyFont="1" applyBorder="1" applyAlignment="1" applyProtection="1">
      <alignment horizontal="center" vertical="center" wrapText="1"/>
      <protection locked="0"/>
    </xf>
    <xf numFmtId="0" fontId="7" fillId="0" borderId="0" xfId="0" applyFont="1" applyProtection="1">
      <protection locked="0"/>
    </xf>
    <xf numFmtId="0" fontId="37" fillId="0" borderId="62" xfId="0" applyFont="1" applyBorder="1" applyAlignment="1" applyProtection="1">
      <alignment horizontal="center" vertical="center" wrapText="1"/>
      <protection locked="0"/>
    </xf>
    <xf numFmtId="0" fontId="7" fillId="0" borderId="0" xfId="0" applyFont="1" applyAlignment="1" applyProtection="1">
      <alignment vertical="center"/>
      <protection locked="0"/>
    </xf>
    <xf numFmtId="0" fontId="8" fillId="0" borderId="0" xfId="0" applyFont="1" applyAlignment="1" applyProtection="1">
      <alignment vertical="center"/>
      <protection locked="0"/>
    </xf>
    <xf numFmtId="1" fontId="17" fillId="7" borderId="223" xfId="0" applyNumberFormat="1" applyFont="1" applyFill="1" applyBorder="1" applyAlignment="1">
      <alignment horizontal="center" vertical="center"/>
    </xf>
    <xf numFmtId="1" fontId="17" fillId="0" borderId="223" xfId="0" applyNumberFormat="1" applyFont="1" applyBorder="1" applyAlignment="1">
      <alignment horizontal="center" vertical="center"/>
    </xf>
    <xf numFmtId="0" fontId="8" fillId="8" borderId="260" xfId="0" applyFont="1" applyFill="1" applyBorder="1" applyAlignment="1" applyProtection="1">
      <alignment horizontal="center" vertical="center"/>
      <protection locked="0"/>
    </xf>
    <xf numFmtId="0" fontId="8" fillId="8" borderId="261" xfId="0" applyFont="1" applyFill="1" applyBorder="1" applyAlignment="1" applyProtection="1">
      <alignment horizontal="center" vertical="center"/>
      <protection locked="0"/>
    </xf>
    <xf numFmtId="0" fontId="8" fillId="4" borderId="262" xfId="0" applyFont="1" applyFill="1" applyBorder="1" applyAlignment="1" applyProtection="1">
      <alignment horizontal="center" vertical="center"/>
      <protection locked="0"/>
    </xf>
    <xf numFmtId="0" fontId="8" fillId="4" borderId="263" xfId="0" applyFont="1" applyFill="1" applyBorder="1" applyAlignment="1" applyProtection="1">
      <alignment horizontal="center" vertical="center"/>
      <protection locked="0"/>
    </xf>
    <xf numFmtId="0" fontId="8" fillId="11" borderId="167" xfId="0" applyFont="1" applyFill="1" applyBorder="1" applyAlignment="1">
      <alignment horizontal="left" vertical="center"/>
    </xf>
    <xf numFmtId="0" fontId="42" fillId="11" borderId="233" xfId="0" applyFont="1" applyFill="1" applyBorder="1" applyAlignment="1">
      <alignment horizontal="left" vertical="center"/>
    </xf>
    <xf numFmtId="49" fontId="8" fillId="11" borderId="167" xfId="0" applyNumberFormat="1" applyFont="1" applyFill="1" applyBorder="1" applyAlignment="1" applyProtection="1">
      <alignment horizontal="center" vertical="center" wrapText="1"/>
      <protection locked="0"/>
    </xf>
    <xf numFmtId="164" fontId="8" fillId="11" borderId="106" xfId="0" applyNumberFormat="1" applyFont="1" applyFill="1" applyBorder="1" applyAlignment="1">
      <alignment horizontal="center" vertical="center"/>
    </xf>
    <xf numFmtId="0" fontId="8" fillId="11" borderId="92" xfId="0" applyFont="1" applyFill="1" applyBorder="1" applyAlignment="1">
      <alignment horizontal="left" vertical="center" wrapText="1"/>
    </xf>
    <xf numFmtId="0" fontId="8" fillId="11" borderId="0" xfId="0" applyFont="1" applyFill="1" applyAlignment="1">
      <alignment vertical="center"/>
    </xf>
    <xf numFmtId="0" fontId="18" fillId="11" borderId="0" xfId="0" applyFont="1" applyFill="1" applyAlignment="1">
      <alignment vertical="center"/>
    </xf>
    <xf numFmtId="0" fontId="8" fillId="11" borderId="0" xfId="0" applyFont="1" applyFill="1"/>
    <xf numFmtId="0" fontId="7" fillId="11" borderId="0" xfId="0" applyFont="1" applyFill="1"/>
    <xf numFmtId="0" fontId="16" fillId="9" borderId="83" xfId="0" applyFont="1" applyFill="1" applyBorder="1"/>
    <xf numFmtId="0" fontId="16" fillId="9" borderId="83" xfId="0" applyFont="1" applyFill="1" applyBorder="1" applyProtection="1">
      <protection locked="0"/>
    </xf>
    <xf numFmtId="0" fontId="16" fillId="10" borderId="83" xfId="0" applyFont="1" applyFill="1" applyBorder="1" applyProtection="1">
      <protection locked="0"/>
    </xf>
    <xf numFmtId="0" fontId="16" fillId="9" borderId="84" xfId="0" applyFont="1" applyFill="1" applyBorder="1" applyProtection="1">
      <protection locked="0"/>
    </xf>
    <xf numFmtId="0" fontId="16" fillId="10" borderId="84" xfId="0" applyFont="1" applyFill="1" applyBorder="1" applyProtection="1">
      <protection locked="0"/>
    </xf>
    <xf numFmtId="0" fontId="16" fillId="9" borderId="84" xfId="0" applyFont="1" applyFill="1" applyBorder="1" applyAlignment="1">
      <alignment horizontal="left" vertical="top"/>
    </xf>
    <xf numFmtId="0" fontId="16" fillId="9" borderId="84" xfId="0" applyFont="1" applyFill="1" applyBorder="1" applyAlignment="1" applyProtection="1">
      <alignment vertical="top"/>
      <protection locked="0"/>
    </xf>
    <xf numFmtId="0" fontId="16" fillId="9" borderId="84" xfId="0" applyFont="1" applyFill="1" applyBorder="1" applyAlignment="1" applyProtection="1">
      <alignment horizontal="left" vertical="top"/>
      <protection locked="0"/>
    </xf>
    <xf numFmtId="0" fontId="16" fillId="9" borderId="84" xfId="0" applyFont="1" applyFill="1" applyBorder="1" applyAlignment="1" applyProtection="1">
      <alignment vertical="center"/>
      <protection locked="0"/>
    </xf>
    <xf numFmtId="0" fontId="16" fillId="9" borderId="84" xfId="0" applyFont="1" applyFill="1" applyBorder="1" applyAlignment="1">
      <alignment horizontal="left" vertical="center"/>
    </xf>
    <xf numFmtId="0" fontId="16" fillId="9" borderId="84" xfId="0" applyFont="1" applyFill="1" applyBorder="1" applyAlignment="1" applyProtection="1">
      <alignment horizontal="left" vertical="center"/>
      <protection locked="0"/>
    </xf>
    <xf numFmtId="0" fontId="4" fillId="9" borderId="84" xfId="0" applyFont="1" applyFill="1" applyBorder="1" applyAlignment="1">
      <alignment horizontal="left" vertical="center"/>
    </xf>
    <xf numFmtId="0" fontId="4" fillId="9" borderId="84" xfId="0" applyFont="1" applyFill="1" applyBorder="1" applyAlignment="1">
      <alignment horizontal="center" vertical="top"/>
    </xf>
    <xf numFmtId="0" fontId="4" fillId="9" borderId="84" xfId="0" applyFont="1" applyFill="1" applyBorder="1" applyAlignment="1">
      <alignment vertical="top"/>
    </xf>
    <xf numFmtId="0" fontId="4" fillId="9" borderId="84" xfId="0" applyFont="1" applyFill="1" applyBorder="1" applyAlignment="1">
      <alignment horizontal="center"/>
    </xf>
    <xf numFmtId="0" fontId="40" fillId="9" borderId="84" xfId="0" applyFont="1" applyFill="1" applyBorder="1"/>
    <xf numFmtId="0" fontId="16" fillId="9" borderId="84" xfId="0" applyFont="1" applyFill="1" applyBorder="1" applyAlignment="1">
      <alignment horizontal="left" vertical="center" wrapText="1"/>
    </xf>
    <xf numFmtId="0" fontId="4" fillId="10" borderId="117" xfId="0" applyFont="1" applyFill="1" applyBorder="1" applyAlignment="1" applyProtection="1">
      <alignment horizontal="left" vertical="center" wrapText="1"/>
      <protection locked="0"/>
    </xf>
    <xf numFmtId="0" fontId="4" fillId="9" borderId="135" xfId="0" applyFont="1" applyFill="1" applyBorder="1" applyAlignment="1">
      <alignment horizontal="center"/>
    </xf>
    <xf numFmtId="0" fontId="4" fillId="9" borderId="135" xfId="0" applyFont="1" applyFill="1" applyBorder="1"/>
    <xf numFmtId="0" fontId="4" fillId="9" borderId="84" xfId="0" applyFont="1" applyFill="1" applyBorder="1" applyAlignment="1">
      <alignment horizontal="center" vertical="center"/>
    </xf>
    <xf numFmtId="0" fontId="16" fillId="10" borderId="84" xfId="0" applyFont="1" applyFill="1" applyBorder="1" applyAlignment="1">
      <alignment horizontal="left" vertical="center" wrapText="1"/>
    </xf>
    <xf numFmtId="0" fontId="16" fillId="0" borderId="0" xfId="0" applyFont="1" applyAlignment="1">
      <alignment horizontal="left" vertical="center" wrapText="1"/>
    </xf>
    <xf numFmtId="0" fontId="38" fillId="9" borderId="84" xfId="0" applyFont="1" applyFill="1" applyBorder="1" applyAlignment="1">
      <alignment horizontal="left" vertical="center" wrapText="1"/>
    </xf>
    <xf numFmtId="0" fontId="38" fillId="9" borderId="84" xfId="0" applyFont="1" applyFill="1" applyBorder="1" applyAlignment="1">
      <alignment horizontal="center" vertical="center" wrapText="1"/>
    </xf>
    <xf numFmtId="0" fontId="4" fillId="9" borderId="117" xfId="0" applyFont="1" applyFill="1" applyBorder="1" applyAlignment="1" applyProtection="1">
      <alignment horizontal="left" vertical="center" wrapText="1"/>
      <protection locked="0"/>
    </xf>
    <xf numFmtId="0" fontId="16" fillId="12" borderId="214" xfId="0" applyFont="1" applyFill="1" applyBorder="1" applyAlignment="1">
      <alignment horizontal="center" vertical="top"/>
    </xf>
    <xf numFmtId="0" fontId="20" fillId="12" borderId="215" xfId="0" applyFont="1" applyFill="1" applyBorder="1" applyAlignment="1">
      <alignment horizontal="left" vertical="center" wrapText="1"/>
    </xf>
    <xf numFmtId="0" fontId="24" fillId="0" borderId="0" xfId="1" applyFont="1" applyAlignment="1"/>
    <xf numFmtId="0" fontId="24" fillId="0" borderId="0" xfId="1" applyFont="1" applyAlignment="1">
      <alignment vertical="center"/>
    </xf>
    <xf numFmtId="0" fontId="38" fillId="9" borderId="264" xfId="0" applyFont="1" applyFill="1" applyBorder="1" applyAlignment="1">
      <alignment horizontal="center" vertical="center"/>
    </xf>
    <xf numFmtId="0" fontId="38" fillId="9" borderId="264" xfId="0" applyFont="1" applyFill="1" applyBorder="1" applyAlignment="1">
      <alignment vertical="center"/>
    </xf>
    <xf numFmtId="0" fontId="8" fillId="0" borderId="182" xfId="0" applyFont="1" applyBorder="1" applyAlignment="1">
      <alignment horizontal="center" vertical="top"/>
    </xf>
    <xf numFmtId="0" fontId="8" fillId="0" borderId="201" xfId="0" applyFont="1" applyBorder="1" applyAlignment="1">
      <alignment horizontal="left" vertical="center"/>
    </xf>
    <xf numFmtId="0" fontId="61" fillId="0" borderId="0" xfId="0" applyFont="1"/>
    <xf numFmtId="49" fontId="8" fillId="0" borderId="106" xfId="0" applyNumberFormat="1" applyFont="1" applyBorder="1" applyAlignment="1" applyProtection="1">
      <alignment horizontal="center" vertical="center" wrapText="1"/>
      <protection locked="0"/>
    </xf>
    <xf numFmtId="0" fontId="8" fillId="0" borderId="5" xfId="0" applyFont="1" applyBorder="1" applyAlignment="1">
      <alignment horizontal="left" vertical="center" wrapText="1"/>
    </xf>
    <xf numFmtId="0" fontId="20" fillId="0" borderId="197" xfId="0" applyFont="1" applyBorder="1" applyAlignment="1">
      <alignment horizontal="right" vertical="center" wrapText="1"/>
    </xf>
    <xf numFmtId="0" fontId="28" fillId="0" borderId="267" xfId="0" applyFont="1" applyBorder="1" applyAlignment="1">
      <alignment vertical="center" wrapText="1"/>
    </xf>
    <xf numFmtId="1" fontId="8" fillId="8" borderId="197" xfId="0" applyNumberFormat="1" applyFont="1" applyFill="1" applyBorder="1" applyAlignment="1" applyProtection="1">
      <alignment vertical="center"/>
      <protection locked="0"/>
    </xf>
    <xf numFmtId="0" fontId="8" fillId="8" borderId="223" xfId="0" applyFont="1" applyFill="1" applyBorder="1" applyAlignment="1" applyProtection="1">
      <alignment vertical="center"/>
      <protection locked="0"/>
    </xf>
    <xf numFmtId="0" fontId="8" fillId="4" borderId="223" xfId="0" applyFont="1" applyFill="1" applyBorder="1" applyAlignment="1" applyProtection="1">
      <alignment vertical="center"/>
      <protection locked="0"/>
    </xf>
    <xf numFmtId="0" fontId="8" fillId="4" borderId="203" xfId="0" applyFont="1" applyFill="1" applyBorder="1" applyAlignment="1" applyProtection="1">
      <alignment vertical="center"/>
      <protection locked="0"/>
    </xf>
    <xf numFmtId="0" fontId="20" fillId="0" borderId="241" xfId="0" applyFont="1" applyBorder="1" applyAlignment="1">
      <alignment horizontal="left" vertical="center"/>
    </xf>
    <xf numFmtId="0" fontId="8" fillId="8" borderId="268" xfId="0" applyFont="1" applyFill="1" applyBorder="1" applyAlignment="1" applyProtection="1">
      <alignment horizontal="center" vertical="center"/>
      <protection locked="0"/>
    </xf>
    <xf numFmtId="0" fontId="8" fillId="8" borderId="269" xfId="0" applyFont="1" applyFill="1" applyBorder="1" applyAlignment="1" applyProtection="1">
      <alignment horizontal="center" vertical="center"/>
      <protection locked="0"/>
    </xf>
    <xf numFmtId="0" fontId="8" fillId="4" borderId="270" xfId="0" applyFont="1" applyFill="1" applyBorder="1" applyAlignment="1" applyProtection="1">
      <alignment horizontal="center" vertical="center"/>
      <protection locked="0"/>
    </xf>
    <xf numFmtId="0" fontId="8" fillId="4" borderId="271" xfId="0" applyFont="1" applyFill="1" applyBorder="1" applyAlignment="1" applyProtection="1">
      <alignment horizontal="center" vertical="center"/>
      <protection locked="0"/>
    </xf>
    <xf numFmtId="0" fontId="8" fillId="0" borderId="273" xfId="0" applyFont="1" applyBorder="1" applyAlignment="1" applyProtection="1">
      <alignment horizontal="center" vertical="center" wrapText="1"/>
      <protection locked="0"/>
    </xf>
    <xf numFmtId="1" fontId="8" fillId="8" borderId="275" xfId="0" applyNumberFormat="1" applyFont="1" applyFill="1" applyBorder="1" applyAlignment="1" applyProtection="1">
      <alignment vertical="center"/>
      <protection locked="0"/>
    </xf>
    <xf numFmtId="0" fontId="8" fillId="8" borderId="276" xfId="0" applyFont="1" applyFill="1" applyBorder="1" applyAlignment="1" applyProtection="1">
      <alignment vertical="center"/>
      <protection locked="0"/>
    </xf>
    <xf numFmtId="0" fontId="8" fillId="4" borderId="276" xfId="0" applyFont="1" applyFill="1" applyBorder="1" applyAlignment="1" applyProtection="1">
      <alignment vertical="center"/>
      <protection locked="0"/>
    </xf>
    <xf numFmtId="0" fontId="8" fillId="4" borderId="277" xfId="0" applyFont="1" applyFill="1" applyBorder="1" applyAlignment="1" applyProtection="1">
      <alignment vertical="center"/>
      <protection locked="0"/>
    </xf>
    <xf numFmtId="0" fontId="20" fillId="0" borderId="278" xfId="0" applyFont="1" applyBorder="1" applyAlignment="1">
      <alignment horizontal="left" vertical="center"/>
    </xf>
    <xf numFmtId="0" fontId="16" fillId="0" borderId="62" xfId="0" applyFont="1" applyBorder="1" applyAlignment="1">
      <alignment horizontal="center" vertical="center" wrapText="1"/>
    </xf>
    <xf numFmtId="49" fontId="8" fillId="0" borderId="278" xfId="0" applyNumberFormat="1" applyFont="1" applyBorder="1" applyAlignment="1" applyProtection="1">
      <alignment horizontal="center" vertical="center" wrapText="1"/>
      <protection locked="0"/>
    </xf>
    <xf numFmtId="164" fontId="16" fillId="0" borderId="77" xfId="0" applyNumberFormat="1" applyFont="1" applyBorder="1" applyAlignment="1">
      <alignment vertical="center"/>
    </xf>
    <xf numFmtId="0" fontId="20" fillId="0" borderId="279" xfId="0" applyFont="1" applyBorder="1" applyAlignment="1" applyProtection="1">
      <alignment horizontal="center" vertical="center"/>
      <protection locked="0"/>
    </xf>
    <xf numFmtId="0" fontId="28" fillId="0" borderId="280" xfId="0" applyFont="1" applyBorder="1" applyAlignment="1" applyProtection="1">
      <alignment horizontal="center" vertical="center"/>
      <protection locked="0"/>
    </xf>
    <xf numFmtId="0" fontId="20" fillId="0" borderId="61" xfId="0" applyFont="1" applyBorder="1" applyAlignment="1" applyProtection="1">
      <alignment horizontal="center" vertical="center"/>
      <protection locked="0"/>
    </xf>
    <xf numFmtId="0" fontId="20" fillId="11" borderId="77" xfId="0" applyFont="1" applyFill="1" applyBorder="1" applyAlignment="1" applyProtection="1">
      <alignment horizontal="center" vertical="center"/>
      <protection locked="0"/>
    </xf>
    <xf numFmtId="0" fontId="20" fillId="0" borderId="208" xfId="0" applyFont="1" applyBorder="1" applyAlignment="1" applyProtection="1">
      <alignment horizontal="center" vertical="center"/>
      <protection locked="0"/>
    </xf>
    <xf numFmtId="0" fontId="20" fillId="0" borderId="88" xfId="0" applyFont="1" applyBorder="1" applyAlignment="1" applyProtection="1">
      <alignment horizontal="left" vertical="center"/>
      <protection locked="0"/>
    </xf>
    <xf numFmtId="0" fontId="20" fillId="0" borderId="11" xfId="0" applyFont="1" applyBorder="1" applyAlignment="1" applyProtection="1">
      <alignment horizontal="left" vertical="center"/>
      <protection locked="0"/>
    </xf>
    <xf numFmtId="0" fontId="28" fillId="0" borderId="11" xfId="0" applyFont="1" applyBorder="1" applyAlignment="1" applyProtection="1">
      <alignment horizontal="left" vertical="center"/>
      <protection locked="0"/>
    </xf>
    <xf numFmtId="0" fontId="24" fillId="0" borderId="11" xfId="0" applyFont="1" applyBorder="1" applyAlignment="1" applyProtection="1">
      <alignment horizontal="left" vertical="center"/>
      <protection locked="0"/>
    </xf>
    <xf numFmtId="0" fontId="28" fillId="0" borderId="11"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20" fillId="0" borderId="10" xfId="0" applyFont="1" applyBorder="1" applyAlignment="1" applyProtection="1">
      <alignment horizontal="left" vertical="center"/>
      <protection locked="0"/>
    </xf>
    <xf numFmtId="0" fontId="8" fillId="0" borderId="11" xfId="0" applyFont="1" applyBorder="1" applyAlignment="1" applyProtection="1">
      <alignment horizontal="left" vertical="center" wrapText="1"/>
      <protection locked="0"/>
    </xf>
    <xf numFmtId="0" fontId="7" fillId="2" borderId="86" xfId="0" applyFont="1" applyFill="1" applyBorder="1" applyAlignment="1" applyProtection="1">
      <alignment horizontal="left" vertical="center"/>
      <protection locked="0"/>
    </xf>
    <xf numFmtId="0" fontId="7" fillId="2" borderId="1" xfId="0" applyFont="1" applyFill="1" applyBorder="1" applyAlignment="1" applyProtection="1">
      <alignment horizontal="left" vertical="center"/>
      <protection locked="0"/>
    </xf>
    <xf numFmtId="0" fontId="7" fillId="2" borderId="24"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20" fillId="0" borderId="0" xfId="0" applyFont="1" applyAlignment="1">
      <alignment vertical="center"/>
    </xf>
    <xf numFmtId="0" fontId="10" fillId="0" borderId="0" xfId="0" applyFont="1"/>
    <xf numFmtId="0" fontId="64" fillId="3" borderId="160" xfId="0" applyFont="1" applyFill="1" applyBorder="1" applyAlignment="1" applyProtection="1">
      <alignment horizontal="center" vertical="center"/>
      <protection locked="0"/>
    </xf>
    <xf numFmtId="0" fontId="64" fillId="3" borderId="161" xfId="0" applyFont="1" applyFill="1" applyBorder="1" applyAlignment="1" applyProtection="1">
      <alignment horizontal="center" vertical="center"/>
      <protection locked="0"/>
    </xf>
    <xf numFmtId="0" fontId="64" fillId="3" borderId="162" xfId="0" applyFont="1" applyFill="1" applyBorder="1" applyAlignment="1" applyProtection="1">
      <alignment horizontal="center" vertical="center"/>
      <protection locked="0"/>
    </xf>
    <xf numFmtId="0" fontId="64" fillId="0" borderId="9" xfId="0" applyFont="1" applyBorder="1" applyAlignment="1">
      <alignment horizontal="center" vertical="center" wrapText="1"/>
    </xf>
    <xf numFmtId="164" fontId="64" fillId="0" borderId="34" xfId="0" applyNumberFormat="1" applyFont="1" applyBorder="1" applyAlignment="1">
      <alignment horizontal="center" vertical="center"/>
    </xf>
    <xf numFmtId="0" fontId="64" fillId="0" borderId="0" xfId="0" applyFont="1" applyAlignment="1">
      <alignment vertical="center"/>
    </xf>
    <xf numFmtId="0" fontId="64" fillId="0" borderId="0" xfId="0" applyFont="1"/>
    <xf numFmtId="0" fontId="65" fillId="0" borderId="0" xfId="0" applyFont="1"/>
    <xf numFmtId="0" fontId="24" fillId="0" borderId="0" xfId="0" applyFont="1" applyAlignment="1">
      <alignment vertical="center"/>
    </xf>
    <xf numFmtId="0" fontId="20" fillId="0" borderId="280" xfId="0" applyFont="1" applyBorder="1" applyAlignment="1" applyProtection="1">
      <alignment horizontal="center" vertical="center"/>
      <protection locked="0"/>
    </xf>
    <xf numFmtId="0" fontId="20" fillId="0" borderId="267" xfId="0" applyFont="1" applyBorder="1" applyAlignment="1">
      <alignment vertical="center" wrapText="1"/>
    </xf>
    <xf numFmtId="0" fontId="8" fillId="16" borderId="41" xfId="0" applyFont="1" applyFill="1" applyBorder="1" applyAlignment="1">
      <alignment horizontal="center" vertical="center"/>
    </xf>
    <xf numFmtId="0" fontId="16" fillId="16" borderId="54" xfId="0" applyFont="1" applyFill="1" applyBorder="1" applyAlignment="1">
      <alignment horizontal="center" vertical="center"/>
    </xf>
    <xf numFmtId="0" fontId="8" fillId="17" borderId="71" xfId="0" applyFont="1" applyFill="1" applyBorder="1" applyAlignment="1">
      <alignment horizontal="left" vertical="center"/>
    </xf>
    <xf numFmtId="0" fontId="8" fillId="17" borderId="66" xfId="0" applyFont="1" applyFill="1" applyBorder="1" applyAlignment="1">
      <alignment horizontal="left" vertical="center" wrapText="1"/>
    </xf>
    <xf numFmtId="0" fontId="8" fillId="17" borderId="34" xfId="0" applyFont="1" applyFill="1" applyBorder="1" applyAlignment="1">
      <alignment horizontal="left" vertical="center"/>
    </xf>
    <xf numFmtId="0" fontId="8" fillId="17" borderId="256" xfId="0" applyFont="1" applyFill="1" applyBorder="1" applyAlignment="1">
      <alignment horizontal="left" vertical="center"/>
    </xf>
    <xf numFmtId="0" fontId="8" fillId="17" borderId="252" xfId="0" applyFont="1" applyFill="1" applyBorder="1" applyAlignment="1">
      <alignment horizontal="left" vertical="center" wrapText="1"/>
    </xf>
    <xf numFmtId="0" fontId="7" fillId="16" borderId="76" xfId="0" applyFont="1" applyFill="1" applyBorder="1" applyAlignment="1">
      <alignment horizontal="center" vertical="center"/>
    </xf>
    <xf numFmtId="0" fontId="36" fillId="16" borderId="41" xfId="0" applyFont="1" applyFill="1" applyBorder="1" applyAlignment="1">
      <alignment horizontal="center" vertical="center"/>
    </xf>
    <xf numFmtId="0" fontId="7" fillId="16" borderId="246" xfId="0" applyFont="1" applyFill="1" applyBorder="1" applyAlignment="1">
      <alignment horizontal="center" vertical="center"/>
    </xf>
    <xf numFmtId="0" fontId="36" fillId="16" borderId="52" xfId="0" applyFont="1" applyFill="1" applyBorder="1" applyAlignment="1">
      <alignment horizontal="center" vertical="center"/>
    </xf>
    <xf numFmtId="0" fontId="16" fillId="9" borderId="184" xfId="0" applyFont="1" applyFill="1" applyBorder="1" applyAlignment="1">
      <alignment horizontal="center"/>
    </xf>
    <xf numFmtId="0" fontId="8" fillId="18" borderId="195" xfId="0" applyFont="1" applyFill="1" applyBorder="1" applyAlignment="1">
      <alignment horizontal="center" vertical="center" wrapText="1"/>
    </xf>
    <xf numFmtId="164" fontId="8" fillId="18" borderId="195" xfId="0" applyNumberFormat="1" applyFont="1" applyFill="1" applyBorder="1" applyAlignment="1">
      <alignment horizontal="center" vertical="center"/>
    </xf>
    <xf numFmtId="0" fontId="8" fillId="18" borderId="195" xfId="0" applyFont="1" applyFill="1" applyBorder="1" applyAlignment="1">
      <alignment horizontal="left" vertical="center" wrapText="1"/>
    </xf>
    <xf numFmtId="0" fontId="20" fillId="18" borderId="196" xfId="0" applyFont="1" applyFill="1" applyBorder="1" applyAlignment="1">
      <alignment horizontal="left" vertical="center" wrapText="1"/>
    </xf>
    <xf numFmtId="0" fontId="8" fillId="18" borderId="121" xfId="0" applyFont="1" applyFill="1" applyBorder="1" applyAlignment="1">
      <alignment horizontal="center" vertical="center" wrapText="1"/>
    </xf>
    <xf numFmtId="164" fontId="8" fillId="18" borderId="121" xfId="0" applyNumberFormat="1" applyFont="1" applyFill="1" applyBorder="1" applyAlignment="1">
      <alignment horizontal="center" vertical="center"/>
    </xf>
    <xf numFmtId="0" fontId="8" fillId="18" borderId="121" xfId="0" applyFont="1" applyFill="1" applyBorder="1" applyAlignment="1">
      <alignment horizontal="left" vertical="center" wrapText="1"/>
    </xf>
    <xf numFmtId="0" fontId="20" fillId="18" borderId="71" xfId="0" applyFont="1" applyFill="1" applyBorder="1" applyAlignment="1" applyProtection="1">
      <alignment horizontal="left" vertical="center" wrapText="1"/>
      <protection locked="0"/>
    </xf>
    <xf numFmtId="0" fontId="8" fillId="18" borderId="66" xfId="0" applyFont="1" applyFill="1" applyBorder="1" applyAlignment="1">
      <alignment horizontal="center" vertical="center" wrapText="1"/>
    </xf>
    <xf numFmtId="164" fontId="8" fillId="18" borderId="71" xfId="0" applyNumberFormat="1" applyFont="1" applyFill="1" applyBorder="1" applyAlignment="1">
      <alignment horizontal="center" vertical="center"/>
    </xf>
    <xf numFmtId="0" fontId="8" fillId="18" borderId="66" xfId="0" applyFont="1" applyFill="1" applyBorder="1" applyAlignment="1">
      <alignment horizontal="left" vertical="center" wrapText="1"/>
    </xf>
    <xf numFmtId="0" fontId="20" fillId="18" borderId="66" xfId="0" applyFont="1" applyFill="1" applyBorder="1" applyAlignment="1" applyProtection="1">
      <alignment horizontal="left" vertical="center" wrapText="1"/>
      <protection locked="0"/>
    </xf>
    <xf numFmtId="0" fontId="8" fillId="18" borderId="219" xfId="0" applyFont="1" applyFill="1" applyBorder="1" applyAlignment="1">
      <alignment horizontal="center" vertical="center" wrapText="1"/>
    </xf>
    <xf numFmtId="164" fontId="8" fillId="18" borderId="219" xfId="0" applyNumberFormat="1" applyFont="1" applyFill="1" applyBorder="1" applyAlignment="1">
      <alignment horizontal="center" vertical="center"/>
    </xf>
    <xf numFmtId="0" fontId="8" fillId="18" borderId="219" xfId="0" applyFont="1" applyFill="1" applyBorder="1" applyAlignment="1">
      <alignment horizontal="left" vertical="center" wrapText="1"/>
    </xf>
    <xf numFmtId="0" fontId="20" fillId="18" borderId="220" xfId="0" applyFont="1" applyFill="1" applyBorder="1" applyAlignment="1" applyProtection="1">
      <alignment horizontal="left" vertical="center" wrapText="1"/>
      <protection locked="0"/>
    </xf>
    <xf numFmtId="0" fontId="4" fillId="16" borderId="54" xfId="0" applyFont="1" applyFill="1" applyBorder="1" applyAlignment="1">
      <alignment horizontal="left" vertical="center" wrapText="1"/>
    </xf>
    <xf numFmtId="0" fontId="8" fillId="3" borderId="222" xfId="0" applyFont="1" applyFill="1" applyBorder="1" applyAlignment="1">
      <alignment horizontal="center" vertical="center"/>
    </xf>
    <xf numFmtId="0" fontId="8" fillId="3" borderId="195" xfId="0" applyFont="1" applyFill="1" applyBorder="1" applyAlignment="1">
      <alignment horizontal="center" vertical="center"/>
    </xf>
    <xf numFmtId="0" fontId="8" fillId="3" borderId="196" xfId="0" applyFont="1" applyFill="1" applyBorder="1" applyAlignment="1">
      <alignment horizontal="center" vertical="center"/>
    </xf>
    <xf numFmtId="0" fontId="12" fillId="0" borderId="298" xfId="0" applyFont="1" applyBorder="1" applyAlignment="1" applyProtection="1">
      <alignment horizontal="center" wrapText="1"/>
      <protection locked="0"/>
    </xf>
    <xf numFmtId="0" fontId="13" fillId="0" borderId="299" xfId="0" applyFont="1" applyBorder="1" applyAlignment="1" applyProtection="1">
      <alignment horizontal="center" wrapText="1"/>
      <protection locked="0"/>
    </xf>
    <xf numFmtId="0" fontId="4" fillId="0" borderId="301" xfId="0" applyFont="1" applyBorder="1" applyAlignment="1" applyProtection="1">
      <alignment horizontal="left" vertical="center" wrapText="1"/>
      <protection locked="0"/>
    </xf>
    <xf numFmtId="1" fontId="20" fillId="0" borderId="303" xfId="0" applyNumberFormat="1" applyFont="1" applyBorder="1" applyAlignment="1" applyProtection="1">
      <alignment horizontal="left" vertical="center" wrapText="1"/>
      <protection locked="0"/>
    </xf>
    <xf numFmtId="0" fontId="8" fillId="0" borderId="283" xfId="0" applyFont="1" applyBorder="1" applyAlignment="1">
      <alignment horizontal="left" vertical="center"/>
    </xf>
    <xf numFmtId="0" fontId="8" fillId="0" borderId="285" xfId="0" applyFont="1" applyBorder="1" applyAlignment="1">
      <alignment horizontal="left" vertical="center"/>
    </xf>
    <xf numFmtId="49" fontId="8" fillId="0" borderId="315" xfId="0" quotePrefix="1" applyNumberFormat="1" applyFont="1" applyBorder="1" applyAlignment="1">
      <alignment horizontal="center" vertical="center"/>
    </xf>
    <xf numFmtId="0" fontId="8" fillId="0" borderId="316" xfId="0" applyFont="1" applyBorder="1" applyAlignment="1">
      <alignment horizontal="left" vertical="center"/>
    </xf>
    <xf numFmtId="0" fontId="8" fillId="0" borderId="245" xfId="0" applyFont="1" applyBorder="1" applyAlignment="1">
      <alignment horizontal="left" vertical="center"/>
    </xf>
    <xf numFmtId="0" fontId="8" fillId="0" borderId="245" xfId="0" applyFont="1" applyBorder="1" applyAlignment="1">
      <alignment vertical="center"/>
    </xf>
    <xf numFmtId="0" fontId="4" fillId="0" borderId="245" xfId="0" applyFont="1" applyBorder="1" applyAlignment="1">
      <alignment horizontal="left" vertical="center" wrapText="1"/>
    </xf>
    <xf numFmtId="0" fontId="4" fillId="0" borderId="245" xfId="0" applyFont="1" applyBorder="1" applyAlignment="1">
      <alignment horizontal="center" vertical="center" wrapText="1"/>
    </xf>
    <xf numFmtId="0" fontId="20" fillId="0" borderId="245" xfId="0" applyFont="1" applyBorder="1" applyAlignment="1">
      <alignment horizontal="center" vertical="center" wrapText="1"/>
    </xf>
    <xf numFmtId="0" fontId="8" fillId="0" borderId="245" xfId="0" applyFont="1" applyBorder="1" applyAlignment="1">
      <alignment horizontal="center" vertical="center" wrapText="1"/>
    </xf>
    <xf numFmtId="0" fontId="8" fillId="0" borderId="245" xfId="0" applyFont="1" applyBorder="1"/>
    <xf numFmtId="0" fontId="8" fillId="0" borderId="245" xfId="0" applyFont="1" applyBorder="1" applyAlignment="1">
      <alignment horizontal="left" vertical="top" wrapText="1"/>
    </xf>
    <xf numFmtId="0" fontId="20" fillId="0" borderId="282" xfId="0" applyFont="1" applyBorder="1" applyAlignment="1">
      <alignment horizontal="left" vertical="center" wrapText="1"/>
    </xf>
    <xf numFmtId="49" fontId="8" fillId="0" borderId="283" xfId="0" applyNumberFormat="1" applyFont="1" applyBorder="1" applyAlignment="1">
      <alignment horizontal="center" vertical="center"/>
    </xf>
    <xf numFmtId="49" fontId="8" fillId="0" borderId="302" xfId="0" applyNumberFormat="1" applyFont="1" applyBorder="1" applyAlignment="1">
      <alignment horizontal="center" vertical="center"/>
    </xf>
    <xf numFmtId="0" fontId="20" fillId="0" borderId="284" xfId="0" applyFont="1" applyBorder="1" applyAlignment="1">
      <alignment horizontal="left" vertical="center" wrapText="1"/>
    </xf>
    <xf numFmtId="49" fontId="8" fillId="0" borderId="283" xfId="0" applyNumberFormat="1" applyFont="1" applyBorder="1" applyAlignment="1">
      <alignment horizontal="center"/>
    </xf>
    <xf numFmtId="49" fontId="8" fillId="0" borderId="317" xfId="0" applyNumberFormat="1" applyFont="1" applyBorder="1" applyAlignment="1">
      <alignment horizontal="center" vertical="center"/>
    </xf>
    <xf numFmtId="0" fontId="16" fillId="0" borderId="319" xfId="0" applyFont="1" applyBorder="1" applyAlignment="1">
      <alignment horizontal="center" vertical="center"/>
    </xf>
    <xf numFmtId="0" fontId="16" fillId="6" borderId="318" xfId="0" applyFont="1" applyFill="1" applyBorder="1" applyAlignment="1">
      <alignment horizontal="center" vertical="center" wrapText="1"/>
    </xf>
    <xf numFmtId="0" fontId="7" fillId="0" borderId="322" xfId="0" applyFont="1" applyBorder="1" applyAlignment="1">
      <alignment horizontal="center" vertical="center"/>
    </xf>
    <xf numFmtId="0" fontId="17" fillId="6" borderId="322" xfId="0" applyFont="1" applyFill="1" applyBorder="1" applyAlignment="1">
      <alignment horizontal="center" vertical="center"/>
    </xf>
    <xf numFmtId="1" fontId="20" fillId="7" borderId="320" xfId="0" applyNumberFormat="1" applyFont="1" applyFill="1" applyBorder="1" applyAlignment="1">
      <alignment horizontal="left" vertical="center" wrapText="1"/>
    </xf>
    <xf numFmtId="0" fontId="7" fillId="0" borderId="281" xfId="0" applyFont="1" applyBorder="1"/>
    <xf numFmtId="0" fontId="7" fillId="0" borderId="245" xfId="0" applyFont="1" applyBorder="1"/>
    <xf numFmtId="0" fontId="10" fillId="0" borderId="245" xfId="0" applyFont="1" applyBorder="1" applyAlignment="1">
      <alignment horizontal="left" vertical="center"/>
    </xf>
    <xf numFmtId="0" fontId="10" fillId="0" borderId="245" xfId="0" applyFont="1" applyBorder="1" applyAlignment="1">
      <alignment horizontal="center" vertical="top"/>
    </xf>
    <xf numFmtId="0" fontId="33" fillId="0" borderId="245" xfId="0" applyFont="1" applyBorder="1" applyAlignment="1">
      <alignment horizontal="right" vertical="center" wrapText="1"/>
    </xf>
    <xf numFmtId="0" fontId="12" fillId="0" borderId="298" xfId="0" applyFont="1" applyBorder="1" applyAlignment="1">
      <alignment horizontal="center" vertical="center"/>
    </xf>
    <xf numFmtId="0" fontId="20" fillId="0" borderId="299" xfId="0" applyFont="1" applyBorder="1" applyAlignment="1">
      <alignment horizontal="left" vertical="center" wrapText="1"/>
    </xf>
    <xf numFmtId="0" fontId="7" fillId="7" borderId="283" xfId="0" applyFont="1" applyFill="1" applyBorder="1" applyAlignment="1">
      <alignment vertical="center"/>
    </xf>
    <xf numFmtId="1" fontId="20" fillId="7" borderId="324" xfId="0" applyNumberFormat="1" applyFont="1" applyFill="1" applyBorder="1" applyAlignment="1">
      <alignment horizontal="left" vertical="center" wrapText="1"/>
    </xf>
    <xf numFmtId="0" fontId="7" fillId="0" borderId="283" xfId="0" applyFont="1" applyBorder="1" applyAlignment="1">
      <alignment vertical="center"/>
    </xf>
    <xf numFmtId="1" fontId="20" fillId="0" borderId="284" xfId="0" applyNumberFormat="1" applyFont="1" applyBorder="1" applyAlignment="1">
      <alignment horizontal="left" vertical="center" wrapText="1"/>
    </xf>
    <xf numFmtId="1" fontId="20" fillId="7" borderId="284" xfId="0" applyNumberFormat="1" applyFont="1" applyFill="1" applyBorder="1" applyAlignment="1">
      <alignment horizontal="left" vertical="center" wrapText="1"/>
    </xf>
    <xf numFmtId="0" fontId="8" fillId="7" borderId="283" xfId="0" applyFont="1" applyFill="1" applyBorder="1" applyAlignment="1">
      <alignment vertical="top"/>
    </xf>
    <xf numFmtId="0" fontId="8" fillId="0" borderId="283" xfId="0" applyFont="1" applyBorder="1" applyAlignment="1">
      <alignment vertical="top"/>
    </xf>
    <xf numFmtId="0" fontId="8" fillId="0" borderId="285" xfId="0" applyFont="1" applyBorder="1" applyAlignment="1">
      <alignment vertical="top"/>
    </xf>
    <xf numFmtId="0" fontId="8" fillId="0" borderId="286" xfId="0" applyFont="1" applyBorder="1" applyAlignment="1">
      <alignment vertical="top"/>
    </xf>
    <xf numFmtId="0" fontId="20" fillId="0" borderId="286" xfId="0" applyFont="1" applyBorder="1" applyAlignment="1">
      <alignment horizontal="left" vertical="center"/>
    </xf>
    <xf numFmtId="0" fontId="20" fillId="0" borderId="286" xfId="0" applyFont="1" applyBorder="1" applyAlignment="1">
      <alignment horizontal="center" vertical="top"/>
    </xf>
    <xf numFmtId="0" fontId="33" fillId="0" borderId="286" xfId="0" applyFont="1" applyBorder="1" applyAlignment="1">
      <alignment horizontal="right" vertical="center"/>
    </xf>
    <xf numFmtId="0" fontId="11" fillId="0" borderId="327" xfId="0" applyFont="1" applyBorder="1" applyAlignment="1">
      <alignment horizontal="center" vertical="center"/>
    </xf>
    <xf numFmtId="1" fontId="17" fillId="0" borderId="327" xfId="0" applyNumberFormat="1" applyFont="1" applyBorder="1" applyAlignment="1">
      <alignment horizontal="center" vertical="center"/>
    </xf>
    <xf numFmtId="1" fontId="20" fillId="0" borderId="287" xfId="0" applyNumberFormat="1" applyFont="1" applyBorder="1" applyAlignment="1">
      <alignment horizontal="left" vertical="center" wrapText="1"/>
    </xf>
    <xf numFmtId="0" fontId="1" fillId="0" borderId="245" xfId="0" applyFont="1" applyBorder="1" applyAlignment="1">
      <alignment horizontal="left" vertical="center"/>
    </xf>
    <xf numFmtId="0" fontId="7" fillId="0" borderId="286" xfId="0" applyFont="1" applyBorder="1" applyAlignment="1">
      <alignment horizontal="left"/>
    </xf>
    <xf numFmtId="0" fontId="74" fillId="0" borderId="182" xfId="1" applyFont="1" applyBorder="1" applyAlignment="1"/>
    <xf numFmtId="0" fontId="72" fillId="0" borderId="182" xfId="1" applyFont="1" applyBorder="1" applyAlignment="1"/>
    <xf numFmtId="0" fontId="16" fillId="0" borderId="245" xfId="0" applyFont="1" applyBorder="1" applyAlignment="1">
      <alignment horizontal="center" wrapText="1"/>
    </xf>
    <xf numFmtId="0" fontId="16" fillId="0" borderId="182" xfId="0" applyFont="1" applyBorder="1" applyAlignment="1">
      <alignment horizontal="center"/>
    </xf>
    <xf numFmtId="0" fontId="36" fillId="16" borderId="289" xfId="0" applyFont="1" applyFill="1" applyBorder="1" applyAlignment="1">
      <alignment horizontal="center"/>
    </xf>
    <xf numFmtId="0" fontId="36" fillId="16" borderId="290" xfId="0" applyFont="1" applyFill="1" applyBorder="1" applyAlignment="1">
      <alignment horizontal="center"/>
    </xf>
    <xf numFmtId="164" fontId="16" fillId="0" borderId="39" xfId="0" applyNumberFormat="1" applyFont="1" applyBorder="1" applyAlignment="1">
      <alignment horizontal="center"/>
    </xf>
    <xf numFmtId="164" fontId="16" fillId="8" borderId="93" xfId="0" applyNumberFormat="1" applyFont="1" applyFill="1" applyBorder="1" applyAlignment="1">
      <alignment horizontal="center" wrapText="1"/>
    </xf>
    <xf numFmtId="164" fontId="16" fillId="0" borderId="94" xfId="0" applyNumberFormat="1" applyFont="1" applyBorder="1" applyAlignment="1">
      <alignment horizontal="center"/>
    </xf>
    <xf numFmtId="164" fontId="16" fillId="8" borderId="159" xfId="0" applyNumberFormat="1" applyFont="1" applyFill="1" applyBorder="1" applyAlignment="1">
      <alignment horizontal="center" wrapText="1"/>
    </xf>
    <xf numFmtId="164" fontId="16" fillId="0" borderId="168" xfId="0" applyNumberFormat="1" applyFont="1" applyBorder="1" applyAlignment="1">
      <alignment horizontal="center"/>
    </xf>
    <xf numFmtId="164" fontId="16" fillId="8" borderId="107" xfId="0" applyNumberFormat="1" applyFont="1" applyFill="1" applyBorder="1" applyAlignment="1">
      <alignment horizontal="center" wrapText="1"/>
    </xf>
    <xf numFmtId="164" fontId="16" fillId="0" borderId="39" xfId="0" applyNumberFormat="1" applyFont="1" applyBorder="1" applyAlignment="1">
      <alignment horizontal="center" wrapText="1"/>
    </xf>
    <xf numFmtId="164" fontId="16" fillId="8" borderId="111" xfId="0" applyNumberFormat="1" applyFont="1" applyFill="1" applyBorder="1" applyAlignment="1">
      <alignment horizontal="center" wrapText="1"/>
    </xf>
    <xf numFmtId="164" fontId="16" fillId="9" borderId="84" xfId="0" applyNumberFormat="1" applyFont="1" applyFill="1" applyBorder="1" applyAlignment="1">
      <alignment horizontal="center"/>
    </xf>
    <xf numFmtId="164" fontId="16" fillId="0" borderId="94" xfId="0" applyNumberFormat="1" applyFont="1" applyBorder="1" applyAlignment="1">
      <alignment horizontal="center" wrapText="1"/>
    </xf>
    <xf numFmtId="164" fontId="16" fillId="8" borderId="127" xfId="0" applyNumberFormat="1" applyFont="1" applyFill="1" applyBorder="1" applyAlignment="1">
      <alignment horizontal="center" wrapText="1"/>
    </xf>
    <xf numFmtId="164" fontId="16" fillId="0" borderId="130" xfId="0" applyNumberFormat="1" applyFont="1" applyBorder="1" applyAlignment="1">
      <alignment horizontal="center" wrapText="1"/>
    </xf>
    <xf numFmtId="164" fontId="16" fillId="0" borderId="11" xfId="0" applyNumberFormat="1" applyFont="1" applyBorder="1" applyAlignment="1">
      <alignment horizontal="center" wrapText="1"/>
    </xf>
    <xf numFmtId="164" fontId="16" fillId="8" borderId="65" xfId="0" applyNumberFormat="1" applyFont="1" applyFill="1" applyBorder="1" applyAlignment="1">
      <alignment horizontal="center" wrapText="1"/>
    </xf>
    <xf numFmtId="164" fontId="16" fillId="0" borderId="23" xfId="0" applyNumberFormat="1" applyFont="1" applyBorder="1" applyAlignment="1">
      <alignment horizontal="center" wrapText="1"/>
    </xf>
    <xf numFmtId="1" fontId="16" fillId="8" borderId="150" xfId="0" applyNumberFormat="1" applyFont="1" applyFill="1" applyBorder="1" applyAlignment="1">
      <alignment horizontal="center"/>
    </xf>
    <xf numFmtId="164" fontId="16" fillId="8" borderId="85" xfId="0" applyNumberFormat="1" applyFont="1" applyFill="1" applyBorder="1" applyAlignment="1">
      <alignment horizontal="center" wrapText="1"/>
    </xf>
    <xf numFmtId="164" fontId="16" fillId="0" borderId="88" xfId="0" applyNumberFormat="1" applyFont="1" applyBorder="1" applyAlignment="1">
      <alignment horizontal="center" wrapText="1"/>
    </xf>
    <xf numFmtId="164" fontId="16" fillId="8" borderId="249" xfId="0" applyNumberFormat="1" applyFont="1" applyFill="1" applyBorder="1" applyAlignment="1">
      <alignment horizontal="center" wrapText="1"/>
    </xf>
    <xf numFmtId="164" fontId="16" fillId="0" borderId="132" xfId="0" applyNumberFormat="1" applyFont="1" applyBorder="1" applyAlignment="1">
      <alignment horizontal="center" wrapText="1"/>
    </xf>
    <xf numFmtId="164" fontId="67" fillId="8" borderId="63" xfId="0" applyNumberFormat="1" applyFont="1" applyFill="1" applyBorder="1" applyAlignment="1">
      <alignment horizontal="center" wrapText="1"/>
    </xf>
    <xf numFmtId="164" fontId="67" fillId="0" borderId="134" xfId="0" applyNumberFormat="1" applyFont="1" applyBorder="1" applyAlignment="1">
      <alignment horizontal="center"/>
    </xf>
    <xf numFmtId="164" fontId="16" fillId="0" borderId="130" xfId="0" applyNumberFormat="1" applyFont="1" applyBorder="1" applyAlignment="1">
      <alignment horizontal="center"/>
    </xf>
    <xf numFmtId="164" fontId="16" fillId="0" borderId="19" xfId="0" applyNumberFormat="1" applyFont="1" applyBorder="1" applyAlignment="1">
      <alignment horizontal="center" wrapText="1"/>
    </xf>
    <xf numFmtId="164" fontId="16" fillId="10" borderId="84" xfId="0" applyNumberFormat="1" applyFont="1" applyFill="1" applyBorder="1" applyAlignment="1">
      <alignment horizontal="center"/>
    </xf>
    <xf numFmtId="164" fontId="16" fillId="8" borderId="172" xfId="0" applyNumberFormat="1" applyFont="1" applyFill="1" applyBorder="1" applyAlignment="1">
      <alignment horizontal="center" wrapText="1"/>
    </xf>
    <xf numFmtId="164" fontId="16" fillId="0" borderId="175" xfId="0" applyNumberFormat="1" applyFont="1" applyBorder="1" applyAlignment="1">
      <alignment horizontal="center"/>
    </xf>
    <xf numFmtId="164" fontId="16" fillId="8" borderId="70" xfId="0" applyNumberFormat="1" applyFont="1" applyFill="1" applyBorder="1" applyAlignment="1">
      <alignment horizontal="center" wrapText="1"/>
    </xf>
    <xf numFmtId="164" fontId="16" fillId="18" borderId="195" xfId="0" applyNumberFormat="1" applyFont="1" applyFill="1" applyBorder="1" applyAlignment="1">
      <alignment horizontal="center" wrapText="1"/>
    </xf>
    <xf numFmtId="164" fontId="16" fillId="18" borderId="195" xfId="0" applyNumberFormat="1" applyFont="1" applyFill="1" applyBorder="1" applyAlignment="1">
      <alignment horizontal="center"/>
    </xf>
    <xf numFmtId="164" fontId="16" fillId="8" borderId="197" xfId="0" applyNumberFormat="1" applyFont="1" applyFill="1" applyBorder="1" applyAlignment="1">
      <alignment horizontal="center" wrapText="1"/>
    </xf>
    <xf numFmtId="164" fontId="16" fillId="18" borderId="121" xfId="0" applyNumberFormat="1" applyFont="1" applyFill="1" applyBorder="1" applyAlignment="1">
      <alignment horizontal="center" wrapText="1"/>
    </xf>
    <xf numFmtId="164" fontId="16" fillId="18" borderId="121" xfId="0" applyNumberFormat="1" applyFont="1" applyFill="1" applyBorder="1" applyAlignment="1">
      <alignment horizontal="center"/>
    </xf>
    <xf numFmtId="0" fontId="16" fillId="10" borderId="84" xfId="0" applyFont="1" applyFill="1" applyBorder="1" applyAlignment="1">
      <alignment horizontal="center"/>
    </xf>
    <xf numFmtId="164" fontId="16" fillId="18" borderId="67" xfId="0" applyNumberFormat="1" applyFont="1" applyFill="1" applyBorder="1" applyAlignment="1">
      <alignment horizontal="center" wrapText="1"/>
    </xf>
    <xf numFmtId="164" fontId="16" fillId="18" borderId="11" xfId="0" applyNumberFormat="1" applyFont="1" applyFill="1" applyBorder="1" applyAlignment="1">
      <alignment horizontal="center"/>
    </xf>
    <xf numFmtId="164" fontId="16" fillId="8" borderId="209" xfId="0" applyNumberFormat="1" applyFont="1" applyFill="1" applyBorder="1" applyAlignment="1">
      <alignment horizontal="center" wrapText="1"/>
    </xf>
    <xf numFmtId="164" fontId="16" fillId="0" borderId="23" xfId="0" applyNumberFormat="1" applyFont="1" applyBorder="1" applyAlignment="1">
      <alignment horizontal="center"/>
    </xf>
    <xf numFmtId="164" fontId="16" fillId="8" borderId="163" xfId="0" applyNumberFormat="1" applyFont="1" applyFill="1" applyBorder="1" applyAlignment="1">
      <alignment horizontal="center" wrapText="1"/>
    </xf>
    <xf numFmtId="164" fontId="16" fillId="0" borderId="166" xfId="0" applyNumberFormat="1" applyFont="1" applyBorder="1" applyAlignment="1">
      <alignment horizontal="center"/>
    </xf>
    <xf numFmtId="164" fontId="16" fillId="0" borderId="168" xfId="0" applyNumberFormat="1" applyFont="1" applyBorder="1" applyAlignment="1">
      <alignment horizontal="center" wrapText="1"/>
    </xf>
    <xf numFmtId="164" fontId="16" fillId="8" borderId="213" xfId="0" applyNumberFormat="1" applyFont="1" applyFill="1" applyBorder="1" applyAlignment="1">
      <alignment horizontal="center" wrapText="1"/>
    </xf>
    <xf numFmtId="164" fontId="16" fillId="0" borderId="13" xfId="0" applyNumberFormat="1" applyFont="1" applyBorder="1" applyAlignment="1">
      <alignment horizontal="center"/>
    </xf>
    <xf numFmtId="164" fontId="16" fillId="8" borderId="16" xfId="0" applyNumberFormat="1" applyFont="1" applyFill="1" applyBorder="1" applyAlignment="1">
      <alignment horizontal="center" wrapText="1"/>
    </xf>
    <xf numFmtId="164" fontId="16" fillId="9" borderId="184" xfId="0" applyNumberFormat="1" applyFont="1" applyFill="1" applyBorder="1" applyAlignment="1">
      <alignment horizontal="center"/>
    </xf>
    <xf numFmtId="164" fontId="16" fillId="8" borderId="56" xfId="0" applyNumberFormat="1" applyFont="1" applyFill="1" applyBorder="1" applyAlignment="1">
      <alignment horizontal="center" wrapText="1"/>
    </xf>
    <xf numFmtId="164" fontId="16" fillId="0" borderId="217" xfId="0" applyNumberFormat="1" applyFont="1" applyBorder="1" applyAlignment="1">
      <alignment horizontal="center"/>
    </xf>
    <xf numFmtId="164" fontId="16" fillId="8" borderId="189" xfId="0" applyNumberFormat="1" applyFont="1" applyFill="1" applyBorder="1" applyAlignment="1">
      <alignment horizontal="center" wrapText="1"/>
    </xf>
    <xf numFmtId="164" fontId="16" fillId="0" borderId="207" xfId="0" applyNumberFormat="1" applyFont="1" applyBorder="1" applyAlignment="1">
      <alignment horizontal="center" wrapText="1"/>
    </xf>
    <xf numFmtId="164" fontId="16" fillId="18" borderId="219" xfId="0" applyNumberFormat="1" applyFont="1" applyFill="1" applyBorder="1" applyAlignment="1">
      <alignment horizontal="center" wrapText="1"/>
    </xf>
    <xf numFmtId="164" fontId="16" fillId="18" borderId="219" xfId="0" applyNumberFormat="1" applyFont="1" applyFill="1" applyBorder="1" applyAlignment="1">
      <alignment horizontal="center"/>
    </xf>
    <xf numFmtId="164" fontId="16" fillId="8" borderId="116" xfId="0" applyNumberFormat="1" applyFont="1" applyFill="1" applyBorder="1" applyAlignment="1">
      <alignment horizontal="center" wrapText="1"/>
    </xf>
    <xf numFmtId="1" fontId="16" fillId="8" borderId="159" xfId="0" applyNumberFormat="1" applyFont="1" applyFill="1" applyBorder="1" applyAlignment="1">
      <alignment horizontal="center" wrapText="1"/>
    </xf>
    <xf numFmtId="1" fontId="16" fillId="0" borderId="168" xfId="0" applyNumberFormat="1" applyFont="1" applyBorder="1" applyAlignment="1">
      <alignment horizontal="center"/>
    </xf>
    <xf numFmtId="1" fontId="16" fillId="8" borderId="127" xfId="0" applyNumberFormat="1" applyFont="1" applyFill="1" applyBorder="1" applyAlignment="1">
      <alignment horizontal="center" wrapText="1"/>
    </xf>
    <xf numFmtId="1" fontId="16" fillId="0" borderId="130" xfId="0" applyNumberFormat="1" applyFont="1" applyBorder="1" applyAlignment="1">
      <alignment horizontal="center"/>
    </xf>
    <xf numFmtId="164" fontId="16" fillId="0" borderId="175" xfId="0" applyNumberFormat="1" applyFont="1" applyBorder="1" applyAlignment="1">
      <alignment horizontal="center" wrapText="1"/>
    </xf>
    <xf numFmtId="164" fontId="16" fillId="0" borderId="142" xfId="0" applyNumberFormat="1" applyFont="1" applyBorder="1" applyAlignment="1">
      <alignment horizontal="center" wrapText="1"/>
    </xf>
    <xf numFmtId="1" fontId="16" fillId="0" borderId="19" xfId="0" applyNumberFormat="1" applyFont="1" applyBorder="1" applyAlignment="1">
      <alignment horizontal="center"/>
    </xf>
    <xf numFmtId="0" fontId="16" fillId="9" borderId="84" xfId="0" applyFont="1" applyFill="1" applyBorder="1" applyAlignment="1">
      <alignment horizontal="center" wrapText="1"/>
    </xf>
    <xf numFmtId="164" fontId="16" fillId="9" borderId="84" xfId="0" applyNumberFormat="1" applyFont="1" applyFill="1" applyBorder="1" applyAlignment="1">
      <alignment horizontal="center" wrapText="1"/>
    </xf>
    <xf numFmtId="164" fontId="8" fillId="8" borderId="20" xfId="0" applyNumberFormat="1" applyFont="1" applyFill="1" applyBorder="1" applyAlignment="1">
      <alignment horizontal="center"/>
    </xf>
    <xf numFmtId="164" fontId="16" fillId="0" borderId="29" xfId="0" applyNumberFormat="1" applyFont="1" applyBorder="1" applyAlignment="1">
      <alignment horizontal="center"/>
    </xf>
    <xf numFmtId="164" fontId="8" fillId="8" borderId="63" xfId="0" applyNumberFormat="1" applyFont="1" applyFill="1" applyBorder="1" applyAlignment="1">
      <alignment horizontal="center" wrapText="1"/>
    </xf>
    <xf numFmtId="1" fontId="16" fillId="8" borderId="259" xfId="0" applyNumberFormat="1" applyFont="1" applyFill="1" applyBorder="1" applyAlignment="1">
      <alignment horizontal="center" wrapText="1"/>
    </xf>
    <xf numFmtId="1" fontId="16" fillId="11" borderId="168" xfId="0" applyNumberFormat="1" applyFont="1" applyFill="1" applyBorder="1" applyAlignment="1">
      <alignment horizontal="center" wrapText="1"/>
    </xf>
    <xf numFmtId="1" fontId="16" fillId="0" borderId="168" xfId="0" applyNumberFormat="1" applyFont="1" applyBorder="1" applyAlignment="1">
      <alignment horizontal="center" wrapText="1"/>
    </xf>
    <xf numFmtId="164" fontId="16" fillId="8" borderId="259" xfId="0" applyNumberFormat="1" applyFont="1" applyFill="1" applyBorder="1" applyAlignment="1">
      <alignment horizontal="center" wrapText="1"/>
    </xf>
    <xf numFmtId="0" fontId="0" fillId="0" borderId="0" xfId="0" applyAlignment="1">
      <alignment horizontal="center"/>
    </xf>
    <xf numFmtId="0" fontId="0" fillId="0" borderId="182" xfId="0" applyBorder="1"/>
    <xf numFmtId="0" fontId="24" fillId="0" borderId="0" xfId="1" applyFont="1" applyAlignment="1">
      <alignment horizontal="left" vertical="top"/>
    </xf>
    <xf numFmtId="0" fontId="18" fillId="0" borderId="0" xfId="0" applyFont="1" applyAlignment="1">
      <alignment horizontal="left" vertical="top" wrapText="1"/>
    </xf>
    <xf numFmtId="0" fontId="8" fillId="0" borderId="0" xfId="0" applyFont="1" applyAlignment="1">
      <alignment horizontal="left" vertical="top" wrapText="1"/>
    </xf>
    <xf numFmtId="0" fontId="20" fillId="0" borderId="62" xfId="0" applyFont="1" applyBorder="1" applyAlignment="1" applyProtection="1">
      <alignment horizontal="left" vertical="center" wrapText="1"/>
      <protection locked="0"/>
    </xf>
    <xf numFmtId="0" fontId="20" fillId="0" borderId="69" xfId="0" applyFont="1" applyBorder="1" applyAlignment="1" applyProtection="1">
      <alignment horizontal="left" vertical="center" wrapText="1"/>
      <protection locked="0"/>
    </xf>
    <xf numFmtId="0" fontId="4" fillId="7" borderId="320" xfId="0" applyFont="1" applyFill="1" applyBorder="1" applyAlignment="1">
      <alignment horizontal="left" vertical="center" wrapText="1"/>
    </xf>
    <xf numFmtId="0" fontId="20" fillId="17" borderId="66" xfId="0" applyFont="1" applyFill="1" applyBorder="1" applyAlignment="1" applyProtection="1">
      <alignment horizontal="left" vertical="center" wrapText="1"/>
      <protection locked="0"/>
    </xf>
    <xf numFmtId="0" fontId="20" fillId="17" borderId="252" xfId="0" applyFont="1" applyFill="1" applyBorder="1" applyAlignment="1" applyProtection="1">
      <alignment horizontal="left" vertical="center" wrapText="1"/>
      <protection locked="0"/>
    </xf>
    <xf numFmtId="0" fontId="20" fillId="0" borderId="64" xfId="0" applyFont="1" applyBorder="1" applyAlignment="1" applyProtection="1">
      <alignment horizontal="left" vertical="center" wrapText="1"/>
      <protection locked="0"/>
    </xf>
    <xf numFmtId="0" fontId="20" fillId="0" borderId="92" xfId="0" applyFont="1" applyBorder="1" applyAlignment="1" applyProtection="1">
      <alignment wrapText="1"/>
      <protection locked="0"/>
    </xf>
    <xf numFmtId="0" fontId="9" fillId="0" borderId="0" xfId="0" applyFont="1"/>
    <xf numFmtId="0" fontId="20" fillId="0" borderId="10" xfId="0" applyFont="1" applyBorder="1" applyAlignment="1" applyProtection="1">
      <alignment horizontal="left" vertical="center" wrapText="1"/>
      <protection locked="0"/>
    </xf>
    <xf numFmtId="0" fontId="20" fillId="0" borderId="66" xfId="0" applyFont="1" applyBorder="1" applyAlignment="1" applyProtection="1">
      <alignment vertical="center" wrapText="1"/>
      <protection locked="0"/>
    </xf>
    <xf numFmtId="0" fontId="20" fillId="0" borderId="62" xfId="0" applyFont="1" applyBorder="1" applyAlignment="1" applyProtection="1">
      <alignment vertical="center" wrapText="1"/>
      <protection locked="0"/>
    </xf>
    <xf numFmtId="0" fontId="20" fillId="0" borderId="10" xfId="0" applyFont="1" applyBorder="1" applyAlignment="1" applyProtection="1">
      <alignment vertical="center" wrapText="1"/>
      <protection locked="0"/>
    </xf>
    <xf numFmtId="0" fontId="20" fillId="0" borderId="92" xfId="0" applyFont="1" applyBorder="1" applyAlignment="1" applyProtection="1">
      <alignment vertical="center" wrapText="1"/>
      <protection locked="0"/>
    </xf>
    <xf numFmtId="0" fontId="20" fillId="0" borderId="170" xfId="0" applyFont="1" applyBorder="1" applyAlignment="1" applyProtection="1">
      <alignment vertical="center" wrapText="1"/>
      <protection locked="0"/>
    </xf>
    <xf numFmtId="0" fontId="20" fillId="0" borderId="142" xfId="0" applyFont="1" applyBorder="1" applyAlignment="1" applyProtection="1">
      <alignment horizontal="left" vertical="center" wrapText="1"/>
      <protection locked="0"/>
    </xf>
    <xf numFmtId="0" fontId="20" fillId="11" borderId="91" xfId="0" applyFont="1" applyFill="1" applyBorder="1" applyAlignment="1" applyProtection="1">
      <alignment horizontal="left" vertical="center" wrapText="1"/>
      <protection locked="0"/>
    </xf>
    <xf numFmtId="0" fontId="20" fillId="0" borderId="91" xfId="0" applyFont="1" applyBorder="1" applyAlignment="1" applyProtection="1">
      <alignment horizontal="left" vertical="center" wrapText="1"/>
      <protection locked="0"/>
    </xf>
    <xf numFmtId="0" fontId="20" fillId="4" borderId="92" xfId="0" applyFont="1" applyFill="1" applyBorder="1" applyAlignment="1" applyProtection="1">
      <alignment vertical="center" wrapText="1"/>
      <protection locked="0"/>
    </xf>
    <xf numFmtId="0" fontId="20" fillId="4" borderId="139" xfId="0" applyFont="1" applyFill="1" applyBorder="1" applyAlignment="1" applyProtection="1">
      <alignment horizontal="left" vertical="center" wrapText="1"/>
      <protection locked="0"/>
    </xf>
    <xf numFmtId="0" fontId="20" fillId="4" borderId="10" xfId="0" applyFont="1" applyFill="1" applyBorder="1" applyAlignment="1" applyProtection="1">
      <alignment horizontal="left" vertical="center" wrapText="1"/>
      <protection locked="0"/>
    </xf>
    <xf numFmtId="0" fontId="20" fillId="4" borderId="92" xfId="0" applyFont="1" applyFill="1" applyBorder="1" applyAlignment="1" applyProtection="1">
      <alignment horizontal="left" vertical="center" wrapText="1"/>
      <protection locked="0"/>
    </xf>
    <xf numFmtId="164" fontId="20" fillId="0" borderId="11" xfId="0" applyNumberFormat="1" applyFont="1" applyBorder="1" applyAlignment="1" applyProtection="1">
      <alignment horizontal="left" vertical="center" wrapText="1"/>
      <protection locked="0"/>
    </xf>
    <xf numFmtId="0" fontId="20" fillId="0" borderId="278" xfId="0" applyFont="1" applyBorder="1" applyAlignment="1" applyProtection="1">
      <alignment horizontal="center" vertical="center"/>
      <protection locked="0"/>
    </xf>
    <xf numFmtId="0" fontId="8" fillId="0" borderId="278" xfId="0" applyFont="1" applyBorder="1" applyAlignment="1">
      <alignment horizontal="left" vertical="center" wrapText="1"/>
    </xf>
    <xf numFmtId="0" fontId="51" fillId="0" borderId="0" xfId="1"/>
    <xf numFmtId="0" fontId="51" fillId="0" borderId="0" xfId="1" applyAlignment="1"/>
    <xf numFmtId="0" fontId="51" fillId="0" borderId="0" xfId="1" applyAlignment="1">
      <alignment vertical="center"/>
    </xf>
    <xf numFmtId="0" fontId="51" fillId="0" borderId="0" xfId="1" applyAlignment="1">
      <alignment horizontal="left" vertical="center"/>
    </xf>
    <xf numFmtId="0" fontId="10" fillId="0" borderId="91" xfId="0" applyFont="1" applyBorder="1" applyAlignment="1">
      <alignment vertical="center"/>
    </xf>
    <xf numFmtId="164" fontId="16" fillId="0" borderId="157" xfId="0" applyNumberFormat="1" applyFont="1" applyBorder="1" applyAlignment="1">
      <alignment horizontal="center"/>
    </xf>
    <xf numFmtId="164" fontId="16" fillId="0" borderId="71" xfId="0" applyNumberFormat="1" applyFont="1" applyBorder="1" applyAlignment="1">
      <alignment horizontal="center" vertical="center"/>
    </xf>
    <xf numFmtId="0" fontId="28" fillId="0" borderId="113" xfId="0" applyFont="1" applyBorder="1" applyAlignment="1">
      <alignment horizontal="left" vertical="center"/>
    </xf>
    <xf numFmtId="0" fontId="10" fillId="0" borderId="196" xfId="0" applyFont="1" applyBorder="1" applyAlignment="1">
      <alignment vertical="center"/>
    </xf>
    <xf numFmtId="0" fontId="8" fillId="20" borderId="120" xfId="0" applyFont="1" applyFill="1" applyBorder="1" applyAlignment="1" applyProtection="1">
      <alignment horizontal="center" vertical="center"/>
      <protection locked="0"/>
    </xf>
    <xf numFmtId="0" fontId="8" fillId="20" borderId="201" xfId="0" applyFont="1" applyFill="1" applyBorder="1" applyAlignment="1" applyProtection="1">
      <alignment horizontal="center" vertical="center"/>
      <protection locked="0"/>
    </xf>
    <xf numFmtId="0" fontId="8" fillId="19" borderId="201" xfId="0" applyFont="1" applyFill="1" applyBorder="1" applyAlignment="1" applyProtection="1">
      <alignment horizontal="center" vertical="center"/>
      <protection locked="0"/>
    </xf>
    <xf numFmtId="0" fontId="8" fillId="19" borderId="71" xfId="0" applyFont="1" applyFill="1" applyBorder="1" applyAlignment="1" applyProtection="1">
      <alignment horizontal="center" vertical="center"/>
      <protection locked="0"/>
    </xf>
    <xf numFmtId="0" fontId="8" fillId="0" borderId="211" xfId="0" applyFont="1" applyBorder="1" applyAlignment="1">
      <alignment horizontal="center" vertical="center"/>
    </xf>
    <xf numFmtId="164" fontId="16" fillId="0" borderId="328" xfId="0" applyNumberFormat="1" applyFont="1" applyBorder="1" applyAlignment="1">
      <alignment horizontal="center"/>
    </xf>
    <xf numFmtId="0" fontId="28" fillId="0" borderId="126" xfId="0" applyFont="1" applyBorder="1" applyAlignment="1">
      <alignment horizontal="left" vertical="center"/>
    </xf>
    <xf numFmtId="0" fontId="28" fillId="0" borderId="197" xfId="0" applyFont="1" applyBorder="1" applyAlignment="1">
      <alignment horizontal="right" vertical="center" wrapText="1"/>
    </xf>
    <xf numFmtId="0" fontId="28" fillId="0" borderId="163" xfId="0" applyFont="1" applyBorder="1" applyAlignment="1">
      <alignment horizontal="right" vertical="center" wrapText="1"/>
    </xf>
    <xf numFmtId="164" fontId="16" fillId="0" borderId="88" xfId="0" applyNumberFormat="1" applyFont="1" applyBorder="1" applyAlignment="1">
      <alignment horizontal="center"/>
    </xf>
    <xf numFmtId="0" fontId="8" fillId="0" borderId="86" xfId="0" applyFont="1" applyBorder="1" applyAlignment="1" applyProtection="1">
      <alignment horizontal="center" vertical="center"/>
      <protection locked="0"/>
    </xf>
    <xf numFmtId="0" fontId="8" fillId="0" borderId="88" xfId="0" applyFont="1" applyBorder="1" applyAlignment="1" applyProtection="1">
      <alignment horizontal="center" vertical="center"/>
      <protection locked="0"/>
    </xf>
    <xf numFmtId="0" fontId="8" fillId="0" borderId="164" xfId="0" applyFont="1" applyBorder="1" applyAlignment="1" applyProtection="1">
      <alignment horizontal="center" vertical="center"/>
      <protection locked="0"/>
    </xf>
    <xf numFmtId="0" fontId="8" fillId="0" borderId="166" xfId="0" applyFont="1" applyBorder="1" applyAlignment="1" applyProtection="1">
      <alignment horizontal="center" vertical="center"/>
      <protection locked="0"/>
    </xf>
    <xf numFmtId="0" fontId="8" fillId="4" borderId="126" xfId="0" applyFont="1" applyFill="1" applyBorder="1" applyAlignment="1" applyProtection="1">
      <alignment horizontal="center" vertical="center"/>
      <protection locked="0"/>
    </xf>
    <xf numFmtId="0" fontId="8" fillId="20" borderId="330" xfId="0" applyFont="1" applyFill="1" applyBorder="1" applyAlignment="1" applyProtection="1">
      <alignment horizontal="center" vertical="center"/>
      <protection locked="0"/>
    </xf>
    <xf numFmtId="0" fontId="8" fillId="20" borderId="238" xfId="0" applyFont="1" applyFill="1" applyBorder="1" applyAlignment="1" applyProtection="1">
      <alignment horizontal="center" vertical="center"/>
      <protection locked="0"/>
    </xf>
    <xf numFmtId="0" fontId="8" fillId="21" borderId="238" xfId="0" applyFont="1" applyFill="1" applyBorder="1" applyAlignment="1" applyProtection="1">
      <alignment horizontal="center" vertical="center"/>
      <protection locked="0"/>
    </xf>
    <xf numFmtId="0" fontId="8" fillId="21" borderId="134" xfId="0" applyFont="1" applyFill="1" applyBorder="1" applyAlignment="1" applyProtection="1">
      <alignment horizontal="center" vertical="center"/>
      <protection locked="0"/>
    </xf>
    <xf numFmtId="0" fontId="8" fillId="0" borderId="71" xfId="0" applyFont="1" applyBorder="1" applyAlignment="1">
      <alignment horizontal="left" vertical="center"/>
    </xf>
    <xf numFmtId="0" fontId="20" fillId="0" borderId="122" xfId="0" applyFont="1" applyBorder="1" applyAlignment="1">
      <alignment horizontal="right" vertical="center"/>
    </xf>
    <xf numFmtId="0" fontId="8" fillId="0" borderId="170" xfId="0" applyFont="1" applyBorder="1" applyAlignment="1">
      <alignment horizontal="center" vertical="center"/>
    </xf>
    <xf numFmtId="0" fontId="8" fillId="0" borderId="330" xfId="0" applyFont="1" applyBorder="1" applyAlignment="1">
      <alignment horizontal="center" vertical="center"/>
    </xf>
    <xf numFmtId="164" fontId="16" fillId="0" borderId="203" xfId="0" applyNumberFormat="1" applyFont="1" applyBorder="1" applyAlignment="1">
      <alignment horizontal="center"/>
    </xf>
    <xf numFmtId="0" fontId="73" fillId="0" borderId="92" xfId="0" applyFont="1" applyBorder="1" applyAlignment="1">
      <alignment horizontal="center" vertical="center"/>
    </xf>
    <xf numFmtId="0" fontId="73" fillId="0" borderId="28" xfId="0" applyFont="1" applyBorder="1" applyAlignment="1">
      <alignment horizontal="center" vertical="center"/>
    </xf>
    <xf numFmtId="0" fontId="51" fillId="11" borderId="0" xfId="1" applyFill="1"/>
    <xf numFmtId="0" fontId="28" fillId="0" borderId="70" xfId="0" applyFont="1" applyBorder="1" applyAlignment="1">
      <alignment horizontal="center" vertical="center"/>
    </xf>
    <xf numFmtId="0" fontId="28" fillId="0" borderId="67" xfId="0" applyFont="1" applyBorder="1" applyAlignment="1">
      <alignment horizontal="center" vertical="center"/>
    </xf>
    <xf numFmtId="0" fontId="28" fillId="0" borderId="63" xfId="0" applyFont="1" applyBorder="1" applyAlignment="1">
      <alignment horizontal="center" vertical="center" wrapText="1"/>
    </xf>
    <xf numFmtId="0" fontId="64" fillId="0" borderId="63" xfId="0" applyFont="1" applyBorder="1" applyAlignment="1">
      <alignment horizontal="center" vertical="center"/>
    </xf>
    <xf numFmtId="0" fontId="8" fillId="0" borderId="70" xfId="0" applyFont="1" applyBorder="1" applyAlignment="1">
      <alignment horizontal="center" vertical="center"/>
    </xf>
    <xf numFmtId="0" fontId="8" fillId="0" borderId="63" xfId="0" applyFont="1" applyBorder="1" applyAlignment="1">
      <alignment horizontal="center" vertical="center"/>
    </xf>
    <xf numFmtId="0" fontId="20" fillId="0" borderId="70" xfId="0" applyFont="1" applyBorder="1" applyAlignment="1">
      <alignment horizontal="center" vertical="center"/>
    </xf>
    <xf numFmtId="0" fontId="28" fillId="0" borderId="67" xfId="0" applyFont="1" applyBorder="1" applyAlignment="1">
      <alignment horizontal="center" vertical="center" wrapText="1"/>
    </xf>
    <xf numFmtId="0" fontId="20" fillId="0" borderId="63" xfId="0" applyFont="1" applyBorder="1" applyAlignment="1">
      <alignment horizontal="center" vertical="center"/>
    </xf>
    <xf numFmtId="0" fontId="20" fillId="0" borderId="67" xfId="0" applyFont="1" applyBorder="1" applyAlignment="1">
      <alignment horizontal="center" vertical="center"/>
    </xf>
    <xf numFmtId="0" fontId="20" fillId="0" borderId="65" xfId="0" applyFont="1" applyBorder="1" applyAlignment="1">
      <alignment horizontal="center" vertical="center"/>
    </xf>
    <xf numFmtId="0" fontId="20" fillId="0" borderId="56" xfId="0" applyFont="1" applyBorder="1" applyAlignment="1">
      <alignment horizontal="center" vertical="center"/>
    </xf>
    <xf numFmtId="0" fontId="8" fillId="0" borderId="67" xfId="0" applyFont="1" applyBorder="1" applyAlignment="1">
      <alignment horizontal="center" vertical="center"/>
    </xf>
    <xf numFmtId="0" fontId="20" fillId="4" borderId="111" xfId="0" applyFont="1" applyFill="1" applyBorder="1" applyAlignment="1">
      <alignment horizontal="center" vertical="center"/>
    </xf>
    <xf numFmtId="0" fontId="20" fillId="0" borderId="70" xfId="0" applyFont="1" applyBorder="1" applyAlignment="1">
      <alignment horizontal="center" vertical="center" wrapText="1"/>
    </xf>
    <xf numFmtId="0" fontId="8" fillId="22" borderId="127" xfId="0" applyFont="1" applyFill="1" applyBorder="1" applyAlignment="1" applyProtection="1">
      <alignment horizontal="center" vertical="center"/>
      <protection locked="0"/>
    </xf>
    <xf numFmtId="0" fontId="8" fillId="22" borderId="128" xfId="0" applyFont="1" applyFill="1" applyBorder="1" applyAlignment="1" applyProtection="1">
      <alignment horizontal="center" vertical="center"/>
      <protection locked="0"/>
    </xf>
    <xf numFmtId="0" fontId="8" fillId="23" borderId="128" xfId="0" applyFont="1" applyFill="1" applyBorder="1" applyAlignment="1" applyProtection="1">
      <alignment horizontal="center" vertical="center"/>
      <protection locked="0"/>
    </xf>
    <xf numFmtId="0" fontId="8" fillId="23" borderId="130" xfId="0" applyFont="1" applyFill="1" applyBorder="1" applyAlignment="1" applyProtection="1">
      <alignment horizontal="center" vertical="center"/>
      <protection locked="0"/>
    </xf>
    <xf numFmtId="0" fontId="20" fillId="11" borderId="127" xfId="0" applyFont="1" applyFill="1" applyBorder="1" applyAlignment="1">
      <alignment horizontal="right" vertical="center"/>
    </xf>
    <xf numFmtId="0" fontId="8" fillId="11" borderId="241" xfId="0" applyFont="1" applyFill="1" applyBorder="1" applyAlignment="1">
      <alignment horizontal="center" vertical="center" wrapText="1"/>
    </xf>
    <xf numFmtId="164" fontId="16" fillId="22" borderId="93" xfId="0" applyNumberFormat="1" applyFont="1" applyFill="1" applyBorder="1" applyAlignment="1">
      <alignment horizontal="center" wrapText="1"/>
    </xf>
    <xf numFmtId="164" fontId="16" fillId="11" borderId="88" xfId="0" applyNumberFormat="1" applyFont="1" applyFill="1" applyBorder="1" applyAlignment="1">
      <alignment horizontal="center" wrapText="1"/>
    </xf>
    <xf numFmtId="164" fontId="16" fillId="11" borderId="154" xfId="0" applyNumberFormat="1" applyFont="1" applyFill="1" applyBorder="1" applyAlignment="1">
      <alignment horizontal="center" vertical="center"/>
    </xf>
    <xf numFmtId="0" fontId="20" fillId="0" borderId="106" xfId="0" applyFont="1" applyBorder="1" applyAlignment="1">
      <alignment horizontal="left" vertical="center" wrapText="1"/>
    </xf>
    <xf numFmtId="0" fontId="20" fillId="22" borderId="85" xfId="0" applyFont="1" applyFill="1" applyBorder="1" applyAlignment="1" applyProtection="1">
      <alignment horizontal="center" vertical="center"/>
      <protection locked="0"/>
    </xf>
    <xf numFmtId="0" fontId="20" fillId="22" borderId="86" xfId="0" applyFont="1" applyFill="1" applyBorder="1" applyAlignment="1" applyProtection="1">
      <alignment horizontal="center" vertical="center"/>
      <protection locked="0"/>
    </xf>
    <xf numFmtId="0" fontId="20" fillId="23" borderId="113" xfId="0" applyFont="1" applyFill="1" applyBorder="1" applyAlignment="1" applyProtection="1">
      <alignment horizontal="center" vertical="center"/>
      <protection locked="0"/>
    </xf>
    <xf numFmtId="0" fontId="20" fillId="23" borderId="88" xfId="0" applyFont="1" applyFill="1" applyBorder="1" applyAlignment="1" applyProtection="1">
      <alignment horizontal="center" vertical="center"/>
      <protection locked="0"/>
    </xf>
    <xf numFmtId="0" fontId="20" fillId="11" borderId="222" xfId="0" applyFont="1" applyFill="1" applyBorder="1" applyAlignment="1">
      <alignment horizontal="center" vertical="center"/>
    </xf>
    <xf numFmtId="164" fontId="4" fillId="22" borderId="197" xfId="0" applyNumberFormat="1" applyFont="1" applyFill="1" applyBorder="1" applyAlignment="1">
      <alignment horizontal="center" wrapText="1"/>
    </xf>
    <xf numFmtId="164" fontId="4" fillId="11" borderId="203" xfId="0" applyNumberFormat="1" applyFont="1" applyFill="1" applyBorder="1" applyAlignment="1">
      <alignment horizontal="center"/>
    </xf>
    <xf numFmtId="164" fontId="4" fillId="11" borderId="71" xfId="0" applyNumberFormat="1" applyFont="1" applyFill="1" applyBorder="1" applyAlignment="1">
      <alignment horizontal="center" vertical="center"/>
    </xf>
    <xf numFmtId="0" fontId="20" fillId="11" borderId="0" xfId="0" applyFont="1" applyFill="1" applyAlignment="1">
      <alignment vertical="center"/>
    </xf>
    <xf numFmtId="0" fontId="24" fillId="11" borderId="0" xfId="0" applyFont="1" applyFill="1"/>
    <xf numFmtId="0" fontId="10" fillId="11" borderId="0" xfId="0" applyFont="1" applyFill="1"/>
    <xf numFmtId="0" fontId="20" fillId="11" borderId="0" xfId="0" applyFont="1" applyFill="1"/>
    <xf numFmtId="0" fontId="20" fillId="0" borderId="163" xfId="0" applyFont="1" applyBorder="1" applyAlignment="1">
      <alignment horizontal="center" vertical="center"/>
    </xf>
    <xf numFmtId="0" fontId="20" fillId="0" borderId="93" xfId="0" applyFont="1" applyBorder="1" applyAlignment="1">
      <alignment horizontal="center" vertical="center"/>
    </xf>
    <xf numFmtId="0" fontId="20" fillId="0" borderId="24" xfId="0" applyFont="1" applyBorder="1" applyAlignment="1">
      <alignment horizontal="center" vertical="center"/>
    </xf>
    <xf numFmtId="0" fontId="8" fillId="4" borderId="111" xfId="0" applyFont="1" applyFill="1" applyBorder="1" applyAlignment="1">
      <alignment horizontal="center" vertical="center"/>
    </xf>
    <xf numFmtId="0" fontId="20" fillId="4" borderId="67" xfId="0" applyFont="1" applyFill="1" applyBorder="1" applyAlignment="1">
      <alignment horizontal="center" vertical="center"/>
    </xf>
    <xf numFmtId="0" fontId="28" fillId="0" borderId="70" xfId="0" applyFont="1" applyBorder="1" applyAlignment="1">
      <alignment horizontal="center" vertical="center" wrapText="1"/>
    </xf>
    <xf numFmtId="0" fontId="8" fillId="0" borderId="63" xfId="0" applyFont="1" applyBorder="1" applyAlignment="1">
      <alignment horizontal="center" vertical="center" wrapText="1"/>
    </xf>
    <xf numFmtId="0" fontId="20" fillId="4" borderId="63" xfId="0" applyFont="1" applyFill="1" applyBorder="1" applyAlignment="1">
      <alignment horizontal="center" vertical="center"/>
    </xf>
    <xf numFmtId="0" fontId="28" fillId="0" borderId="65" xfId="0" applyFont="1" applyBorder="1" applyAlignment="1">
      <alignment horizontal="center" vertical="center"/>
    </xf>
    <xf numFmtId="0" fontId="28" fillId="0" borderId="237" xfId="0" applyFont="1" applyBorder="1" applyAlignment="1">
      <alignment horizontal="center" vertical="center"/>
    </xf>
    <xf numFmtId="0" fontId="20" fillId="0" borderId="197" xfId="0" applyFont="1" applyBorder="1" applyAlignment="1">
      <alignment horizontal="center" vertical="center" wrapText="1"/>
    </xf>
    <xf numFmtId="0" fontId="28" fillId="0" borderId="63" xfId="0" applyFont="1" applyBorder="1" applyAlignment="1">
      <alignment horizontal="center" vertical="center"/>
    </xf>
    <xf numFmtId="0" fontId="8" fillId="0" borderId="56" xfId="0" applyFont="1" applyBorder="1" applyAlignment="1">
      <alignment horizontal="center" vertical="center" wrapText="1"/>
    </xf>
    <xf numFmtId="0" fontId="8" fillId="0" borderId="67" xfId="0" applyFont="1" applyBorder="1" applyAlignment="1">
      <alignment horizontal="center" vertical="center" wrapText="1"/>
    </xf>
    <xf numFmtId="0" fontId="8" fillId="17" borderId="67" xfId="0" applyFont="1" applyFill="1" applyBorder="1" applyAlignment="1">
      <alignment horizontal="center" vertical="center" wrapText="1"/>
    </xf>
    <xf numFmtId="0" fontId="8" fillId="17" borderId="253" xfId="0" applyFont="1" applyFill="1" applyBorder="1" applyAlignment="1">
      <alignment horizontal="center" vertical="center" wrapText="1"/>
    </xf>
    <xf numFmtId="0" fontId="8" fillId="0" borderId="197" xfId="0" applyFont="1" applyBorder="1" applyAlignment="1">
      <alignment horizontal="right" vertical="center"/>
    </xf>
    <xf numFmtId="0" fontId="28" fillId="0" borderId="70" xfId="0" applyFont="1" applyBorder="1" applyAlignment="1">
      <alignment horizontal="right" vertical="center"/>
    </xf>
    <xf numFmtId="0" fontId="10" fillId="0" borderId="20" xfId="0" applyFont="1" applyBorder="1" applyAlignment="1">
      <alignment horizontal="center" vertical="center"/>
    </xf>
    <xf numFmtId="0" fontId="34" fillId="0" borderId="63" xfId="0" applyFont="1" applyBorder="1" applyAlignment="1">
      <alignment horizontal="center" vertical="center" wrapText="1"/>
    </xf>
    <xf numFmtId="0" fontId="20" fillId="0" borderId="172" xfId="0" applyFont="1" applyBorder="1" applyAlignment="1">
      <alignment horizontal="center" vertical="center"/>
    </xf>
    <xf numFmtId="0" fontId="8" fillId="0" borderId="163" xfId="0" applyFont="1" applyBorder="1" applyAlignment="1">
      <alignment horizontal="center" vertical="center"/>
    </xf>
    <xf numFmtId="0" fontId="20" fillId="0" borderId="67" xfId="0" applyFont="1" applyBorder="1" applyAlignment="1">
      <alignment horizontal="center" vertical="center" wrapText="1"/>
    </xf>
    <xf numFmtId="0" fontId="20" fillId="0" borderId="186" xfId="0" applyFont="1" applyBorder="1" applyAlignment="1">
      <alignment horizontal="center" vertical="center" wrapText="1"/>
    </xf>
    <xf numFmtId="0" fontId="20" fillId="0" borderId="163"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197" xfId="0" applyFont="1" applyBorder="1" applyAlignment="1">
      <alignment horizontal="center" vertical="center"/>
    </xf>
    <xf numFmtId="0" fontId="20" fillId="0" borderId="268" xfId="0" applyFont="1" applyBorder="1" applyAlignment="1">
      <alignment horizontal="center" vertical="center"/>
    </xf>
    <xf numFmtId="0" fontId="46" fillId="4" borderId="62" xfId="0" applyFont="1" applyFill="1" applyBorder="1" applyAlignment="1" applyProtection="1">
      <alignment vertical="center" wrapText="1"/>
      <protection locked="0"/>
    </xf>
    <xf numFmtId="0" fontId="46" fillId="4" borderId="241" xfId="0" applyFont="1" applyFill="1" applyBorder="1" applyAlignment="1" applyProtection="1">
      <alignment vertical="center" wrapText="1"/>
      <protection locked="0"/>
    </xf>
    <xf numFmtId="0" fontId="46" fillId="0" borderId="64" xfId="0" applyFont="1" applyBorder="1" applyAlignment="1" applyProtection="1">
      <alignment horizontal="left" vertical="top" wrapText="1"/>
      <protection locked="0"/>
    </xf>
    <xf numFmtId="9" fontId="20" fillId="0" borderId="66" xfId="0" applyNumberFormat="1" applyFont="1" applyBorder="1" applyAlignment="1" applyProtection="1">
      <alignment horizontal="left" vertical="center" wrapText="1"/>
      <protection locked="0"/>
    </xf>
    <xf numFmtId="10" fontId="20" fillId="0" borderId="66" xfId="0" applyNumberFormat="1" applyFont="1" applyBorder="1" applyAlignment="1" applyProtection="1">
      <alignment horizontal="left" vertical="center" wrapText="1"/>
      <protection locked="0"/>
    </xf>
    <xf numFmtId="0" fontId="20" fillId="15" borderId="66" xfId="0" applyFont="1" applyFill="1" applyBorder="1" applyAlignment="1" applyProtection="1">
      <alignment horizontal="left" vertical="center" wrapText="1"/>
      <protection locked="0"/>
    </xf>
    <xf numFmtId="0" fontId="20" fillId="0" borderId="133" xfId="0" applyFont="1" applyBorder="1" applyAlignment="1">
      <alignment horizontal="left" vertical="center" wrapText="1"/>
    </xf>
    <xf numFmtId="0" fontId="10" fillId="0" borderId="134" xfId="0" applyFont="1" applyBorder="1" applyAlignment="1">
      <alignment vertical="center"/>
    </xf>
    <xf numFmtId="0" fontId="20" fillId="0" borderId="141" xfId="0" applyFont="1" applyBorder="1" applyAlignment="1">
      <alignment vertical="center" wrapText="1"/>
    </xf>
    <xf numFmtId="0" fontId="10" fillId="0" borderId="142" xfId="0" applyFont="1" applyBorder="1" applyAlignment="1">
      <alignment vertical="center"/>
    </xf>
    <xf numFmtId="0" fontId="16" fillId="9" borderId="192" xfId="0" applyFont="1" applyFill="1" applyBorder="1"/>
    <xf numFmtId="0" fontId="16" fillId="9" borderId="117" xfId="0" applyFont="1" applyFill="1" applyBorder="1"/>
    <xf numFmtId="0" fontId="8" fillId="0" borderId="153" xfId="0" applyFont="1" applyBorder="1" applyAlignment="1">
      <alignment horizontal="left" vertical="top" wrapText="1"/>
    </xf>
    <xf numFmtId="0" fontId="26" fillId="0" borderId="180" xfId="0" applyFont="1" applyBorder="1" applyAlignment="1" applyProtection="1">
      <alignment horizontal="left" vertical="top" wrapText="1"/>
      <protection locked="0"/>
    </xf>
    <xf numFmtId="0" fontId="20" fillId="11" borderId="131" xfId="0" applyFont="1" applyFill="1" applyBorder="1" applyAlignment="1">
      <alignment horizontal="left" vertical="center" wrapText="1"/>
    </xf>
    <xf numFmtId="0" fontId="76" fillId="11" borderId="132" xfId="0" applyFont="1" applyFill="1" applyBorder="1" applyAlignment="1">
      <alignment horizontal="left" vertical="center" wrapText="1"/>
    </xf>
    <xf numFmtId="0" fontId="8" fillId="0" borderId="62" xfId="0" applyFont="1" applyBorder="1" applyAlignment="1">
      <alignment horizontal="left" vertical="center" wrapText="1"/>
    </xf>
    <xf numFmtId="0" fontId="8" fillId="0" borderId="241" xfId="0" applyFont="1" applyBorder="1" applyAlignment="1">
      <alignment horizontal="left" vertical="center" wrapText="1"/>
    </xf>
    <xf numFmtId="0" fontId="8" fillId="0" borderId="68" xfId="0" applyFont="1" applyBorder="1" applyAlignment="1">
      <alignment horizontal="left" vertical="center" wrapText="1"/>
    </xf>
    <xf numFmtId="0" fontId="20" fillId="4" borderId="62" xfId="0" applyFont="1" applyFill="1" applyBorder="1" applyAlignment="1" applyProtection="1">
      <alignment horizontal="left" vertical="center" wrapText="1"/>
      <protection locked="0"/>
    </xf>
    <xf numFmtId="0" fontId="20" fillId="4" borderId="241" xfId="0" applyFont="1" applyFill="1" applyBorder="1" applyAlignment="1" applyProtection="1">
      <alignment horizontal="left" vertical="center" wrapText="1"/>
      <protection locked="0"/>
    </xf>
    <xf numFmtId="0" fontId="20" fillId="4" borderId="329" xfId="0" applyFont="1" applyFill="1" applyBorder="1" applyAlignment="1" applyProtection="1">
      <alignment horizontal="left" vertical="center" wrapText="1"/>
      <protection locked="0"/>
    </xf>
    <xf numFmtId="0" fontId="20" fillId="0" borderId="138" xfId="0" applyFont="1" applyBorder="1" applyAlignment="1">
      <alignment vertical="center" wrapText="1"/>
    </xf>
    <xf numFmtId="0" fontId="20" fillId="0" borderId="139" xfId="0" applyFont="1" applyBorder="1" applyAlignment="1">
      <alignment vertical="center"/>
    </xf>
    <xf numFmtId="0" fontId="20" fillId="11" borderId="132" xfId="0" applyFont="1" applyFill="1" applyBorder="1" applyAlignment="1">
      <alignment horizontal="left" vertical="center" wrapText="1"/>
    </xf>
    <xf numFmtId="0" fontId="20" fillId="0" borderId="62" xfId="0" applyFont="1" applyBorder="1" applyAlignment="1" applyProtection="1">
      <alignment horizontal="left" vertical="center" wrapText="1"/>
      <protection locked="0"/>
    </xf>
    <xf numFmtId="0" fontId="20" fillId="0" borderId="241" xfId="0" applyFont="1" applyBorder="1" applyAlignment="1" applyProtection="1">
      <alignment horizontal="left" vertical="center" wrapText="1"/>
      <protection locked="0"/>
    </xf>
    <xf numFmtId="0" fontId="20" fillId="0" borderId="68" xfId="0" applyFont="1" applyBorder="1" applyAlignment="1" applyProtection="1">
      <alignment horizontal="left" vertical="center" wrapText="1"/>
      <protection locked="0"/>
    </xf>
    <xf numFmtId="0" fontId="16" fillId="16" borderId="135" xfId="0" applyFont="1" applyFill="1" applyBorder="1" applyAlignment="1">
      <alignment horizontal="center" vertical="center"/>
    </xf>
    <xf numFmtId="0" fontId="16" fillId="16" borderId="182" xfId="0" applyFont="1" applyFill="1" applyBorder="1" applyAlignment="1">
      <alignment horizontal="center" vertical="center"/>
    </xf>
    <xf numFmtId="0" fontId="16" fillId="16" borderId="75" xfId="0" applyFont="1" applyFill="1" applyBorder="1" applyAlignment="1">
      <alignment horizontal="center" vertical="center"/>
    </xf>
    <xf numFmtId="0" fontId="10" fillId="15" borderId="81" xfId="0" applyFont="1" applyFill="1" applyBorder="1"/>
    <xf numFmtId="0" fontId="20" fillId="0" borderId="44" xfId="0" applyFont="1" applyBorder="1" applyAlignment="1">
      <alignment horizontal="left" vertical="center" wrapText="1"/>
    </xf>
    <xf numFmtId="0" fontId="10" fillId="0" borderId="6" xfId="0" applyFont="1" applyBorder="1" applyAlignment="1">
      <alignment vertical="center"/>
    </xf>
    <xf numFmtId="0" fontId="20" fillId="0" borderId="126" xfId="0" applyFont="1" applyBorder="1" applyAlignment="1">
      <alignment vertical="center" wrapText="1"/>
    </xf>
    <xf numFmtId="0" fontId="10" fillId="0" borderId="91" xfId="0" applyFont="1" applyBorder="1" applyAlignment="1">
      <alignment vertical="center"/>
    </xf>
    <xf numFmtId="0" fontId="8" fillId="0" borderId="44" xfId="0" applyFont="1" applyBorder="1" applyAlignment="1">
      <alignment horizontal="left" vertical="center" wrapText="1"/>
    </xf>
    <xf numFmtId="0" fontId="20" fillId="0" borderId="141" xfId="0" applyFont="1" applyBorder="1" applyAlignment="1">
      <alignment horizontal="left" vertical="center" wrapText="1"/>
    </xf>
    <xf numFmtId="0" fontId="8" fillId="0" borderId="17" xfId="0" applyFont="1" applyBorder="1" applyAlignment="1">
      <alignment horizontal="left" vertical="center" wrapText="1"/>
    </xf>
    <xf numFmtId="0" fontId="10" fillId="0" borderId="29" xfId="0" applyFont="1" applyBorder="1" applyAlignment="1">
      <alignment vertical="center"/>
    </xf>
    <xf numFmtId="0" fontId="64" fillId="0" borderId="3" xfId="0" applyFont="1" applyBorder="1" applyAlignment="1">
      <alignment wrapText="1"/>
    </xf>
    <xf numFmtId="0" fontId="65" fillId="0" borderId="34" xfId="0" applyFont="1" applyBorder="1"/>
    <xf numFmtId="0" fontId="8" fillId="8" borderId="13" xfId="0" applyFont="1" applyFill="1" applyBorder="1" applyAlignment="1" applyProtection="1">
      <alignment horizontal="center" vertical="center"/>
      <protection locked="0"/>
    </xf>
    <xf numFmtId="0" fontId="10" fillId="0" borderId="22" xfId="0" applyFont="1" applyBorder="1" applyProtection="1">
      <protection locked="0"/>
    </xf>
    <xf numFmtId="0" fontId="8" fillId="4" borderId="13" xfId="0" applyFont="1" applyFill="1" applyBorder="1" applyAlignment="1" applyProtection="1">
      <alignment horizontal="center" vertical="center"/>
      <protection locked="0"/>
    </xf>
    <xf numFmtId="0" fontId="8" fillId="4" borderId="19" xfId="0" applyFont="1" applyFill="1" applyBorder="1" applyAlignment="1" applyProtection="1">
      <alignment horizontal="center" vertical="center"/>
      <protection locked="0"/>
    </xf>
    <xf numFmtId="0" fontId="10" fillId="0" borderId="23" xfId="0" applyFont="1" applyBorder="1" applyProtection="1">
      <protection locked="0"/>
    </xf>
    <xf numFmtId="0" fontId="28" fillId="0" borderId="2" xfId="0" applyFont="1" applyBorder="1" applyAlignment="1">
      <alignment horizontal="center" vertical="center"/>
    </xf>
    <xf numFmtId="0" fontId="10" fillId="0" borderId="12" xfId="0" applyFont="1" applyBorder="1" applyAlignment="1">
      <alignment horizontal="center" vertical="center"/>
    </xf>
    <xf numFmtId="0" fontId="8" fillId="0" borderId="131" xfId="0" applyFont="1" applyBorder="1" applyAlignment="1">
      <alignment horizontal="left" vertical="center" wrapText="1"/>
    </xf>
    <xf numFmtId="0" fontId="10" fillId="0" borderId="132" xfId="0" applyFont="1" applyBorder="1" applyAlignment="1">
      <alignment vertical="center"/>
    </xf>
    <xf numFmtId="0" fontId="16" fillId="8" borderId="177" xfId="0" applyFont="1" applyFill="1" applyBorder="1" applyAlignment="1">
      <alignment horizontal="right" vertical="center"/>
    </xf>
    <xf numFmtId="0" fontId="5" fillId="0" borderId="47" xfId="0" applyFont="1" applyBorder="1"/>
    <xf numFmtId="0" fontId="5" fillId="0" borderId="178" xfId="0" applyFont="1" applyBorder="1"/>
    <xf numFmtId="0" fontId="8" fillId="4" borderId="10" xfId="0" applyFont="1" applyFill="1" applyBorder="1" applyAlignment="1" applyProtection="1">
      <alignment horizontal="center" vertical="center"/>
      <protection locked="0"/>
    </xf>
    <xf numFmtId="0" fontId="10" fillId="0" borderId="119" xfId="0" applyFont="1" applyBorder="1" applyProtection="1">
      <protection locked="0"/>
    </xf>
    <xf numFmtId="0" fontId="8" fillId="8" borderId="159" xfId="0" applyFont="1" applyFill="1" applyBorder="1" applyAlignment="1" applyProtection="1">
      <alignment horizontal="center" vertical="center"/>
      <protection locked="0"/>
    </xf>
    <xf numFmtId="0" fontId="10" fillId="0" borderId="65" xfId="0" applyFont="1" applyBorder="1" applyProtection="1">
      <protection locked="0"/>
    </xf>
    <xf numFmtId="0" fontId="8" fillId="8" borderId="171" xfId="0" applyFont="1" applyFill="1" applyBorder="1" applyAlignment="1" applyProtection="1">
      <alignment horizontal="center" vertical="center"/>
      <protection locked="0"/>
    </xf>
    <xf numFmtId="0" fontId="8" fillId="4" borderId="171" xfId="0" applyFont="1" applyFill="1" applyBorder="1" applyAlignment="1" applyProtection="1">
      <alignment horizontal="center" vertical="center"/>
      <protection locked="0"/>
    </xf>
    <xf numFmtId="0" fontId="8" fillId="4" borderId="168" xfId="0" applyFont="1" applyFill="1" applyBorder="1" applyAlignment="1" applyProtection="1">
      <alignment horizontal="center" vertical="center"/>
      <protection locked="0"/>
    </xf>
    <xf numFmtId="0" fontId="8" fillId="8" borderId="63" xfId="0" applyFont="1" applyFill="1" applyBorder="1" applyAlignment="1" applyProtection="1">
      <alignment horizontal="center" vertical="center"/>
      <protection locked="0"/>
    </xf>
    <xf numFmtId="0" fontId="10" fillId="0" borderId="98" xfId="0" applyFont="1" applyBorder="1" applyProtection="1">
      <protection locked="0"/>
    </xf>
    <xf numFmtId="0" fontId="10" fillId="0" borderId="99" xfId="0" applyFont="1" applyBorder="1" applyProtection="1">
      <protection locked="0"/>
    </xf>
    <xf numFmtId="0" fontId="10" fillId="0" borderId="101" xfId="0" applyFont="1" applyBorder="1" applyProtection="1">
      <protection locked="0"/>
    </xf>
    <xf numFmtId="0" fontId="1" fillId="16" borderId="242" xfId="0" applyFont="1" applyFill="1" applyBorder="1" applyAlignment="1">
      <alignment horizontal="center" vertical="center"/>
    </xf>
    <xf numFmtId="0" fontId="10" fillId="15" borderId="82" xfId="0" applyFont="1" applyFill="1" applyBorder="1"/>
    <xf numFmtId="0" fontId="73" fillId="0" borderId="5" xfId="0" applyFont="1" applyBorder="1" applyAlignment="1">
      <alignment horizontal="left" vertical="center"/>
    </xf>
    <xf numFmtId="0" fontId="75" fillId="0" borderId="7" xfId="0" applyFont="1" applyBorder="1" applyAlignment="1">
      <alignment vertical="center"/>
    </xf>
    <xf numFmtId="0" fontId="28" fillId="0" borderId="27" xfId="0" applyFont="1" applyBorder="1" applyAlignment="1">
      <alignment vertical="center" wrapText="1"/>
    </xf>
    <xf numFmtId="0" fontId="10" fillId="0" borderId="15" xfId="0" applyFont="1" applyBorder="1" applyAlignment="1">
      <alignment vertical="center"/>
    </xf>
    <xf numFmtId="0" fontId="20" fillId="0" borderId="126" xfId="0" applyFont="1" applyBorder="1" applyAlignment="1">
      <alignment horizontal="left" vertical="center" wrapText="1"/>
    </xf>
    <xf numFmtId="0" fontId="28" fillId="0" borderId="3" xfId="0" applyFont="1" applyBorder="1" applyAlignment="1">
      <alignment vertical="center" wrapText="1"/>
    </xf>
    <xf numFmtId="0" fontId="10" fillId="0" borderId="34" xfId="0" applyFont="1" applyBorder="1" applyAlignment="1">
      <alignment vertical="center"/>
    </xf>
    <xf numFmtId="0" fontId="28" fillId="0" borderId="70" xfId="0" applyFont="1" applyBorder="1" applyAlignment="1">
      <alignment horizontal="center" vertical="center"/>
    </xf>
    <xf numFmtId="0" fontId="10" fillId="0" borderId="70" xfId="0" applyFont="1" applyBorder="1" applyAlignment="1">
      <alignment horizontal="center"/>
    </xf>
    <xf numFmtId="0" fontId="28" fillId="0" borderId="136" xfId="0" applyFont="1" applyBorder="1" applyAlignment="1">
      <alignment horizontal="left" vertical="center" wrapText="1"/>
    </xf>
    <xf numFmtId="0" fontId="10" fillId="0" borderId="137" xfId="0" applyFont="1" applyBorder="1" applyAlignment="1">
      <alignment vertical="center"/>
    </xf>
    <xf numFmtId="0" fontId="10" fillId="0" borderId="69" xfId="0" applyFont="1" applyBorder="1"/>
    <xf numFmtId="0" fontId="10" fillId="0" borderId="64" xfId="0" applyFont="1" applyBorder="1"/>
    <xf numFmtId="0" fontId="8" fillId="0" borderId="0" xfId="0" applyFont="1" applyAlignment="1">
      <alignment vertical="center"/>
    </xf>
    <xf numFmtId="0" fontId="7" fillId="0" borderId="0" xfId="0" applyFont="1"/>
    <xf numFmtId="0" fontId="64" fillId="0" borderId="17" xfId="0" applyFont="1" applyBorder="1" applyAlignment="1">
      <alignment horizontal="left" vertical="center" wrapText="1"/>
    </xf>
    <xf numFmtId="0" fontId="65" fillId="0" borderId="29" xfId="0" applyFont="1" applyBorder="1" applyAlignment="1">
      <alignment vertical="center"/>
    </xf>
    <xf numFmtId="0" fontId="18" fillId="0" borderId="0" xfId="0" applyFont="1"/>
    <xf numFmtId="0" fontId="51" fillId="0" borderId="0" xfId="1" applyAlignment="1">
      <alignment horizontal="left" vertical="center"/>
    </xf>
    <xf numFmtId="0" fontId="28" fillId="0" borderId="17" xfId="0" applyFont="1" applyBorder="1" applyAlignment="1">
      <alignment horizontal="left" vertical="center" wrapText="1"/>
    </xf>
    <xf numFmtId="164" fontId="16" fillId="8" borderId="63" xfId="0" applyNumberFormat="1" applyFont="1" applyFill="1" applyBorder="1" applyAlignment="1">
      <alignment horizontal="center" wrapText="1"/>
    </xf>
    <xf numFmtId="0" fontId="10" fillId="0" borderId="116" xfId="0" applyFont="1" applyBorder="1" applyAlignment="1">
      <alignment horizontal="center"/>
    </xf>
    <xf numFmtId="164" fontId="16" fillId="0" borderId="19" xfId="0" applyNumberFormat="1" applyFont="1" applyBorder="1" applyAlignment="1">
      <alignment horizontal="center"/>
    </xf>
    <xf numFmtId="0" fontId="10" fillId="0" borderId="39" xfId="0" applyFont="1" applyBorder="1" applyAlignment="1">
      <alignment horizontal="center"/>
    </xf>
    <xf numFmtId="0" fontId="10" fillId="0" borderId="69" xfId="0" applyFont="1" applyBorder="1" applyProtection="1">
      <protection locked="0"/>
    </xf>
    <xf numFmtId="0" fontId="18" fillId="4" borderId="0" xfId="0" applyFont="1" applyFill="1"/>
    <xf numFmtId="0" fontId="28" fillId="0" borderId="44" xfId="0" applyFont="1" applyBorder="1" applyAlignment="1">
      <alignment vertical="center" wrapText="1"/>
    </xf>
    <xf numFmtId="0" fontId="10" fillId="0" borderId="27" xfId="0" applyFont="1" applyBorder="1" applyAlignment="1">
      <alignment vertical="center"/>
    </xf>
    <xf numFmtId="0" fontId="8" fillId="0" borderId="69" xfId="0" applyFont="1" applyBorder="1" applyAlignment="1">
      <alignment horizontal="center" vertical="center" wrapText="1"/>
    </xf>
    <xf numFmtId="0" fontId="28" fillId="0" borderId="133" xfId="0" applyFont="1" applyBorder="1" applyAlignment="1">
      <alignment horizontal="left" vertical="center" wrapText="1"/>
    </xf>
    <xf numFmtId="0" fontId="10" fillId="0" borderId="64" xfId="0" applyFont="1" applyBorder="1" applyProtection="1">
      <protection locked="0"/>
    </xf>
    <xf numFmtId="0" fontId="8" fillId="0" borderId="43" xfId="0" applyFont="1" applyBorder="1" applyAlignment="1">
      <alignment horizontal="left" vertical="center" wrapText="1"/>
    </xf>
    <xf numFmtId="0" fontId="10" fillId="0" borderId="10" xfId="0" applyFont="1" applyBorder="1" applyAlignment="1">
      <alignment vertical="center"/>
    </xf>
    <xf numFmtId="0" fontId="8" fillId="0" borderId="126" xfId="0" applyFont="1" applyBorder="1" applyAlignment="1">
      <alignment horizontal="left" vertical="center" wrapText="1"/>
    </xf>
    <xf numFmtId="0" fontId="8" fillId="8" borderId="62" xfId="0" applyFont="1" applyFill="1" applyBorder="1" applyAlignment="1" applyProtection="1">
      <alignment horizontal="center" vertical="center"/>
      <protection locked="0"/>
    </xf>
    <xf numFmtId="0" fontId="8" fillId="0" borderId="63" xfId="0" applyFont="1" applyBorder="1" applyAlignment="1">
      <alignment horizontal="center" vertical="center" wrapText="1"/>
    </xf>
    <xf numFmtId="0" fontId="10" fillId="0" borderId="65" xfId="0" applyFont="1" applyBorder="1" applyAlignment="1">
      <alignment horizontal="center"/>
    </xf>
    <xf numFmtId="0" fontId="10" fillId="0" borderId="18" xfId="0" applyFont="1" applyBorder="1" applyAlignment="1">
      <alignment horizontal="left" vertical="center"/>
    </xf>
    <xf numFmtId="0" fontId="10" fillId="0" borderId="29" xfId="0" applyFont="1" applyBorder="1" applyAlignment="1">
      <alignment horizontal="left" vertical="center"/>
    </xf>
    <xf numFmtId="0" fontId="10" fillId="0" borderId="43" xfId="0" applyFont="1" applyBorder="1" applyAlignment="1">
      <alignment horizontal="left" vertical="center"/>
    </xf>
    <xf numFmtId="0" fontId="7" fillId="0" borderId="0" xfId="0" applyFont="1" applyAlignment="1">
      <alignment horizontal="left" vertical="center"/>
    </xf>
    <xf numFmtId="0" fontId="10" fillId="0" borderId="10" xfId="0" applyFont="1" applyBorder="1" applyAlignment="1">
      <alignment horizontal="left" vertical="center"/>
    </xf>
    <xf numFmtId="0" fontId="10" fillId="0" borderId="27" xfId="0" applyFont="1" applyBorder="1" applyAlignment="1">
      <alignment horizontal="lef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8" fillId="0" borderId="28" xfId="0" applyFont="1" applyBorder="1" applyAlignment="1">
      <alignment horizontal="center" vertical="center" wrapText="1"/>
    </xf>
    <xf numFmtId="0" fontId="10" fillId="0" borderId="29" xfId="0" applyFont="1" applyBorder="1" applyAlignment="1">
      <alignment horizontal="center" vertical="center"/>
    </xf>
    <xf numFmtId="0" fontId="10" fillId="0" borderId="15" xfId="0" applyFont="1" applyBorder="1" applyAlignment="1">
      <alignment horizontal="center" vertical="center"/>
    </xf>
    <xf numFmtId="0" fontId="8" fillId="0" borderId="62" xfId="0" applyFont="1" applyBorder="1" applyAlignment="1">
      <alignment horizontal="left" vertical="center"/>
    </xf>
    <xf numFmtId="0" fontId="10" fillId="0" borderId="64" xfId="0" applyFont="1" applyBorder="1" applyAlignment="1">
      <alignment horizontal="left" vertical="center"/>
    </xf>
    <xf numFmtId="0" fontId="51" fillId="11" borderId="0" xfId="1" applyFill="1" applyAlignment="1">
      <alignment vertical="center"/>
    </xf>
    <xf numFmtId="0" fontId="76" fillId="11" borderId="0" xfId="0" applyFont="1" applyFill="1"/>
    <xf numFmtId="0" fontId="8" fillId="0" borderId="24" xfId="0" applyFont="1" applyBorder="1" applyAlignment="1">
      <alignment horizontal="center" vertical="center" wrapText="1"/>
    </xf>
    <xf numFmtId="0" fontId="10" fillId="0" borderId="34" xfId="0" applyFont="1" applyBorder="1" applyAlignment="1">
      <alignment horizontal="center" vertical="center"/>
    </xf>
    <xf numFmtId="0" fontId="16" fillId="9" borderId="192" xfId="0" applyFont="1" applyFill="1" applyBorder="1" applyAlignment="1">
      <alignment vertical="center"/>
    </xf>
    <xf numFmtId="0" fontId="16" fillId="9" borderId="117" xfId="0" applyFont="1" applyFill="1" applyBorder="1" applyAlignment="1">
      <alignment vertical="center"/>
    </xf>
    <xf numFmtId="0" fontId="8" fillId="0" borderId="69" xfId="0" applyFont="1" applyBorder="1" applyAlignment="1">
      <alignment horizontal="left" vertical="center" wrapText="1"/>
    </xf>
    <xf numFmtId="0" fontId="10" fillId="0" borderId="241" xfId="0" applyFont="1" applyBorder="1"/>
    <xf numFmtId="0" fontId="51" fillId="0" borderId="0" xfId="1" applyAlignment="1">
      <alignment wrapText="1"/>
    </xf>
    <xf numFmtId="0" fontId="20" fillId="0" borderId="69" xfId="0" applyFont="1" applyBorder="1" applyAlignment="1" applyProtection="1">
      <alignment horizontal="left" vertical="center" wrapText="1"/>
      <protection locked="0"/>
    </xf>
    <xf numFmtId="0" fontId="10" fillId="0" borderId="241" xfId="0" applyFont="1" applyBorder="1" applyProtection="1">
      <protection locked="0"/>
    </xf>
    <xf numFmtId="0" fontId="18" fillId="0" borderId="0" xfId="0" applyFont="1" applyAlignment="1">
      <alignment vertical="center"/>
    </xf>
    <xf numFmtId="0" fontId="20" fillId="0" borderId="131" xfId="0" applyFont="1" applyBorder="1" applyAlignment="1">
      <alignment horizontal="left" vertical="center" wrapText="1"/>
    </xf>
    <xf numFmtId="0" fontId="8" fillId="17" borderId="3" xfId="0" applyFont="1" applyFill="1" applyBorder="1" applyAlignment="1">
      <alignment horizontal="left" vertical="center" wrapText="1"/>
    </xf>
    <xf numFmtId="0" fontId="10" fillId="15" borderId="5" xfId="0" applyFont="1" applyFill="1" applyBorder="1" applyAlignment="1">
      <alignment horizontal="left" vertical="center" wrapText="1"/>
    </xf>
    <xf numFmtId="0" fontId="10" fillId="15" borderId="34" xfId="0" applyFont="1" applyFill="1" applyBorder="1" applyAlignment="1">
      <alignment horizontal="left" vertical="center" wrapText="1"/>
    </xf>
    <xf numFmtId="0" fontId="8" fillId="17" borderId="24" xfId="0" applyFont="1" applyFill="1" applyBorder="1" applyAlignment="1">
      <alignment horizontal="center" vertical="center" wrapText="1"/>
    </xf>
    <xf numFmtId="0" fontId="10" fillId="15" borderId="34" xfId="0" applyFont="1" applyFill="1" applyBorder="1" applyAlignment="1">
      <alignment horizontal="center" vertical="center"/>
    </xf>
    <xf numFmtId="0" fontId="10" fillId="15" borderId="5" xfId="0" applyFont="1" applyFill="1" applyBorder="1" applyAlignment="1">
      <alignment horizontal="left" vertical="center"/>
    </xf>
    <xf numFmtId="0" fontId="10" fillId="15" borderId="34" xfId="0" applyFont="1" applyFill="1" applyBorder="1" applyAlignment="1">
      <alignment horizontal="left" vertical="center"/>
    </xf>
    <xf numFmtId="0" fontId="8" fillId="17" borderId="254" xfId="0" applyFont="1" applyFill="1" applyBorder="1" applyAlignment="1">
      <alignment horizontal="left" vertical="center" wrapText="1"/>
    </xf>
    <xf numFmtId="0" fontId="10" fillId="15" borderId="255" xfId="0" applyFont="1" applyFill="1" applyBorder="1" applyAlignment="1">
      <alignment horizontal="left" vertical="center"/>
    </xf>
    <xf numFmtId="0" fontId="10" fillId="15" borderId="256" xfId="0" applyFont="1" applyFill="1" applyBorder="1" applyAlignment="1">
      <alignment horizontal="left" vertical="center"/>
    </xf>
    <xf numFmtId="0" fontId="8" fillId="17" borderId="257" xfId="0" applyFont="1" applyFill="1" applyBorder="1" applyAlignment="1">
      <alignment horizontal="center" vertical="center" wrapText="1"/>
    </xf>
    <xf numFmtId="0" fontId="10" fillId="15" borderId="256" xfId="0" applyFont="1" applyFill="1" applyBorder="1" applyAlignment="1">
      <alignment horizontal="center" vertical="center"/>
    </xf>
    <xf numFmtId="0" fontId="8" fillId="4" borderId="112" xfId="0" applyFont="1" applyFill="1" applyBorder="1" applyAlignment="1" applyProtection="1">
      <alignment horizontal="center" vertical="center"/>
      <protection locked="0"/>
    </xf>
    <xf numFmtId="0" fontId="10" fillId="0" borderId="113" xfId="0" applyFont="1" applyBorder="1" applyProtection="1">
      <protection locked="0"/>
    </xf>
    <xf numFmtId="0" fontId="8" fillId="0" borderId="63" xfId="0" applyFont="1" applyBorder="1" applyAlignment="1">
      <alignment horizontal="center" vertical="center"/>
    </xf>
    <xf numFmtId="0" fontId="10" fillId="0" borderId="114" xfId="0" applyFont="1" applyBorder="1" applyAlignment="1">
      <alignment horizontal="center"/>
    </xf>
    <xf numFmtId="0" fontId="26" fillId="0" borderId="331" xfId="0" applyFont="1" applyBorder="1" applyAlignment="1">
      <alignment horizontal="left" vertical="top" wrapText="1"/>
    </xf>
    <xf numFmtId="0" fontId="17" fillId="16" borderId="83" xfId="0" applyFont="1" applyFill="1" applyBorder="1" applyAlignment="1">
      <alignment horizontal="center" vertical="center"/>
    </xf>
    <xf numFmtId="0" fontId="17" fillId="16" borderId="192" xfId="0" applyFont="1" applyFill="1" applyBorder="1" applyAlignment="1">
      <alignment horizontal="center" vertical="center"/>
    </xf>
    <xf numFmtId="0" fontId="17" fillId="16" borderId="117" xfId="0" applyFont="1" applyFill="1" applyBorder="1" applyAlignment="1">
      <alignment horizontal="center" vertical="center"/>
    </xf>
    <xf numFmtId="0" fontId="49" fillId="3" borderId="74" xfId="0" applyFont="1" applyFill="1" applyBorder="1" applyAlignment="1">
      <alignment horizontal="center" vertical="center"/>
    </xf>
    <xf numFmtId="0" fontId="58" fillId="0" borderId="4" xfId="0" applyFont="1" applyBorder="1" applyAlignment="1">
      <alignment horizontal="center"/>
    </xf>
    <xf numFmtId="0" fontId="58" fillId="0" borderId="6" xfId="0" applyFont="1" applyBorder="1" applyAlignment="1">
      <alignment horizontal="center"/>
    </xf>
    <xf numFmtId="0" fontId="58" fillId="0" borderId="80" xfId="0" applyFont="1" applyBorder="1" applyAlignment="1">
      <alignment horizontal="center"/>
    </xf>
    <xf numFmtId="0" fontId="58" fillId="0" borderId="51" xfId="0" applyFont="1" applyBorder="1" applyAlignment="1">
      <alignment horizontal="center"/>
    </xf>
    <xf numFmtId="0" fontId="58" fillId="0" borderId="52" xfId="0" applyFont="1" applyBorder="1" applyAlignment="1">
      <alignment horizontal="center"/>
    </xf>
    <xf numFmtId="0" fontId="1" fillId="16" borderId="2" xfId="0" applyFont="1" applyFill="1" applyBorder="1" applyAlignment="1">
      <alignment horizontal="center"/>
    </xf>
    <xf numFmtId="0" fontId="10" fillId="15" borderId="76" xfId="0" applyFont="1" applyFill="1" applyBorder="1" applyAlignment="1">
      <alignment horizontal="center"/>
    </xf>
    <xf numFmtId="0" fontId="1" fillId="16" borderId="77" xfId="0" applyFont="1" applyFill="1" applyBorder="1" applyAlignment="1">
      <alignment horizontal="center" vertical="center"/>
    </xf>
    <xf numFmtId="0" fontId="4" fillId="16" borderId="77" xfId="0" applyFont="1" applyFill="1" applyBorder="1" applyAlignment="1">
      <alignment horizontal="left" vertical="center" wrapText="1"/>
    </xf>
    <xf numFmtId="0" fontId="5" fillId="15" borderId="82" xfId="0" applyFont="1" applyFill="1" applyBorder="1"/>
    <xf numFmtId="1" fontId="16" fillId="8" borderId="63" xfId="0" applyNumberFormat="1" applyFont="1" applyFill="1" applyBorder="1" applyAlignment="1">
      <alignment horizontal="center" wrapText="1"/>
    </xf>
    <xf numFmtId="0" fontId="20" fillId="8" borderId="159" xfId="0" applyFont="1" applyFill="1" applyBorder="1" applyAlignment="1" applyProtection="1">
      <alignment horizontal="center" vertical="center"/>
      <protection locked="0"/>
    </xf>
    <xf numFmtId="0" fontId="20" fillId="8" borderId="85" xfId="0" applyFont="1" applyFill="1" applyBorder="1" applyAlignment="1" applyProtection="1">
      <alignment horizontal="center" vertical="center"/>
      <protection locked="0"/>
    </xf>
    <xf numFmtId="0" fontId="20" fillId="4" borderId="171" xfId="0" applyFont="1" applyFill="1" applyBorder="1" applyAlignment="1" applyProtection="1">
      <alignment horizontal="center" vertical="center"/>
      <protection locked="0"/>
    </xf>
    <xf numFmtId="0" fontId="20" fillId="4" borderId="86" xfId="0" applyFont="1" applyFill="1" applyBorder="1" applyAlignment="1" applyProtection="1">
      <alignment horizontal="center" vertical="center"/>
      <protection locked="0"/>
    </xf>
    <xf numFmtId="0" fontId="20" fillId="4" borderId="168" xfId="0" applyFont="1" applyFill="1" applyBorder="1" applyAlignment="1" applyProtection="1">
      <alignment horizontal="center" vertical="center"/>
      <protection locked="0"/>
    </xf>
    <xf numFmtId="0" fontId="20" fillId="4" borderId="88" xfId="0" applyFont="1" applyFill="1" applyBorder="1" applyAlignment="1" applyProtection="1">
      <alignment horizontal="center" vertical="center"/>
      <protection locked="0"/>
    </xf>
    <xf numFmtId="0" fontId="8" fillId="0" borderId="17" xfId="0" applyFont="1" applyBorder="1" applyAlignment="1">
      <alignment vertical="center" wrapText="1"/>
    </xf>
    <xf numFmtId="0" fontId="10" fillId="0" borderId="115" xfId="0" applyFont="1" applyBorder="1" applyAlignment="1">
      <alignment vertical="center"/>
    </xf>
    <xf numFmtId="0" fontId="10" fillId="0" borderId="52" xfId="0" applyFont="1" applyBorder="1" applyAlignment="1">
      <alignment vertical="center"/>
    </xf>
    <xf numFmtId="0" fontId="8" fillId="0" borderId="62" xfId="0" applyFont="1" applyBorder="1" applyAlignment="1">
      <alignment horizontal="center" vertical="center" wrapText="1"/>
    </xf>
    <xf numFmtId="0" fontId="20" fillId="0" borderId="17" xfId="0" applyFont="1" applyBorder="1" applyAlignment="1">
      <alignment horizontal="left" vertical="center" wrapText="1"/>
    </xf>
    <xf numFmtId="49" fontId="8" fillId="0" borderId="62" xfId="0" applyNumberFormat="1" applyFont="1" applyBorder="1" applyAlignment="1" applyProtection="1">
      <alignment horizontal="center" vertical="center" wrapText="1"/>
      <protection locked="0"/>
    </xf>
    <xf numFmtId="0" fontId="20" fillId="0" borderId="113" xfId="0" applyFont="1" applyBorder="1" applyAlignment="1">
      <alignment horizontal="left" vertical="center" wrapText="1"/>
    </xf>
    <xf numFmtId="0" fontId="10" fillId="0" borderId="34" xfId="0" applyFont="1" applyBorder="1" applyAlignment="1">
      <alignment horizontal="left" vertical="center"/>
    </xf>
    <xf numFmtId="0" fontId="20" fillId="0" borderId="3" xfId="0" applyFont="1" applyBorder="1" applyAlignment="1">
      <alignment vertical="center" wrapText="1"/>
    </xf>
    <xf numFmtId="164" fontId="8" fillId="0" borderId="62" xfId="0" applyNumberFormat="1" applyFont="1" applyBorder="1" applyAlignment="1">
      <alignment horizontal="center" vertical="center"/>
    </xf>
    <xf numFmtId="0" fontId="8" fillId="0" borderId="97" xfId="0" applyFont="1" applyBorder="1" applyAlignment="1">
      <alignment horizontal="left" vertical="top" wrapText="1"/>
    </xf>
    <xf numFmtId="0" fontId="20" fillId="0" borderId="201" xfId="0" applyFont="1" applyBorder="1"/>
    <xf numFmtId="0" fontId="20" fillId="0" borderId="308" xfId="0" applyFont="1" applyBorder="1"/>
    <xf numFmtId="0" fontId="8" fillId="0" borderId="97" xfId="0" applyFont="1" applyBorder="1" applyAlignment="1">
      <alignment horizontal="left" vertical="center" wrapText="1"/>
    </xf>
    <xf numFmtId="0" fontId="20" fillId="0" borderId="201" xfId="0" applyFont="1" applyBorder="1" applyAlignment="1">
      <alignment vertical="center" wrapText="1"/>
    </xf>
    <xf numFmtId="0" fontId="8" fillId="0" borderId="201" xfId="0" applyFont="1" applyBorder="1" applyAlignment="1">
      <alignment vertical="center" wrapText="1"/>
    </xf>
    <xf numFmtId="0" fontId="16" fillId="0" borderId="310" xfId="0" applyFont="1" applyBorder="1" applyAlignment="1">
      <alignment vertical="center" wrapText="1"/>
    </xf>
    <xf numFmtId="0" fontId="20" fillId="0" borderId="310" xfId="0" applyFont="1" applyBorder="1"/>
    <xf numFmtId="0" fontId="20" fillId="0" borderId="311" xfId="0" applyFont="1" applyBorder="1"/>
    <xf numFmtId="0" fontId="20" fillId="8" borderId="171" xfId="0" applyFont="1" applyFill="1" applyBorder="1" applyAlignment="1" applyProtection="1">
      <alignment horizontal="center" vertical="center"/>
      <protection locked="0"/>
    </xf>
    <xf numFmtId="0" fontId="20" fillId="8" borderId="86" xfId="0" applyFont="1" applyFill="1" applyBorder="1" applyAlignment="1" applyProtection="1">
      <alignment horizontal="center" vertical="center"/>
      <protection locked="0"/>
    </xf>
    <xf numFmtId="0" fontId="8" fillId="0" borderId="197" xfId="0" applyFont="1" applyBorder="1" applyAlignment="1">
      <alignment horizontal="center" vertical="center" wrapText="1"/>
    </xf>
    <xf numFmtId="0" fontId="8" fillId="0" borderId="202" xfId="0" applyFont="1" applyBorder="1" applyAlignment="1">
      <alignment horizontal="left" vertical="center" wrapText="1"/>
    </xf>
    <xf numFmtId="0" fontId="10" fillId="0" borderId="182" xfId="0" applyFont="1" applyBorder="1" applyAlignment="1">
      <alignment horizontal="left" vertical="center"/>
    </xf>
    <xf numFmtId="0" fontId="10" fillId="0" borderId="154" xfId="0" applyFont="1" applyBorder="1" applyAlignment="1">
      <alignment horizontal="left" vertical="center"/>
    </xf>
    <xf numFmtId="0" fontId="20" fillId="0" borderId="10" xfId="0" applyFont="1" applyBorder="1" applyAlignment="1" applyProtection="1">
      <alignment horizontal="left" vertical="center" wrapText="1"/>
      <protection locked="0"/>
    </xf>
    <xf numFmtId="0" fontId="10" fillId="0" borderId="10" xfId="0" applyFont="1" applyBorder="1" applyProtection="1">
      <protection locked="0"/>
    </xf>
    <xf numFmtId="0" fontId="64" fillId="4" borderId="90" xfId="0" applyFont="1" applyFill="1" applyBorder="1" applyAlignment="1">
      <alignment horizontal="left" vertical="center" wrapText="1"/>
    </xf>
    <xf numFmtId="0" fontId="10" fillId="0" borderId="91" xfId="0" applyFont="1" applyBorder="1" applyAlignment="1">
      <alignment vertical="center" wrapText="1"/>
    </xf>
    <xf numFmtId="0" fontId="20" fillId="0" borderId="169" xfId="0" applyFont="1" applyBorder="1" applyAlignment="1">
      <alignment horizontal="right" vertical="center"/>
    </xf>
    <xf numFmtId="0" fontId="20" fillId="0" borderId="222" xfId="0" applyFont="1" applyBorder="1" applyAlignment="1">
      <alignment horizontal="right" vertical="center"/>
    </xf>
    <xf numFmtId="0" fontId="8" fillId="0" borderId="3" xfId="0" applyFont="1" applyBorder="1" applyAlignment="1">
      <alignment horizontal="left" vertical="center" wrapText="1"/>
    </xf>
    <xf numFmtId="0" fontId="10" fillId="0" borderId="5" xfId="0" applyFont="1" applyBorder="1" applyAlignment="1">
      <alignment horizontal="left" vertical="center"/>
    </xf>
    <xf numFmtId="0" fontId="31" fillId="5" borderId="312" xfId="0" applyFont="1" applyFill="1" applyBorder="1" applyAlignment="1">
      <alignment horizontal="left" wrapText="1"/>
    </xf>
    <xf numFmtId="0" fontId="9" fillId="0" borderId="313" xfId="0" applyFont="1" applyBorder="1"/>
    <xf numFmtId="0" fontId="9" fillId="0" borderId="318" xfId="0" applyFont="1" applyBorder="1"/>
    <xf numFmtId="0" fontId="16" fillId="5" borderId="313" xfId="0" applyFont="1" applyFill="1" applyBorder="1" applyAlignment="1">
      <alignment horizontal="center" vertical="center" wrapText="1"/>
    </xf>
    <xf numFmtId="0" fontId="16" fillId="0" borderId="323" xfId="0" applyFont="1" applyBorder="1" applyAlignment="1">
      <alignment horizontal="center" vertical="center"/>
    </xf>
    <xf numFmtId="0" fontId="9" fillId="0" borderId="245" xfId="0" applyFont="1" applyBorder="1"/>
    <xf numFmtId="0" fontId="9" fillId="0" borderId="297" xfId="0" applyFont="1" applyBorder="1"/>
    <xf numFmtId="1" fontId="16" fillId="7" borderId="202" xfId="0" applyNumberFormat="1" applyFont="1" applyFill="1" applyBorder="1" applyAlignment="1">
      <alignment horizontal="center" vertical="center"/>
    </xf>
    <xf numFmtId="0" fontId="9" fillId="0" borderId="182" xfId="0" applyFont="1" applyBorder="1"/>
    <xf numFmtId="0" fontId="9" fillId="0" borderId="213" xfId="0" applyFont="1" applyBorder="1"/>
    <xf numFmtId="1" fontId="16" fillId="0" borderId="202" xfId="0" applyNumberFormat="1" applyFont="1" applyBorder="1" applyAlignment="1">
      <alignment horizontal="center" vertical="center"/>
    </xf>
    <xf numFmtId="0" fontId="0" fillId="0" borderId="182" xfId="0" applyBorder="1"/>
    <xf numFmtId="0" fontId="8" fillId="0" borderId="113" xfId="0" applyFont="1" applyBorder="1" applyAlignment="1">
      <alignment horizontal="left" vertical="center" wrapText="1"/>
    </xf>
    <xf numFmtId="0" fontId="20" fillId="0" borderId="195" xfId="0" applyFont="1" applyBorder="1"/>
    <xf numFmtId="0" fontId="20" fillId="0" borderId="267" xfId="0" applyFont="1" applyBorder="1"/>
    <xf numFmtId="0" fontId="20" fillId="0" borderId="97" xfId="0" applyFont="1" applyBorder="1" applyAlignment="1">
      <alignment horizontal="left" vertical="center" wrapText="1"/>
    </xf>
    <xf numFmtId="0" fontId="8" fillId="0" borderId="309" xfId="0" applyFont="1" applyBorder="1" applyAlignment="1">
      <alignment horizontal="left" vertical="center" wrapText="1"/>
    </xf>
    <xf numFmtId="0" fontId="63" fillId="14" borderId="281" xfId="1" applyFont="1" applyFill="1" applyBorder="1" applyAlignment="1">
      <alignment horizontal="center" vertical="center" wrapText="1"/>
    </xf>
    <xf numFmtId="0" fontId="62" fillId="15" borderId="245" xfId="0" applyFont="1" applyFill="1" applyBorder="1"/>
    <xf numFmtId="0" fontId="62" fillId="15" borderId="282" xfId="0" applyFont="1" applyFill="1" applyBorder="1"/>
    <xf numFmtId="0" fontId="1" fillId="14" borderId="285" xfId="0" applyFont="1" applyFill="1" applyBorder="1" applyAlignment="1">
      <alignment horizontal="center"/>
    </xf>
    <xf numFmtId="0" fontId="0" fillId="15" borderId="286" xfId="0" applyFill="1" applyBorder="1"/>
    <xf numFmtId="0" fontId="9" fillId="15" borderId="287" xfId="0" applyFont="1" applyFill="1" applyBorder="1"/>
    <xf numFmtId="0" fontId="16" fillId="0" borderId="250" xfId="0" applyFont="1" applyBorder="1" applyAlignment="1">
      <alignment horizontal="center" vertical="center"/>
    </xf>
    <xf numFmtId="0" fontId="9" fillId="0" borderId="251" xfId="0" applyFont="1" applyBorder="1"/>
    <xf numFmtId="0" fontId="29" fillId="3" borderId="312" xfId="0" applyFont="1" applyFill="1" applyBorder="1" applyAlignment="1">
      <alignment horizontal="left" vertical="center"/>
    </xf>
    <xf numFmtId="0" fontId="9" fillId="0" borderId="314" xfId="0" applyFont="1" applyBorder="1"/>
    <xf numFmtId="0" fontId="68" fillId="11" borderId="281" xfId="0" applyFont="1" applyFill="1" applyBorder="1" applyAlignment="1">
      <alignment horizontal="center" wrapText="1"/>
    </xf>
    <xf numFmtId="0" fontId="70" fillId="11" borderId="245" xfId="0" applyFont="1" applyFill="1" applyBorder="1"/>
    <xf numFmtId="0" fontId="70" fillId="11" borderId="282" xfId="0" applyFont="1" applyFill="1" applyBorder="1"/>
    <xf numFmtId="0" fontId="70" fillId="11" borderId="283" xfId="0" applyFont="1" applyFill="1" applyBorder="1"/>
    <xf numFmtId="0" fontId="70" fillId="11" borderId="182" xfId="0" applyFont="1" applyFill="1" applyBorder="1"/>
    <xf numFmtId="0" fontId="70" fillId="11" borderId="284" xfId="0" applyFont="1" applyFill="1" applyBorder="1"/>
    <xf numFmtId="0" fontId="70" fillId="11" borderId="285" xfId="0" applyFont="1" applyFill="1" applyBorder="1"/>
    <xf numFmtId="0" fontId="70" fillId="11" borderId="286" xfId="0" applyFont="1" applyFill="1" applyBorder="1"/>
    <xf numFmtId="0" fontId="70" fillId="11" borderId="287" xfId="0" applyFont="1" applyFill="1" applyBorder="1"/>
    <xf numFmtId="0" fontId="11" fillId="4" borderId="281" xfId="0" applyFont="1" applyFill="1" applyBorder="1" applyAlignment="1" applyProtection="1">
      <alignment horizontal="left" vertical="top"/>
      <protection locked="0"/>
    </xf>
    <xf numFmtId="0" fontId="9" fillId="0" borderId="245" xfId="0" applyFont="1" applyBorder="1" applyProtection="1">
      <protection locked="0"/>
    </xf>
    <xf numFmtId="0" fontId="9" fillId="0" borderId="297" xfId="0" applyFont="1" applyBorder="1" applyProtection="1">
      <protection locked="0"/>
    </xf>
    <xf numFmtId="0" fontId="14" fillId="0" borderId="300" xfId="0" applyFont="1" applyBorder="1" applyAlignment="1" applyProtection="1">
      <alignment horizontal="left"/>
      <protection locked="0"/>
    </xf>
    <xf numFmtId="0" fontId="9" fillId="0" borderId="195" xfId="0" applyFont="1" applyBorder="1" applyProtection="1">
      <protection locked="0"/>
    </xf>
    <xf numFmtId="0" fontId="9" fillId="0" borderId="21" xfId="0" applyFont="1" applyBorder="1" applyProtection="1">
      <protection locked="0"/>
    </xf>
    <xf numFmtId="0" fontId="17" fillId="0" borderId="302" xfId="0" applyFont="1" applyBorder="1" applyAlignment="1" applyProtection="1">
      <alignment horizontal="left"/>
      <protection locked="0"/>
    </xf>
    <xf numFmtId="0" fontId="9" fillId="0" borderId="201" xfId="0" applyFont="1" applyBorder="1" applyProtection="1">
      <protection locked="0"/>
    </xf>
    <xf numFmtId="0" fontId="19" fillId="4" borderId="201" xfId="0" applyFont="1" applyFill="1" applyBorder="1" applyAlignment="1" applyProtection="1">
      <alignment horizontal="left"/>
      <protection locked="0"/>
    </xf>
    <xf numFmtId="0" fontId="9" fillId="0" borderId="7" xfId="0" applyFont="1" applyBorder="1" applyProtection="1">
      <protection locked="0"/>
    </xf>
    <xf numFmtId="0" fontId="14" fillId="0" borderId="304" xfId="0" applyFont="1" applyBorder="1" applyAlignment="1" applyProtection="1">
      <alignment horizontal="left"/>
      <protection locked="0"/>
    </xf>
    <xf numFmtId="0" fontId="9" fillId="0" borderId="199" xfId="0" applyFont="1" applyBorder="1" applyProtection="1">
      <protection locked="0"/>
    </xf>
    <xf numFmtId="0" fontId="9" fillId="0" borderId="305" xfId="0" applyFont="1" applyBorder="1" applyProtection="1">
      <protection locked="0"/>
    </xf>
    <xf numFmtId="0" fontId="26" fillId="0" borderId="283" xfId="0" applyFont="1" applyBorder="1" applyAlignment="1" applyProtection="1">
      <alignment horizontal="left" vertical="top"/>
      <protection locked="0"/>
    </xf>
    <xf numFmtId="0" fontId="0" fillId="0" borderId="182" xfId="0" applyBorder="1" applyProtection="1">
      <protection locked="0"/>
    </xf>
    <xf numFmtId="0" fontId="9" fillId="0" borderId="284" xfId="0" applyFont="1" applyBorder="1" applyProtection="1">
      <protection locked="0"/>
    </xf>
    <xf numFmtId="0" fontId="14" fillId="0" borderId="285" xfId="0" applyFont="1" applyBorder="1" applyAlignment="1" applyProtection="1">
      <alignment horizontal="left" vertical="top"/>
      <protection locked="0"/>
    </xf>
    <xf numFmtId="0" fontId="0" fillId="0" borderId="286" xfId="0" applyBorder="1" applyProtection="1">
      <protection locked="0"/>
    </xf>
    <xf numFmtId="0" fontId="9" fillId="0" borderId="287" xfId="0" applyFont="1" applyBorder="1" applyProtection="1">
      <protection locked="0"/>
    </xf>
    <xf numFmtId="0" fontId="27" fillId="3" borderId="306" xfId="0" applyFont="1" applyFill="1" applyBorder="1" applyAlignment="1">
      <alignment horizontal="left" vertical="center"/>
    </xf>
    <xf numFmtId="0" fontId="9" fillId="0" borderId="264" xfId="0" applyFont="1" applyBorder="1"/>
    <xf numFmtId="0" fontId="9" fillId="0" borderId="307" xfId="0" applyFont="1" applyBorder="1"/>
    <xf numFmtId="1" fontId="16" fillId="0" borderId="325" xfId="0" applyNumberFormat="1" applyFont="1" applyBorder="1" applyAlignment="1">
      <alignment horizontal="center" vertical="center"/>
    </xf>
    <xf numFmtId="0" fontId="0" fillId="0" borderId="286" xfId="0" applyBorder="1"/>
    <xf numFmtId="0" fontId="9" fillId="0" borderId="326" xfId="0" applyFont="1" applyBorder="1"/>
    <xf numFmtId="1" fontId="16" fillId="5" borderId="321" xfId="0" applyNumberFormat="1" applyFont="1" applyFill="1" applyBorder="1" applyAlignment="1">
      <alignment horizontal="center" vertical="center"/>
    </xf>
    <xf numFmtId="0" fontId="31" fillId="5" borderId="312" xfId="0" applyFont="1" applyFill="1" applyBorder="1" applyAlignment="1">
      <alignment horizontal="right"/>
    </xf>
    <xf numFmtId="0" fontId="1" fillId="0" borderId="245" xfId="0" applyFont="1" applyBorder="1" applyAlignment="1">
      <alignment horizontal="center" vertical="center" wrapText="1"/>
    </xf>
    <xf numFmtId="0" fontId="5" fillId="0" borderId="282" xfId="0" applyFont="1" applyBorder="1" applyAlignment="1">
      <alignment horizontal="center"/>
    </xf>
    <xf numFmtId="0" fontId="1" fillId="0" borderId="182" xfId="0" applyFont="1" applyBorder="1" applyAlignment="1">
      <alignment horizontal="center"/>
    </xf>
    <xf numFmtId="0" fontId="5" fillId="0" borderId="284" xfId="0" applyFont="1" applyBorder="1" applyAlignment="1">
      <alignment horizontal="center"/>
    </xf>
    <xf numFmtId="0" fontId="5" fillId="0" borderId="286" xfId="0" applyFont="1" applyBorder="1" applyAlignment="1">
      <alignment horizontal="center"/>
    </xf>
    <xf numFmtId="0" fontId="5" fillId="0" borderId="287" xfId="0" applyFont="1" applyBorder="1" applyAlignment="1">
      <alignment horizontal="center"/>
    </xf>
    <xf numFmtId="0" fontId="17" fillId="16" borderId="50" xfId="0" applyFont="1" applyFill="1" applyBorder="1" applyAlignment="1">
      <alignment horizontal="center" vertical="center"/>
    </xf>
    <xf numFmtId="0" fontId="9" fillId="15" borderId="184" xfId="0" applyFont="1" applyFill="1" applyBorder="1"/>
    <xf numFmtId="0" fontId="9" fillId="15" borderId="52" xfId="0" applyFont="1" applyFill="1" applyBorder="1"/>
    <xf numFmtId="0" fontId="48" fillId="3" borderId="53" xfId="0" applyFont="1" applyFill="1" applyBorder="1" applyAlignment="1">
      <alignment horizontal="left" vertical="center"/>
    </xf>
    <xf numFmtId="0" fontId="60" fillId="0" borderId="32" xfId="0" applyFont="1" applyBorder="1"/>
    <xf numFmtId="0" fontId="60" fillId="0" borderId="33" xfId="0" applyFont="1" applyBorder="1"/>
    <xf numFmtId="0" fontId="16" fillId="16" borderId="31" xfId="0" applyFont="1" applyFill="1" applyBorder="1" applyAlignment="1">
      <alignment horizontal="center"/>
    </xf>
    <xf numFmtId="0" fontId="9" fillId="15" borderId="33" xfId="0" applyFont="1" applyFill="1" applyBorder="1" applyAlignment="1">
      <alignment horizontal="center"/>
    </xf>
    <xf numFmtId="0" fontId="1" fillId="0" borderId="281" xfId="0" applyFont="1" applyBorder="1" applyAlignment="1">
      <alignment horizontal="center" vertical="center"/>
    </xf>
    <xf numFmtId="0" fontId="1" fillId="0" borderId="245" xfId="0" applyFont="1" applyBorder="1" applyAlignment="1">
      <alignment horizontal="center" vertical="center"/>
    </xf>
    <xf numFmtId="0" fontId="1" fillId="0" borderId="283" xfId="0" applyFont="1" applyBorder="1" applyAlignment="1">
      <alignment horizontal="center" vertical="center"/>
    </xf>
    <xf numFmtId="0" fontId="1" fillId="0" borderId="182" xfId="0" applyFont="1" applyBorder="1" applyAlignment="1">
      <alignment horizontal="center" vertical="center"/>
    </xf>
    <xf numFmtId="0" fontId="1" fillId="0" borderId="285" xfId="0" applyFont="1" applyBorder="1" applyAlignment="1">
      <alignment horizontal="center" vertical="center"/>
    </xf>
    <xf numFmtId="0" fontId="1" fillId="0" borderId="286" xfId="0" applyFont="1" applyBorder="1" applyAlignment="1">
      <alignment horizontal="center" vertical="center"/>
    </xf>
    <xf numFmtId="0" fontId="8" fillId="0" borderId="57" xfId="0" applyFont="1" applyBorder="1" applyAlignment="1">
      <alignment horizontal="left" vertical="center" wrapText="1"/>
    </xf>
    <xf numFmtId="0" fontId="10" fillId="0" borderId="58" xfId="0" applyFont="1" applyBorder="1" applyAlignment="1">
      <alignment horizontal="left" vertical="center"/>
    </xf>
    <xf numFmtId="0" fontId="10" fillId="0" borderId="59" xfId="0" applyFont="1" applyBorder="1" applyAlignment="1">
      <alignment horizontal="left" vertical="center"/>
    </xf>
    <xf numFmtId="0" fontId="8" fillId="0" borderId="60" xfId="0" applyFont="1" applyBorder="1" applyAlignment="1">
      <alignment horizontal="center" vertical="center" wrapText="1"/>
    </xf>
    <xf numFmtId="0" fontId="10" fillId="0" borderId="59" xfId="0" applyFont="1" applyBorder="1" applyAlignment="1">
      <alignment horizontal="center" vertical="center"/>
    </xf>
    <xf numFmtId="0" fontId="8" fillId="0" borderId="45" xfId="0" applyFont="1" applyBorder="1" applyAlignment="1">
      <alignment horizontal="center" vertical="center" wrapText="1"/>
    </xf>
    <xf numFmtId="0" fontId="10" fillId="0" borderId="154" xfId="0" applyFont="1" applyBorder="1" applyAlignment="1">
      <alignment horizontal="center" vertical="center"/>
    </xf>
    <xf numFmtId="0" fontId="20" fillId="0" borderId="5" xfId="0" applyFont="1" applyBorder="1" applyAlignment="1">
      <alignment horizontal="left" vertical="center"/>
    </xf>
    <xf numFmtId="0" fontId="20" fillId="0" borderId="34" xfId="0" applyFont="1" applyBorder="1" applyAlignment="1">
      <alignment horizontal="left" vertical="center"/>
    </xf>
    <xf numFmtId="0" fontId="8" fillId="8" borderId="241" xfId="0" applyFont="1" applyFill="1" applyBorder="1" applyAlignment="1" applyProtection="1">
      <alignment horizontal="center" vertical="center"/>
      <protection locked="0"/>
    </xf>
    <xf numFmtId="0" fontId="8" fillId="0" borderId="44" xfId="0" applyFont="1" applyBorder="1" applyAlignment="1">
      <alignment vertical="center" wrapText="1"/>
    </xf>
    <xf numFmtId="0" fontId="8" fillId="4" borderId="90" xfId="0" applyFont="1" applyFill="1" applyBorder="1" applyAlignment="1">
      <alignment horizontal="left" vertical="center"/>
    </xf>
    <xf numFmtId="0" fontId="8" fillId="4" borderId="8" xfId="0" applyFont="1" applyFill="1" applyBorder="1" applyAlignment="1">
      <alignment horizontal="lef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69" xfId="0" applyFont="1" applyBorder="1" applyAlignment="1">
      <alignment horizontal="left" vertical="center"/>
    </xf>
    <xf numFmtId="0" fontId="8" fillId="8" borderId="70" xfId="0" applyFont="1" applyFill="1" applyBorder="1" applyAlignment="1" applyProtection="1">
      <alignment horizontal="center" vertical="center"/>
      <protection locked="0"/>
    </xf>
    <xf numFmtId="0" fontId="10" fillId="0" borderId="116" xfId="0" applyFont="1" applyBorder="1" applyProtection="1">
      <protection locked="0"/>
    </xf>
    <xf numFmtId="0" fontId="8" fillId="8" borderId="38" xfId="0" applyFont="1" applyFill="1" applyBorder="1" applyAlignment="1" applyProtection="1">
      <alignment horizontal="center" vertical="center"/>
      <protection locked="0"/>
    </xf>
    <xf numFmtId="0" fontId="10" fillId="0" borderId="118" xfId="0" applyFont="1" applyBorder="1" applyProtection="1">
      <protection locked="0"/>
    </xf>
    <xf numFmtId="0" fontId="8" fillId="4" borderId="38" xfId="0" applyFont="1" applyFill="1" applyBorder="1" applyAlignment="1" applyProtection="1">
      <alignment horizontal="center" vertical="center"/>
      <protection locked="0"/>
    </xf>
    <xf numFmtId="0" fontId="28" fillId="0" borderId="202" xfId="0" applyFont="1" applyBorder="1" applyAlignment="1">
      <alignment vertical="center" wrapText="1"/>
    </xf>
    <xf numFmtId="0" fontId="20" fillId="0" borderId="29" xfId="0" applyFont="1" applyBorder="1" applyAlignment="1">
      <alignment vertical="center"/>
    </xf>
    <xf numFmtId="0" fontId="20" fillId="0" borderId="28" xfId="0" applyFont="1" applyBorder="1" applyAlignment="1">
      <alignment horizontal="center" vertical="center"/>
    </xf>
    <xf numFmtId="0" fontId="10" fillId="0" borderId="12" xfId="0" applyFont="1" applyBorder="1" applyAlignment="1">
      <alignment horizontal="center"/>
    </xf>
    <xf numFmtId="164" fontId="16" fillId="0" borderId="62" xfId="0" applyNumberFormat="1" applyFont="1" applyBorder="1" applyAlignment="1">
      <alignment horizontal="center" vertical="center"/>
    </xf>
    <xf numFmtId="0" fontId="0" fillId="0" borderId="68" xfId="0" applyBorder="1" applyAlignment="1">
      <alignment horizontal="center" vertical="center"/>
    </xf>
    <xf numFmtId="1" fontId="16" fillId="0" borderId="19" xfId="0" applyNumberFormat="1" applyFont="1" applyBorder="1" applyAlignment="1">
      <alignment horizontal="center" wrapText="1"/>
    </xf>
    <xf numFmtId="0" fontId="10" fillId="0" borderId="23" xfId="0" applyFont="1" applyBorder="1" applyAlignment="1">
      <alignment horizontal="center"/>
    </xf>
    <xf numFmtId="0" fontId="8" fillId="8" borderId="86" xfId="0" applyFont="1" applyFill="1" applyBorder="1" applyAlignment="1" applyProtection="1">
      <alignment horizontal="center" vertical="center"/>
      <protection locked="0"/>
    </xf>
    <xf numFmtId="0" fontId="8" fillId="4" borderId="86" xfId="0" applyFont="1" applyFill="1" applyBorder="1" applyAlignment="1" applyProtection="1">
      <alignment horizontal="center" vertical="center"/>
      <protection locked="0"/>
    </xf>
    <xf numFmtId="0" fontId="8" fillId="4" borderId="88" xfId="0" applyFont="1" applyFill="1" applyBorder="1" applyAlignment="1" applyProtection="1">
      <alignment horizontal="center" vertical="center"/>
      <protection locked="0"/>
    </xf>
    <xf numFmtId="0" fontId="28" fillId="0" borderId="169" xfId="0" applyFont="1" applyBorder="1" applyAlignment="1">
      <alignment horizontal="right" vertical="center"/>
    </xf>
    <xf numFmtId="0" fontId="28" fillId="0" borderId="222" xfId="0" applyFont="1" applyBorder="1" applyAlignment="1">
      <alignment horizontal="right" vertical="center"/>
    </xf>
    <xf numFmtId="0" fontId="64" fillId="0" borderId="188" xfId="0" applyFont="1" applyBorder="1" applyAlignment="1">
      <alignment horizontal="left" vertical="center" wrapText="1"/>
    </xf>
    <xf numFmtId="0" fontId="28" fillId="0" borderId="142" xfId="0" applyFont="1" applyBorder="1" applyAlignment="1">
      <alignment horizontal="left" vertical="center" wrapText="1"/>
    </xf>
    <xf numFmtId="0" fontId="8" fillId="8" borderId="85" xfId="0" applyFont="1" applyFill="1" applyBorder="1" applyAlignment="1" applyProtection="1">
      <alignment horizontal="center" vertical="center"/>
      <protection locked="0"/>
    </xf>
    <xf numFmtId="0" fontId="8" fillId="0" borderId="141" xfId="0" applyFont="1" applyBorder="1" applyAlignment="1">
      <alignment horizontal="left" vertical="center" wrapText="1"/>
    </xf>
    <xf numFmtId="0" fontId="8" fillId="0" borderId="39" xfId="0" applyFont="1" applyBorder="1" applyAlignment="1">
      <alignment horizontal="left" vertical="center" wrapText="1"/>
    </xf>
    <xf numFmtId="0" fontId="10" fillId="0" borderId="39" xfId="0" applyFont="1" applyBorder="1"/>
    <xf numFmtId="0" fontId="10" fillId="0" borderId="23" xfId="0" applyFont="1" applyBorder="1"/>
    <xf numFmtId="0" fontId="28" fillId="0" borderId="138" xfId="0" applyFont="1" applyBorder="1" applyAlignment="1">
      <alignment horizontal="left" vertical="center" wrapText="1"/>
    </xf>
    <xf numFmtId="0" fontId="10" fillId="0" borderId="139" xfId="0" applyFont="1" applyBorder="1" applyAlignment="1">
      <alignment vertical="center"/>
    </xf>
    <xf numFmtId="0" fontId="8" fillId="0" borderId="188" xfId="0" applyFont="1" applyBorder="1" applyAlignment="1">
      <alignment horizontal="left" vertical="center" wrapText="1"/>
    </xf>
    <xf numFmtId="0" fontId="10" fillId="0" borderId="154" xfId="0" applyFont="1" applyBorder="1" applyAlignment="1">
      <alignment vertical="center"/>
    </xf>
    <xf numFmtId="0" fontId="28" fillId="0" borderId="126" xfId="0" applyFont="1" applyBorder="1" applyAlignment="1">
      <alignment horizontal="left" vertical="center" wrapText="1"/>
    </xf>
    <xf numFmtId="0" fontId="64" fillId="0" borderId="17" xfId="0" applyFont="1" applyBorder="1" applyAlignment="1">
      <alignment vertical="center" wrapText="1"/>
    </xf>
    <xf numFmtId="0" fontId="4" fillId="16" borderId="242" xfId="0" applyFont="1" applyFill="1" applyBorder="1" applyAlignment="1">
      <alignment horizontal="left" vertical="center" wrapText="1"/>
    </xf>
    <xf numFmtId="0" fontId="8" fillId="4" borderId="0" xfId="0" applyFont="1" applyFill="1" applyAlignment="1">
      <alignment horizontal="center"/>
    </xf>
    <xf numFmtId="0" fontId="18" fillId="0" borderId="0" xfId="0" applyFont="1" applyAlignment="1">
      <alignment horizontal="left"/>
    </xf>
    <xf numFmtId="0" fontId="16" fillId="8" borderId="147" xfId="0" applyFont="1" applyFill="1" applyBorder="1" applyAlignment="1">
      <alignment horizontal="right" vertical="center"/>
    </xf>
    <xf numFmtId="0" fontId="5" fillId="0" borderId="148" xfId="0" applyFont="1" applyBorder="1"/>
    <xf numFmtId="0" fontId="5" fillId="0" borderId="149" xfId="0" applyFont="1" applyBorder="1"/>
    <xf numFmtId="0" fontId="26" fillId="0" borderId="153" xfId="0" applyFont="1" applyBorder="1" applyAlignment="1" applyProtection="1">
      <alignment horizontal="left" vertical="top" wrapText="1"/>
      <protection locked="0"/>
    </xf>
    <xf numFmtId="0" fontId="26" fillId="0" borderId="182" xfId="0" applyFont="1" applyBorder="1" applyAlignment="1" applyProtection="1">
      <alignment horizontal="left" vertical="top" wrapText="1"/>
      <protection locked="0"/>
    </xf>
    <xf numFmtId="0" fontId="26" fillId="0" borderId="286" xfId="0" applyFont="1" applyBorder="1" applyAlignment="1" applyProtection="1">
      <alignment horizontal="left" vertical="top" wrapText="1"/>
      <protection locked="0"/>
    </xf>
    <xf numFmtId="0" fontId="64" fillId="0" borderId="131" xfId="0" applyFont="1" applyBorder="1" applyAlignment="1">
      <alignment horizontal="left" vertical="center" wrapText="1"/>
    </xf>
    <xf numFmtId="0" fontId="65" fillId="0" borderId="132" xfId="0" applyFont="1" applyBorder="1" applyAlignment="1">
      <alignment vertical="center"/>
    </xf>
    <xf numFmtId="0" fontId="20" fillId="0" borderId="138" xfId="0" applyFont="1" applyBorder="1" applyAlignment="1">
      <alignment horizontal="left" vertical="center" wrapText="1"/>
    </xf>
    <xf numFmtId="0" fontId="20" fillId="0" borderId="144" xfId="0" applyFont="1" applyBorder="1" applyAlignment="1">
      <alignment vertical="center" wrapText="1"/>
    </xf>
    <xf numFmtId="0" fontId="10" fillId="0" borderId="145" xfId="0" applyFont="1" applyBorder="1" applyAlignment="1">
      <alignment vertical="center"/>
    </xf>
    <xf numFmtId="1" fontId="16" fillId="0" borderId="168" xfId="0" applyNumberFormat="1" applyFont="1" applyBorder="1" applyAlignment="1">
      <alignment horizontal="center"/>
    </xf>
    <xf numFmtId="0" fontId="20" fillId="0" borderId="17" xfId="0" applyFont="1" applyBorder="1" applyAlignment="1">
      <alignment vertical="center" wrapText="1"/>
    </xf>
    <xf numFmtId="0" fontId="8" fillId="0" borderId="133" xfId="0" applyFont="1" applyBorder="1" applyAlignment="1">
      <alignment horizontal="left" vertical="center" wrapText="1"/>
    </xf>
    <xf numFmtId="0" fontId="49" fillId="3" borderId="245" xfId="0" applyFont="1" applyFill="1" applyBorder="1" applyAlignment="1">
      <alignment horizontal="left" vertical="center"/>
    </xf>
    <xf numFmtId="0" fontId="58" fillId="0" borderId="245" xfId="0" applyFont="1" applyBorder="1"/>
    <xf numFmtId="0" fontId="58" fillId="0" borderId="246" xfId="0" applyFont="1" applyBorder="1"/>
    <xf numFmtId="0" fontId="58" fillId="0" borderId="184" xfId="0" applyFont="1" applyBorder="1"/>
    <xf numFmtId="0" fontId="58" fillId="0" borderId="52" xfId="0" applyFont="1" applyBorder="1"/>
    <xf numFmtId="0" fontId="16" fillId="16" borderId="245" xfId="0" applyFont="1" applyFill="1" applyBorder="1" applyAlignment="1">
      <alignment horizontal="center" vertical="center"/>
    </xf>
    <xf numFmtId="0" fontId="10" fillId="15" borderId="184" xfId="0" applyFont="1" applyFill="1" applyBorder="1"/>
    <xf numFmtId="1" fontId="16" fillId="8" borderId="159" xfId="0" applyNumberFormat="1" applyFont="1" applyFill="1" applyBorder="1" applyAlignment="1">
      <alignment horizontal="center" wrapText="1"/>
    </xf>
    <xf numFmtId="0" fontId="1" fillId="16" borderId="288" xfId="0" applyFont="1" applyFill="1" applyBorder="1" applyAlignment="1">
      <alignment horizontal="center"/>
    </xf>
    <xf numFmtId="0" fontId="10" fillId="15" borderId="246" xfId="0" applyFont="1" applyFill="1" applyBorder="1" applyAlignment="1">
      <alignment horizontal="center"/>
    </xf>
    <xf numFmtId="0" fontId="10" fillId="0" borderId="98" xfId="0" applyFont="1" applyBorder="1" applyAlignment="1">
      <alignment horizontal="center"/>
    </xf>
    <xf numFmtId="0" fontId="20" fillId="4" borderId="156" xfId="0" applyFont="1" applyFill="1" applyBorder="1" applyAlignment="1" applyProtection="1">
      <alignment horizontal="left" vertical="center" wrapText="1"/>
      <protection locked="0"/>
    </xf>
    <xf numFmtId="0" fontId="10" fillId="0" borderId="204" xfId="0" applyFont="1" applyBorder="1" applyProtection="1">
      <protection locked="0"/>
    </xf>
    <xf numFmtId="0" fontId="20" fillId="0" borderId="77" xfId="0" applyFont="1" applyBorder="1" applyAlignment="1" applyProtection="1">
      <alignment horizontal="left" vertical="center" wrapText="1"/>
      <protection locked="0"/>
    </xf>
    <xf numFmtId="0" fontId="8" fillId="0" borderId="29" xfId="0" applyFont="1" applyBorder="1" applyAlignment="1">
      <alignment horizontal="left" vertical="center" wrapText="1"/>
    </xf>
    <xf numFmtId="0" fontId="10" fillId="0" borderId="10" xfId="0" applyFont="1" applyBorder="1"/>
    <xf numFmtId="0" fontId="10" fillId="0" borderId="15" xfId="0" applyFont="1" applyBorder="1"/>
    <xf numFmtId="0" fontId="20" fillId="0" borderId="168" xfId="0" applyFont="1" applyBorder="1" applyAlignment="1" applyProtection="1">
      <alignment vertical="center" wrapText="1"/>
      <protection locked="0"/>
    </xf>
    <xf numFmtId="0" fontId="10" fillId="0" borderId="39" xfId="0" applyFont="1" applyBorder="1" applyProtection="1">
      <protection locked="0"/>
    </xf>
    <xf numFmtId="0" fontId="49" fillId="3" borderId="74" xfId="0" applyFont="1" applyFill="1" applyBorder="1" applyAlignment="1">
      <alignment horizontal="left" vertical="center"/>
    </xf>
    <xf numFmtId="0" fontId="58" fillId="0" borderId="4" xfId="0" applyFont="1" applyBorder="1"/>
    <xf numFmtId="0" fontId="58" fillId="0" borderId="6" xfId="0" applyFont="1" applyBorder="1"/>
    <xf numFmtId="0" fontId="58" fillId="0" borderId="80" xfId="0" applyFont="1" applyBorder="1"/>
    <xf numFmtId="0" fontId="58" fillId="0" borderId="51" xfId="0" applyFont="1" applyBorder="1"/>
    <xf numFmtId="0" fontId="8" fillId="0" borderId="190" xfId="0" applyFont="1" applyBorder="1" applyAlignment="1">
      <alignment vertical="center" wrapText="1"/>
    </xf>
    <xf numFmtId="0" fontId="10" fillId="0" borderId="191" xfId="0" applyFont="1" applyBorder="1" applyAlignment="1">
      <alignment vertical="center"/>
    </xf>
    <xf numFmtId="0" fontId="20" fillId="18" borderId="60" xfId="0" applyFont="1" applyFill="1" applyBorder="1" applyAlignment="1">
      <alignment horizontal="left" vertical="center" wrapText="1"/>
    </xf>
    <xf numFmtId="0" fontId="10" fillId="15" borderId="58" xfId="0" applyFont="1" applyFill="1" applyBorder="1" applyAlignment="1">
      <alignment vertical="center"/>
    </xf>
    <xf numFmtId="0" fontId="10" fillId="15" borderId="221" xfId="0" applyFont="1" applyFill="1" applyBorder="1" applyAlignment="1">
      <alignment vertical="center"/>
    </xf>
    <xf numFmtId="0" fontId="8" fillId="4" borderId="8" xfId="0" applyFont="1" applyFill="1" applyBorder="1" applyAlignment="1">
      <alignment vertical="center"/>
    </xf>
    <xf numFmtId="0" fontId="20" fillId="0" borderId="131" xfId="0" applyFont="1" applyBorder="1" applyAlignment="1">
      <alignment vertical="center" wrapText="1"/>
    </xf>
    <xf numFmtId="0" fontId="20" fillId="0" borderId="3" xfId="0" applyFont="1" applyBorder="1" applyAlignment="1">
      <alignment horizontal="left" vertical="center" wrapText="1"/>
    </xf>
    <xf numFmtId="0" fontId="20" fillId="0" borderId="27" xfId="0" applyFont="1" applyBorder="1" applyAlignment="1">
      <alignment vertical="center" wrapText="1"/>
    </xf>
    <xf numFmtId="0" fontId="10" fillId="0" borderId="196" xfId="0" applyFont="1" applyBorder="1" applyProtection="1">
      <protection locked="0"/>
    </xf>
    <xf numFmtId="164" fontId="8" fillId="0" borderId="77" xfId="0" applyNumberFormat="1" applyFont="1" applyBorder="1" applyAlignment="1">
      <alignment horizontal="center" vertical="center"/>
    </xf>
    <xf numFmtId="0" fontId="20" fillId="4" borderId="10" xfId="0" applyFont="1" applyFill="1" applyBorder="1" applyAlignment="1" applyProtection="1">
      <alignment horizontal="left" vertical="center" wrapText="1"/>
      <protection locked="0"/>
    </xf>
    <xf numFmtId="0" fontId="10" fillId="0" borderId="15" xfId="0" applyFont="1" applyBorder="1" applyAlignment="1" applyProtection="1">
      <alignment vertical="center"/>
      <protection locked="0"/>
    </xf>
    <xf numFmtId="49" fontId="8" fillId="0" borderId="69" xfId="0" applyNumberFormat="1" applyFont="1" applyBorder="1" applyAlignment="1" applyProtection="1">
      <alignment horizontal="center" vertical="center" wrapText="1"/>
      <protection locked="0"/>
    </xf>
    <xf numFmtId="1" fontId="16" fillId="8" borderId="197" xfId="0" applyNumberFormat="1" applyFont="1" applyFill="1" applyBorder="1" applyAlignment="1">
      <alignment horizontal="center" wrapText="1"/>
    </xf>
    <xf numFmtId="0" fontId="10" fillId="0" borderId="101" xfId="0" applyFont="1" applyBorder="1" applyAlignment="1">
      <alignment horizontal="center"/>
    </xf>
    <xf numFmtId="0" fontId="8" fillId="8" borderId="186" xfId="0" applyFont="1" applyFill="1" applyBorder="1" applyAlignment="1" applyProtection="1">
      <alignment horizontal="center" vertical="center"/>
      <protection locked="0"/>
    </xf>
    <xf numFmtId="0" fontId="8" fillId="4" borderId="186" xfId="0" applyFont="1" applyFill="1" applyBorder="1" applyAlignment="1" applyProtection="1">
      <alignment horizontal="center" vertical="center"/>
      <protection locked="0"/>
    </xf>
    <xf numFmtId="0" fontId="26" fillId="0" borderId="180" xfId="0" applyFont="1" applyBorder="1" applyAlignment="1" applyProtection="1">
      <alignment horizontal="left" vertical="top"/>
      <protection locked="0"/>
    </xf>
    <xf numFmtId="1" fontId="16" fillId="0" borderId="203" xfId="0" applyNumberFormat="1" applyFont="1" applyBorder="1" applyAlignment="1">
      <alignment horizontal="center"/>
    </xf>
    <xf numFmtId="164" fontId="16" fillId="0" borderId="77" xfId="0" applyNumberFormat="1" applyFont="1" applyBorder="1" applyAlignment="1">
      <alignment horizontal="center" vertical="center"/>
    </xf>
    <xf numFmtId="1" fontId="8" fillId="8" borderId="185" xfId="0" applyNumberFormat="1" applyFont="1" applyFill="1" applyBorder="1" applyAlignment="1" applyProtection="1">
      <alignment horizontal="center" vertical="center"/>
      <protection locked="0"/>
    </xf>
    <xf numFmtId="0" fontId="8" fillId="4" borderId="187" xfId="0" applyFont="1" applyFill="1" applyBorder="1" applyAlignment="1" applyProtection="1">
      <alignment horizontal="center" vertical="center"/>
      <protection locked="0"/>
    </xf>
    <xf numFmtId="0" fontId="8" fillId="0" borderId="62" xfId="0" applyFont="1" applyBorder="1" applyAlignment="1">
      <alignment vertical="center" wrapText="1"/>
    </xf>
    <xf numFmtId="1" fontId="16" fillId="0" borderId="19" xfId="0" applyNumberFormat="1" applyFont="1" applyBorder="1" applyAlignment="1">
      <alignment horizontal="center"/>
    </xf>
    <xf numFmtId="0" fontId="37" fillId="0" borderId="62" xfId="0" applyFont="1" applyBorder="1" applyAlignment="1">
      <alignment horizontal="left" vertical="center" wrapText="1"/>
    </xf>
    <xf numFmtId="0" fontId="46" fillId="0" borderId="69" xfId="0" applyFont="1" applyBorder="1"/>
    <xf numFmtId="0" fontId="8" fillId="0" borderId="27" xfId="0" applyFont="1" applyBorder="1" applyAlignment="1">
      <alignment vertical="center" wrapText="1"/>
    </xf>
    <xf numFmtId="0" fontId="8" fillId="0" borderId="0" xfId="0" applyFont="1" applyAlignment="1">
      <alignment horizontal="left" vertical="center"/>
    </xf>
    <xf numFmtId="0" fontId="20" fillId="0" borderId="133" xfId="0" applyFont="1" applyBorder="1" applyAlignment="1">
      <alignment vertical="center"/>
    </xf>
    <xf numFmtId="0" fontId="8" fillId="0" borderId="3" xfId="0" applyFont="1" applyBorder="1" applyAlignment="1">
      <alignment vertical="center" wrapText="1"/>
    </xf>
    <xf numFmtId="0" fontId="20" fillId="18" borderId="24" xfId="0" applyFont="1" applyFill="1" applyBorder="1" applyAlignment="1">
      <alignment horizontal="left" vertical="center" wrapText="1"/>
    </xf>
    <xf numFmtId="0" fontId="10" fillId="15" borderId="5" xfId="0" applyFont="1" applyFill="1" applyBorder="1" applyAlignment="1">
      <alignment vertical="center"/>
    </xf>
    <xf numFmtId="0" fontId="10" fillId="15" borderId="34" xfId="0" applyFont="1" applyFill="1" applyBorder="1" applyAlignment="1">
      <alignment vertical="center"/>
    </xf>
    <xf numFmtId="0" fontId="20" fillId="0" borderId="210" xfId="0" applyFont="1" applyBorder="1" applyAlignment="1">
      <alignment vertical="center" wrapText="1"/>
    </xf>
    <xf numFmtId="0" fontId="10" fillId="0" borderId="40" xfId="0" applyFont="1" applyBorder="1" applyAlignment="1">
      <alignment vertical="center"/>
    </xf>
    <xf numFmtId="0" fontId="10" fillId="0" borderId="69" xfId="0" applyFont="1" applyBorder="1" applyAlignment="1" applyProtection="1">
      <alignment horizontal="left"/>
      <protection locked="0"/>
    </xf>
    <xf numFmtId="0" fontId="10" fillId="0" borderId="64" xfId="0" applyFont="1" applyBorder="1" applyAlignment="1" applyProtection="1">
      <alignment horizontal="left"/>
      <protection locked="0"/>
    </xf>
    <xf numFmtId="0" fontId="28" fillId="0" borderId="165" xfId="0" applyFont="1" applyBorder="1" applyAlignment="1">
      <alignment horizontal="left" vertical="center" wrapText="1"/>
    </xf>
    <xf numFmtId="0" fontId="16" fillId="10" borderId="53" xfId="0" applyFont="1" applyFill="1" applyBorder="1" applyAlignment="1">
      <alignment horizontal="left" vertical="center"/>
    </xf>
    <xf numFmtId="0" fontId="10" fillId="0" borderId="32" xfId="0" applyFont="1" applyBorder="1"/>
    <xf numFmtId="0" fontId="10" fillId="0" borderId="192" xfId="0" applyFont="1" applyBorder="1"/>
    <xf numFmtId="0" fontId="20" fillId="0" borderId="190" xfId="0" applyFont="1" applyBorder="1" applyAlignment="1">
      <alignment horizontal="left" vertical="center" wrapText="1"/>
    </xf>
    <xf numFmtId="0" fontId="20" fillId="18" borderId="155" xfId="0" applyFont="1" applyFill="1" applyBorder="1" applyAlignment="1">
      <alignment horizontal="left" vertical="center" wrapText="1"/>
    </xf>
    <xf numFmtId="0" fontId="10" fillId="15" borderId="193" xfId="0" applyFont="1" applyFill="1" applyBorder="1" applyAlignment="1">
      <alignment vertical="center"/>
    </xf>
    <xf numFmtId="0" fontId="10" fillId="15" borderId="194" xfId="0" applyFont="1" applyFill="1" applyBorder="1" applyAlignment="1">
      <alignment vertical="center"/>
    </xf>
    <xf numFmtId="0" fontId="10" fillId="0" borderId="69" xfId="0" applyFont="1" applyBorder="1" applyAlignment="1">
      <alignment horizontal="left"/>
    </xf>
    <xf numFmtId="0" fontId="10" fillId="0" borderId="64" xfId="0" applyFont="1" applyBorder="1" applyAlignment="1">
      <alignment horizontal="left"/>
    </xf>
    <xf numFmtId="0" fontId="10" fillId="0" borderId="82" xfId="0" applyFont="1" applyBorder="1"/>
    <xf numFmtId="0" fontId="10" fillId="0" borderId="82" xfId="0" applyFont="1" applyBorder="1" applyProtection="1">
      <protection locked="0"/>
    </xf>
    <xf numFmtId="0" fontId="8" fillId="18" borderId="24" xfId="0" applyFont="1" applyFill="1" applyBorder="1" applyAlignment="1">
      <alignment horizontal="left" vertical="center" wrapText="1"/>
    </xf>
    <xf numFmtId="0" fontId="10" fillId="15" borderId="201" xfId="0" applyFont="1" applyFill="1" applyBorder="1" applyAlignment="1">
      <alignment vertical="center"/>
    </xf>
    <xf numFmtId="0" fontId="49" fillId="3" borderId="2" xfId="0" applyFont="1" applyFill="1" applyBorder="1" applyAlignment="1">
      <alignment horizontal="left" vertical="center"/>
    </xf>
    <xf numFmtId="0" fontId="58" fillId="0" borderId="50" xfId="0" applyFont="1" applyBorder="1"/>
    <xf numFmtId="0" fontId="8" fillId="18" borderId="25" xfId="0" applyFont="1" applyFill="1" applyBorder="1" applyAlignment="1">
      <alignment horizontal="left" vertical="center" wrapText="1"/>
    </xf>
    <xf numFmtId="0" fontId="20" fillId="0" borderId="90" xfId="0" applyFont="1" applyBorder="1" applyAlignment="1">
      <alignment vertical="center" wrapText="1"/>
    </xf>
    <xf numFmtId="0" fontId="10" fillId="0" borderId="90" xfId="0" applyFont="1" applyBorder="1" applyAlignment="1">
      <alignment vertical="center"/>
    </xf>
    <xf numFmtId="0" fontId="8" fillId="0" borderId="141" xfId="0" applyFont="1" applyBorder="1" applyAlignment="1">
      <alignment vertical="center" wrapText="1"/>
    </xf>
    <xf numFmtId="0" fontId="20" fillId="0" borderId="27" xfId="0" applyFont="1" applyBorder="1" applyAlignment="1">
      <alignment horizontal="left" vertical="center" wrapText="1"/>
    </xf>
    <xf numFmtId="0" fontId="20" fillId="0" borderId="57" xfId="0" applyFont="1" applyBorder="1" applyAlignment="1">
      <alignment vertical="center" wrapText="1"/>
    </xf>
    <xf numFmtId="0" fontId="10" fillId="0" borderId="59" xfId="0" applyFont="1" applyBorder="1" applyAlignment="1">
      <alignment vertical="center"/>
    </xf>
    <xf numFmtId="0" fontId="20" fillId="0" borderId="43" xfId="0" applyFont="1" applyBorder="1" applyAlignment="1">
      <alignment vertical="center" wrapText="1"/>
    </xf>
    <xf numFmtId="0" fontId="20" fillId="0" borderId="190" xfId="0" applyFont="1" applyBorder="1" applyAlignment="1">
      <alignment vertical="center" wrapText="1"/>
    </xf>
    <xf numFmtId="0" fontId="20" fillId="4" borderId="43" xfId="0" applyFont="1" applyFill="1" applyBorder="1" applyAlignment="1">
      <alignment vertical="center" wrapText="1"/>
    </xf>
    <xf numFmtId="0" fontId="20" fillId="0" borderId="165" xfId="0" applyFont="1" applyBorder="1" applyAlignment="1">
      <alignment vertical="center" wrapText="1"/>
    </xf>
    <xf numFmtId="0" fontId="77" fillId="0" borderId="134" xfId="0" applyFont="1" applyBorder="1" applyAlignment="1">
      <alignment vertical="center"/>
    </xf>
    <xf numFmtId="0" fontId="10" fillId="0" borderId="223" xfId="0" applyFont="1" applyBorder="1" applyProtection="1">
      <protection locked="0"/>
    </xf>
    <xf numFmtId="0" fontId="8" fillId="0" borderId="13" xfId="0" applyFont="1" applyBorder="1" applyAlignment="1" applyProtection="1">
      <alignment horizontal="center" vertical="center"/>
      <protection locked="0"/>
    </xf>
    <xf numFmtId="0" fontId="10" fillId="0" borderId="26" xfId="0" applyFont="1" applyBorder="1" applyProtection="1">
      <protection locked="0"/>
    </xf>
    <xf numFmtId="0" fontId="8" fillId="0" borderId="19" xfId="0" applyFont="1" applyBorder="1" applyAlignment="1" applyProtection="1">
      <alignment horizontal="center" vertical="center"/>
      <protection locked="0"/>
    </xf>
    <xf numFmtId="0" fontId="20" fillId="0" borderId="270" xfId="0" applyFont="1" applyBorder="1" applyAlignment="1">
      <alignment vertical="center" wrapText="1"/>
    </xf>
    <xf numFmtId="0" fontId="10" fillId="0" borderId="272" xfId="0" applyFont="1" applyBorder="1" applyAlignment="1">
      <alignment vertical="center"/>
    </xf>
    <xf numFmtId="0" fontId="39" fillId="3" borderId="74" xfId="0" applyFont="1" applyFill="1" applyBorder="1" applyAlignment="1">
      <alignment horizontal="left" vertical="center" wrapText="1"/>
    </xf>
    <xf numFmtId="0" fontId="10" fillId="0" borderId="4" xfId="0" applyFont="1" applyBorder="1"/>
    <xf numFmtId="0" fontId="10" fillId="0" borderId="6" xfId="0" applyFont="1" applyBorder="1"/>
    <xf numFmtId="0" fontId="10" fillId="0" borderId="80" xfId="0" applyFont="1" applyBorder="1"/>
    <xf numFmtId="0" fontId="10" fillId="0" borderId="51" xfId="0" applyFont="1" applyBorder="1"/>
    <xf numFmtId="0" fontId="10" fillId="0" borderId="52" xfId="0" applyFont="1" applyBorder="1"/>
    <xf numFmtId="0" fontId="20" fillId="0" borderId="188" xfId="0" applyFont="1" applyBorder="1" applyAlignment="1">
      <alignment horizontal="left" vertical="center" wrapText="1"/>
    </xf>
    <xf numFmtId="0" fontId="8" fillId="0" borderId="126" xfId="0" applyFont="1" applyBorder="1" applyAlignment="1">
      <alignment vertical="center" wrapText="1"/>
    </xf>
    <xf numFmtId="0" fontId="8" fillId="0" borderId="131" xfId="0" applyFont="1" applyBorder="1" applyAlignment="1">
      <alignment vertical="center" wrapText="1"/>
    </xf>
    <xf numFmtId="0" fontId="8" fillId="0" borderId="202" xfId="0" applyFont="1" applyBorder="1" applyAlignment="1">
      <alignment horizontal="left" wrapText="1"/>
    </xf>
    <xf numFmtId="0" fontId="10" fillId="0" borderId="154" xfId="0" applyFont="1" applyBorder="1"/>
    <xf numFmtId="0" fontId="10" fillId="0" borderId="229" xfId="0" applyFont="1" applyBorder="1" applyProtection="1">
      <protection locked="0"/>
    </xf>
    <xf numFmtId="0" fontId="10" fillId="0" borderId="230" xfId="0" applyFont="1" applyBorder="1"/>
    <xf numFmtId="1" fontId="16" fillId="0" borderId="168" xfId="0" applyNumberFormat="1" applyFont="1" applyBorder="1" applyAlignment="1">
      <alignment horizontal="center" wrapText="1"/>
    </xf>
    <xf numFmtId="0" fontId="8" fillId="4" borderId="188" xfId="0" applyFont="1" applyFill="1" applyBorder="1" applyAlignment="1" applyProtection="1">
      <alignment horizontal="center" vertical="center"/>
      <protection locked="0"/>
    </xf>
    <xf numFmtId="0" fontId="10" fillId="0" borderId="100" xfId="0" applyFont="1" applyBorder="1" applyProtection="1">
      <protection locked="0"/>
    </xf>
    <xf numFmtId="0" fontId="20" fillId="4" borderId="159" xfId="0" applyFont="1" applyFill="1" applyBorder="1" applyAlignment="1">
      <alignment horizontal="right" vertical="center"/>
    </xf>
    <xf numFmtId="0" fontId="10" fillId="0" borderId="98" xfId="0" applyFont="1" applyBorder="1"/>
    <xf numFmtId="0" fontId="20" fillId="4" borderId="224" xfId="0" applyFont="1" applyFill="1" applyBorder="1" applyAlignment="1">
      <alignment vertical="center" wrapText="1"/>
    </xf>
    <xf numFmtId="0" fontId="20" fillId="0" borderId="225" xfId="0" applyFont="1" applyBorder="1" applyAlignment="1">
      <alignment vertical="center"/>
    </xf>
    <xf numFmtId="49" fontId="8" fillId="0" borderId="106" xfId="0" applyNumberFormat="1" applyFont="1" applyBorder="1" applyAlignment="1" applyProtection="1">
      <alignment horizontal="center" vertical="center" wrapText="1"/>
      <protection locked="0"/>
    </xf>
    <xf numFmtId="0" fontId="10" fillId="0" borderId="170" xfId="0" applyFont="1" applyBorder="1" applyProtection="1">
      <protection locked="0"/>
    </xf>
    <xf numFmtId="0" fontId="8" fillId="4" borderId="62" xfId="0" applyFont="1" applyFill="1" applyBorder="1" applyAlignment="1">
      <alignment horizontal="left" vertical="center" wrapText="1"/>
    </xf>
    <xf numFmtId="0" fontId="10" fillId="0" borderId="204" xfId="0" applyFont="1" applyBorder="1"/>
    <xf numFmtId="49" fontId="8" fillId="0" borderId="62" xfId="0" applyNumberFormat="1" applyFont="1" applyBorder="1" applyAlignment="1" applyProtection="1">
      <alignment horizontal="center" vertical="center"/>
      <protection locked="0"/>
    </xf>
    <xf numFmtId="0" fontId="51" fillId="0" borderId="0" xfId="1" applyAlignment="1">
      <alignment vertical="center"/>
    </xf>
    <xf numFmtId="0" fontId="8" fillId="0" borderId="27" xfId="0" applyFont="1" applyBorder="1" applyAlignment="1">
      <alignment horizontal="left" vertical="center" wrapText="1"/>
    </xf>
    <xf numFmtId="0" fontId="16" fillId="12" borderId="147" xfId="0" applyFont="1" applyFill="1" applyBorder="1" applyAlignment="1">
      <alignment horizontal="right" vertical="center"/>
    </xf>
    <xf numFmtId="0" fontId="5" fillId="13" borderId="148" xfId="0" applyFont="1" applyFill="1" applyBorder="1"/>
    <xf numFmtId="0" fontId="5" fillId="13" borderId="149" xfId="0" applyFont="1" applyFill="1" applyBorder="1"/>
    <xf numFmtId="0" fontId="49" fillId="3" borderId="74" xfId="0" applyFont="1" applyFill="1" applyBorder="1" applyAlignment="1">
      <alignment horizontal="left" vertical="center" wrapText="1"/>
    </xf>
    <xf numFmtId="0" fontId="28" fillId="0" borderId="232" xfId="0" applyFont="1" applyBorder="1" applyAlignment="1">
      <alignment horizontal="left" vertical="center" wrapText="1"/>
    </xf>
    <xf numFmtId="0" fontId="10" fillId="0" borderId="33" xfId="0" applyFont="1" applyBorder="1" applyAlignment="1">
      <alignment vertical="center"/>
    </xf>
    <xf numFmtId="49" fontId="8" fillId="0" borderId="77" xfId="0" applyNumberFormat="1" applyFont="1" applyBorder="1" applyAlignment="1" applyProtection="1">
      <alignment horizontal="center" vertical="center"/>
      <protection locked="0"/>
    </xf>
    <xf numFmtId="1" fontId="16" fillId="8" borderId="185" xfId="0" applyNumberFormat="1" applyFont="1" applyFill="1" applyBorder="1" applyAlignment="1">
      <alignment horizontal="center" wrapText="1"/>
    </xf>
    <xf numFmtId="1" fontId="16" fillId="0" borderId="187" xfId="0" applyNumberFormat="1" applyFont="1" applyBorder="1" applyAlignment="1">
      <alignment horizontal="center"/>
    </xf>
    <xf numFmtId="0" fontId="8" fillId="0" borderId="77" xfId="0" applyFont="1" applyBorder="1" applyAlignment="1">
      <alignment horizontal="left" vertical="center" wrapText="1"/>
    </xf>
    <xf numFmtId="0" fontId="8" fillId="8" borderId="185" xfId="0" applyFont="1" applyFill="1" applyBorder="1" applyAlignment="1" applyProtection="1">
      <alignment horizontal="center" vertical="center"/>
      <protection locked="0"/>
    </xf>
    <xf numFmtId="0" fontId="16" fillId="8" borderId="186" xfId="0" applyFont="1" applyFill="1" applyBorder="1" applyAlignment="1" applyProtection="1">
      <alignment horizontal="center" vertical="center"/>
      <protection locked="0"/>
    </xf>
    <xf numFmtId="0" fontId="5" fillId="0" borderId="22" xfId="0" applyFont="1" applyBorder="1" applyProtection="1">
      <protection locked="0"/>
    </xf>
    <xf numFmtId="0" fontId="20" fillId="0" borderId="185" xfId="0" applyFont="1" applyBorder="1" applyAlignment="1">
      <alignment horizontal="center" vertical="center"/>
    </xf>
    <xf numFmtId="0" fontId="20" fillId="4" borderId="126" xfId="0" applyFont="1" applyFill="1" applyBorder="1" applyAlignment="1">
      <alignment vertical="center" wrapText="1"/>
    </xf>
    <xf numFmtId="0" fontId="64" fillId="4" borderId="17" xfId="0" applyFont="1" applyFill="1" applyBorder="1" applyAlignment="1">
      <alignment vertical="center" wrapText="1"/>
    </xf>
    <xf numFmtId="0" fontId="64" fillId="0" borderId="27" xfId="0" applyFont="1" applyBorder="1" applyAlignment="1">
      <alignment vertical="center" wrapText="1"/>
    </xf>
    <xf numFmtId="0" fontId="65" fillId="0" borderId="15" xfId="0" applyFont="1" applyBorder="1" applyAlignment="1">
      <alignment vertical="center"/>
    </xf>
    <xf numFmtId="0" fontId="20" fillId="0" borderId="8" xfId="0" applyFont="1" applyBorder="1" applyAlignment="1">
      <alignment vertical="center"/>
    </xf>
    <xf numFmtId="0" fontId="10" fillId="0" borderId="8" xfId="0" applyFont="1" applyBorder="1" applyAlignment="1">
      <alignment vertical="center"/>
    </xf>
    <xf numFmtId="0" fontId="20" fillId="0" borderId="210" xfId="0" applyFont="1" applyBorder="1" applyAlignment="1">
      <alignment horizontal="left" vertical="center" wrapText="1"/>
    </xf>
    <xf numFmtId="0" fontId="18" fillId="0" borderId="0" xfId="0" applyFont="1" applyAlignment="1">
      <alignment horizontal="left" vertical="center"/>
    </xf>
    <xf numFmtId="0" fontId="10" fillId="0" borderId="225" xfId="0" applyFont="1" applyBorder="1" applyAlignment="1">
      <alignment vertical="center"/>
    </xf>
    <xf numFmtId="0" fontId="28" fillId="4" borderId="131" xfId="0" applyFont="1" applyFill="1" applyBorder="1" applyAlignment="1">
      <alignment vertical="center" wrapText="1"/>
    </xf>
    <xf numFmtId="0" fontId="64" fillId="0" borderId="3" xfId="0" applyFont="1" applyBorder="1" applyAlignment="1">
      <alignment horizontal="left" vertical="center" wrapText="1"/>
    </xf>
    <xf numFmtId="0" fontId="65" fillId="0" borderId="34" xfId="0" applyFont="1" applyBorder="1" applyAlignment="1">
      <alignment vertical="center"/>
    </xf>
    <xf numFmtId="0" fontId="20" fillId="0" borderId="62" xfId="0" applyFont="1" applyBorder="1" applyAlignment="1" applyProtection="1">
      <alignment vertical="center" wrapText="1"/>
      <protection locked="0"/>
    </xf>
    <xf numFmtId="0" fontId="28" fillId="4" borderId="126" xfId="0" applyFont="1" applyFill="1" applyBorder="1" applyAlignment="1">
      <alignment vertical="center" wrapText="1"/>
    </xf>
    <xf numFmtId="0" fontId="64" fillId="4" borderId="126" xfId="0" applyFont="1" applyFill="1" applyBorder="1" applyAlignment="1">
      <alignment vertical="center" wrapText="1"/>
    </xf>
    <xf numFmtId="0" fontId="65" fillId="0" borderId="91" xfId="0" applyFont="1" applyBorder="1" applyAlignment="1">
      <alignment vertical="center"/>
    </xf>
    <xf numFmtId="0" fontId="20" fillId="4" borderId="141" xfId="0" applyFont="1" applyFill="1" applyBorder="1" applyAlignment="1">
      <alignment vertical="center" wrapText="1"/>
    </xf>
    <xf numFmtId="0" fontId="1" fillId="16" borderId="82" xfId="0" applyFont="1" applyFill="1" applyBorder="1" applyAlignment="1">
      <alignment horizontal="center" vertical="center"/>
    </xf>
    <xf numFmtId="0" fontId="26" fillId="8" borderId="291" xfId="0" applyFont="1" applyFill="1" applyBorder="1" applyAlignment="1">
      <alignment horizontal="center"/>
    </xf>
    <xf numFmtId="0" fontId="26" fillId="8" borderId="293" xfId="0" applyFont="1" applyFill="1" applyBorder="1" applyAlignment="1">
      <alignment horizontal="center"/>
    </xf>
    <xf numFmtId="0" fontId="0" fillId="0" borderId="241" xfId="0" applyBorder="1" applyAlignment="1">
      <alignment horizontal="center" vertical="center"/>
    </xf>
    <xf numFmtId="0" fontId="28" fillId="0" borderId="265" xfId="0" applyFont="1" applyBorder="1" applyAlignment="1">
      <alignment horizontal="left" vertical="center" wrapText="1"/>
    </xf>
    <xf numFmtId="0" fontId="10" fillId="0" borderId="266" xfId="0" applyFont="1" applyBorder="1" applyAlignment="1">
      <alignment vertical="center"/>
    </xf>
    <xf numFmtId="0" fontId="10" fillId="0" borderId="70" xfId="0" applyFont="1" applyBorder="1" applyProtection="1">
      <protection locked="0"/>
    </xf>
    <xf numFmtId="0" fontId="10" fillId="0" borderId="89" xfId="0" applyFont="1" applyBorder="1" applyProtection="1">
      <protection locked="0"/>
    </xf>
    <xf numFmtId="0" fontId="28" fillId="0" borderId="63" xfId="0" applyFont="1" applyBorder="1" applyAlignment="1">
      <alignment horizontal="center" vertical="center"/>
    </xf>
    <xf numFmtId="0" fontId="28" fillId="0" borderId="17" xfId="0" applyFont="1" applyBorder="1" applyAlignment="1">
      <alignment vertical="center" wrapText="1"/>
    </xf>
    <xf numFmtId="0" fontId="10" fillId="0" borderId="43" xfId="0" applyFont="1" applyBorder="1" applyAlignment="1">
      <alignment vertical="center"/>
    </xf>
    <xf numFmtId="0" fontId="8" fillId="0" borderId="28" xfId="0" applyFont="1" applyBorder="1" applyAlignment="1">
      <alignment horizontal="center" vertical="center"/>
    </xf>
    <xf numFmtId="0" fontId="10" fillId="0" borderId="9" xfId="0" applyFont="1" applyBorder="1"/>
    <xf numFmtId="0" fontId="26" fillId="8" borderId="292" xfId="0" applyFont="1" applyFill="1" applyBorder="1" applyAlignment="1">
      <alignment horizontal="center"/>
    </xf>
    <xf numFmtId="0" fontId="26" fillId="8" borderId="294" xfId="0" applyFont="1" applyFill="1" applyBorder="1" applyAlignment="1">
      <alignment horizontal="center"/>
    </xf>
    <xf numFmtId="0" fontId="26" fillId="4" borderId="291" xfId="0" applyFont="1" applyFill="1" applyBorder="1" applyAlignment="1">
      <alignment horizontal="center"/>
    </xf>
    <xf numFmtId="0" fontId="26" fillId="4" borderId="293" xfId="0" applyFont="1" applyFill="1" applyBorder="1" applyAlignment="1">
      <alignment horizontal="center"/>
    </xf>
    <xf numFmtId="0" fontId="26" fillId="4" borderId="292" xfId="0" applyFont="1" applyFill="1" applyBorder="1" applyAlignment="1">
      <alignment horizontal="center"/>
    </xf>
    <xf numFmtId="0" fontId="26" fillId="4" borderId="294" xfId="0" applyFont="1" applyFill="1" applyBorder="1" applyAlignment="1">
      <alignment horizontal="center"/>
    </xf>
    <xf numFmtId="0" fontId="4" fillId="16" borderId="77" xfId="0" applyFont="1" applyFill="1" applyBorder="1" applyAlignment="1">
      <alignment horizontal="center" vertical="center" wrapText="1"/>
    </xf>
    <xf numFmtId="0" fontId="4" fillId="16" borderId="82" xfId="0" applyFont="1" applyFill="1" applyBorder="1" applyAlignment="1">
      <alignment horizontal="center" vertical="center" wrapText="1"/>
    </xf>
    <xf numFmtId="0" fontId="20" fillId="4" borderId="234" xfId="0" applyFont="1" applyFill="1" applyBorder="1" applyAlignment="1">
      <alignment vertical="center" wrapText="1"/>
    </xf>
    <xf numFmtId="0" fontId="28" fillId="0" borderId="295" xfId="0" applyFont="1" applyBorder="1" applyAlignment="1">
      <alignment horizontal="left" vertical="center" wrapText="1"/>
    </xf>
    <xf numFmtId="0" fontId="10" fillId="0" borderId="296" xfId="0" applyFont="1" applyBorder="1" applyAlignment="1">
      <alignment vertical="center"/>
    </xf>
    <xf numFmtId="0" fontId="8" fillId="0" borderId="8" xfId="0" applyFont="1" applyBorder="1" applyAlignment="1">
      <alignment vertical="center" wrapText="1"/>
    </xf>
    <xf numFmtId="0" fontId="8" fillId="4" borderId="8" xfId="0" applyFont="1" applyFill="1" applyBorder="1" applyAlignment="1">
      <alignment vertical="center" wrapText="1"/>
    </xf>
    <xf numFmtId="0" fontId="8" fillId="4" borderId="90" xfId="0" applyFont="1" applyFill="1" applyBorder="1" applyAlignment="1">
      <alignment vertical="center" wrapText="1"/>
    </xf>
    <xf numFmtId="0" fontId="8" fillId="4" borderId="234" xfId="0" applyFont="1" applyFill="1" applyBorder="1" applyAlignment="1">
      <alignment horizontal="left" vertical="center"/>
    </xf>
    <xf numFmtId="0" fontId="8" fillId="4" borderId="234" xfId="0" applyFont="1" applyFill="1" applyBorder="1" applyAlignment="1">
      <alignment vertical="center" wrapText="1"/>
    </xf>
    <xf numFmtId="0" fontId="8" fillId="4" borderId="234" xfId="0" applyFont="1" applyFill="1" applyBorder="1" applyAlignment="1">
      <alignment horizontal="left" vertical="center" wrapText="1"/>
    </xf>
    <xf numFmtId="0" fontId="49" fillId="3" borderId="281" xfId="0" applyFont="1" applyFill="1" applyBorder="1" applyAlignment="1">
      <alignment horizontal="left" vertical="center"/>
    </xf>
    <xf numFmtId="0" fontId="49" fillId="3" borderId="282" xfId="0" applyFont="1" applyFill="1" applyBorder="1" applyAlignment="1">
      <alignment horizontal="left" vertical="center"/>
    </xf>
    <xf numFmtId="0" fontId="49" fillId="3" borderId="285" xfId="0" applyFont="1" applyFill="1" applyBorder="1" applyAlignment="1">
      <alignment horizontal="left" vertical="center"/>
    </xf>
    <xf numFmtId="0" fontId="49" fillId="3" borderId="286" xfId="0" applyFont="1" applyFill="1" applyBorder="1" applyAlignment="1">
      <alignment horizontal="left" vertical="center"/>
    </xf>
    <xf numFmtId="0" fontId="49" fillId="3" borderId="287" xfId="0" applyFont="1" applyFill="1" applyBorder="1" applyAlignment="1">
      <alignment horizontal="left" vertical="center"/>
    </xf>
    <xf numFmtId="0" fontId="8" fillId="0" borderId="234" xfId="0" applyFont="1" applyBorder="1" applyAlignment="1">
      <alignment vertical="center" wrapText="1"/>
    </xf>
    <xf numFmtId="0" fontId="64" fillId="0" borderId="238" xfId="0" applyFont="1" applyBorder="1" applyAlignment="1">
      <alignment vertical="center" wrapText="1"/>
    </xf>
    <xf numFmtId="0" fontId="65" fillId="0" borderId="134" xfId="0" applyFont="1" applyBorder="1" applyAlignment="1">
      <alignment vertical="center"/>
    </xf>
    <xf numFmtId="0" fontId="20" fillId="4" borderId="90" xfId="0" applyFont="1" applyFill="1" applyBorder="1" applyAlignment="1">
      <alignment vertical="center" wrapText="1"/>
    </xf>
    <xf numFmtId="0" fontId="20" fillId="4" borderId="8" xfId="0" applyFont="1" applyFill="1" applyBorder="1" applyAlignment="1">
      <alignment vertical="center" wrapText="1"/>
    </xf>
    <xf numFmtId="0" fontId="20" fillId="4" borderId="227" xfId="0" applyFont="1" applyFill="1" applyBorder="1" applyAlignment="1">
      <alignment vertical="center" wrapText="1"/>
    </xf>
    <xf numFmtId="0" fontId="64" fillId="0" borderId="43" xfId="0" applyFont="1" applyBorder="1" applyAlignment="1">
      <alignment horizontal="left" vertical="center" wrapText="1"/>
    </xf>
    <xf numFmtId="0" fontId="65" fillId="0" borderId="10" xfId="0" applyFont="1" applyBorder="1" applyAlignment="1">
      <alignment vertical="center"/>
    </xf>
    <xf numFmtId="0" fontId="64" fillId="0" borderId="57" xfId="0" applyFont="1" applyBorder="1" applyAlignment="1">
      <alignment horizontal="left" vertical="center" wrapText="1"/>
    </xf>
    <xf numFmtId="0" fontId="65" fillId="0" borderId="59" xfId="0" applyFont="1" applyBorder="1" applyAlignment="1">
      <alignment vertical="center"/>
    </xf>
    <xf numFmtId="0" fontId="20" fillId="4" borderId="131" xfId="0" applyFont="1" applyFill="1" applyBorder="1" applyAlignment="1">
      <alignment vertical="center" wrapText="1"/>
    </xf>
    <xf numFmtId="0" fontId="8" fillId="0" borderId="0" xfId="0" applyFont="1"/>
    <xf numFmtId="0" fontId="16" fillId="0" borderId="0" xfId="0" applyFont="1"/>
    <xf numFmtId="0" fontId="20" fillId="0" borderId="126" xfId="0" applyFont="1" applyBorder="1" applyAlignment="1">
      <alignment vertical="center"/>
    </xf>
    <xf numFmtId="0" fontId="20" fillId="0" borderId="131" xfId="0" applyFont="1" applyBorder="1" applyAlignment="1">
      <alignment vertical="center"/>
    </xf>
    <xf numFmtId="0" fontId="37" fillId="4" borderId="17" xfId="0" applyFont="1" applyFill="1" applyBorder="1" applyAlignment="1">
      <alignment vertical="center" wrapText="1"/>
    </xf>
    <xf numFmtId="0" fontId="64" fillId="0" borderId="126" xfId="0" applyFont="1" applyBorder="1" applyAlignment="1">
      <alignment vertical="center" wrapText="1"/>
    </xf>
    <xf numFmtId="0" fontId="20" fillId="4" borderId="17" xfId="0" applyFont="1" applyFill="1" applyBorder="1" applyAlignment="1">
      <alignment vertical="center" wrapText="1"/>
    </xf>
    <xf numFmtId="0" fontId="8" fillId="0" borderId="0" xfId="0" applyFont="1" applyAlignment="1">
      <alignment vertical="center" wrapText="1"/>
    </xf>
    <xf numFmtId="0" fontId="7" fillId="0" borderId="0" xfId="0" applyFont="1" applyAlignment="1">
      <alignment vertical="center"/>
    </xf>
    <xf numFmtId="0" fontId="8" fillId="0" borderId="241"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90" xfId="0" applyFont="1" applyBorder="1" applyAlignment="1">
      <alignment vertical="center" wrapText="1"/>
    </xf>
    <xf numFmtId="0" fontId="10" fillId="0" borderId="236" xfId="0" applyFont="1" applyBorder="1" applyAlignment="1">
      <alignment horizontal="center"/>
    </xf>
    <xf numFmtId="49" fontId="8" fillId="0" borderId="77" xfId="0" applyNumberFormat="1" applyFont="1" applyBorder="1" applyAlignment="1" applyProtection="1">
      <alignment horizontal="center" vertical="center" wrapText="1"/>
      <protection locked="0"/>
    </xf>
    <xf numFmtId="49" fontId="8" fillId="0" borderId="82" xfId="0" applyNumberFormat="1" applyFont="1" applyBorder="1" applyAlignment="1" applyProtection="1">
      <alignment horizontal="center" vertical="center" wrapText="1"/>
      <protection locked="0"/>
    </xf>
    <xf numFmtId="0" fontId="20" fillId="0" borderId="144" xfId="0" applyFont="1" applyBorder="1" applyAlignment="1">
      <alignment horizontal="left" vertical="center" wrapText="1"/>
    </xf>
    <xf numFmtId="0" fontId="16" fillId="16" borderId="77" xfId="0" applyFont="1" applyFill="1" applyBorder="1" applyAlignment="1">
      <alignment horizontal="center" vertical="center"/>
    </xf>
    <xf numFmtId="0" fontId="10" fillId="15" borderId="50" xfId="0" applyFont="1" applyFill="1" applyBorder="1"/>
    <xf numFmtId="0" fontId="20" fillId="0" borderId="0" xfId="0" applyFont="1" applyAlignment="1">
      <alignment vertical="center"/>
    </xf>
    <xf numFmtId="0" fontId="20" fillId="0" borderId="142" xfId="0" applyFont="1" applyBorder="1" applyAlignment="1">
      <alignment horizontal="left" vertical="center" wrapText="1"/>
    </xf>
    <xf numFmtId="49" fontId="20" fillId="0" borderId="106" xfId="0" applyNumberFormat="1" applyFont="1" applyBorder="1" applyAlignment="1" applyProtection="1">
      <alignment horizontal="center" vertical="center" wrapText="1"/>
      <protection locked="0"/>
    </xf>
    <xf numFmtId="49" fontId="20" fillId="0" borderId="196" xfId="0" applyNumberFormat="1" applyFont="1" applyBorder="1" applyAlignment="1" applyProtection="1">
      <alignment horizontal="center" vertical="center" wrapText="1"/>
      <protection locked="0"/>
    </xf>
    <xf numFmtId="1" fontId="4" fillId="8" borderId="159" xfId="0" applyNumberFormat="1" applyFont="1" applyFill="1" applyBorder="1" applyAlignment="1">
      <alignment horizontal="center" wrapText="1"/>
    </xf>
    <xf numFmtId="1" fontId="4" fillId="8" borderId="85" xfId="0" applyNumberFormat="1" applyFont="1" applyFill="1" applyBorder="1" applyAlignment="1">
      <alignment horizontal="center" wrapText="1"/>
    </xf>
    <xf numFmtId="1" fontId="4" fillId="0" borderId="168" xfId="0" applyNumberFormat="1" applyFont="1" applyBorder="1" applyAlignment="1">
      <alignment horizontal="center" wrapText="1"/>
    </xf>
    <xf numFmtId="1" fontId="4" fillId="0" borderId="88" xfId="0" applyNumberFormat="1" applyFont="1" applyBorder="1" applyAlignment="1">
      <alignment horizontal="center" wrapText="1"/>
    </xf>
    <xf numFmtId="164" fontId="20" fillId="0" borderId="77" xfId="0" applyNumberFormat="1" applyFont="1" applyBorder="1" applyAlignment="1">
      <alignment horizontal="center" vertical="center"/>
    </xf>
    <xf numFmtId="164" fontId="20" fillId="0" borderId="68" xfId="0" applyNumberFormat="1" applyFont="1" applyBorder="1" applyAlignment="1">
      <alignment horizontal="center" vertical="center"/>
    </xf>
    <xf numFmtId="49" fontId="8" fillId="0" borderId="196" xfId="0" applyNumberFormat="1" applyFont="1" applyBorder="1" applyAlignment="1" applyProtection="1">
      <alignment horizontal="center" vertical="center" wrapText="1"/>
      <protection locked="0"/>
    </xf>
    <xf numFmtId="1" fontId="16" fillId="8" borderId="85" xfId="0" applyNumberFormat="1" applyFont="1" applyFill="1" applyBorder="1" applyAlignment="1">
      <alignment horizontal="center" wrapText="1"/>
    </xf>
    <xf numFmtId="1" fontId="16" fillId="0" borderId="88" xfId="0" applyNumberFormat="1" applyFont="1" applyBorder="1" applyAlignment="1">
      <alignment horizontal="center" wrapText="1"/>
    </xf>
    <xf numFmtId="164" fontId="8" fillId="0" borderId="68" xfId="0" applyNumberFormat="1" applyFont="1" applyBorder="1" applyAlignment="1">
      <alignment horizontal="center" vertical="center"/>
    </xf>
    <xf numFmtId="0" fontId="51" fillId="0" borderId="0" xfId="1"/>
    <xf numFmtId="0" fontId="20" fillId="0" borderId="274" xfId="0" applyFont="1" applyBorder="1" applyAlignment="1" applyProtection="1">
      <alignment horizontal="left" vertical="center" wrapText="1"/>
      <protection locked="0"/>
    </xf>
    <xf numFmtId="0" fontId="20" fillId="4" borderId="77" xfId="0" applyFont="1" applyFill="1" applyBorder="1" applyAlignment="1" applyProtection="1">
      <alignment horizontal="left" vertical="center" wrapText="1"/>
      <protection locked="0"/>
    </xf>
    <xf numFmtId="0" fontId="8" fillId="0" borderId="77" xfId="0" applyFont="1" applyBorder="1" applyAlignment="1">
      <alignment horizontal="center" vertical="center" wrapText="1"/>
    </xf>
    <xf numFmtId="0" fontId="8" fillId="0" borderId="5" xfId="0" applyFont="1" applyBorder="1" applyAlignment="1">
      <alignment horizontal="left" vertical="center" wrapText="1"/>
    </xf>
    <xf numFmtId="0" fontId="20" fillId="0" borderId="7" xfId="0" applyFont="1" applyBorder="1" applyAlignment="1">
      <alignment horizontal="left" vertical="center"/>
    </xf>
    <xf numFmtId="0" fontId="8" fillId="4" borderId="3" xfId="0" applyFont="1" applyFill="1" applyBorder="1" applyAlignment="1">
      <alignment horizontal="left" vertical="center" wrapText="1"/>
    </xf>
    <xf numFmtId="0" fontId="30" fillId="0" borderId="0" xfId="0" applyFont="1" applyAlignment="1">
      <alignment horizontal="left" vertical="center"/>
    </xf>
    <xf numFmtId="0" fontId="7" fillId="2" borderId="28" xfId="0" applyFont="1" applyFill="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7" fillId="2" borderId="17" xfId="0" applyFont="1" applyFill="1" applyBorder="1" applyAlignment="1" applyProtection="1">
      <alignment horizontal="left" vertical="center"/>
      <protection locked="0"/>
    </xf>
    <xf numFmtId="0" fontId="10" fillId="0" borderId="43" xfId="0" applyFont="1" applyBorder="1" applyAlignment="1" applyProtection="1">
      <alignment horizontal="left" vertical="center"/>
      <protection locked="0"/>
    </xf>
    <xf numFmtId="0" fontId="10" fillId="0" borderId="27" xfId="0" applyFont="1" applyBorder="1" applyAlignment="1" applyProtection="1">
      <alignment horizontal="left" vertical="center"/>
      <protection locked="0"/>
    </xf>
    <xf numFmtId="0" fontId="7" fillId="0" borderId="13" xfId="0" applyFont="1" applyBorder="1" applyAlignment="1">
      <alignment horizontal="left" vertical="center" wrapText="1"/>
    </xf>
    <xf numFmtId="0" fontId="10" fillId="0" borderId="26" xfId="0" applyFont="1" applyBorder="1" applyAlignment="1">
      <alignment horizontal="left" vertical="center"/>
    </xf>
    <xf numFmtId="0" fontId="10" fillId="0" borderId="22" xfId="0" applyFont="1" applyBorder="1" applyAlignment="1">
      <alignment horizontal="left" vertical="center"/>
    </xf>
    <xf numFmtId="0" fontId="20" fillId="0" borderId="19" xfId="0" applyFont="1" applyBorder="1" applyAlignment="1" applyProtection="1">
      <alignment horizontal="left" vertical="center"/>
      <protection locked="0"/>
    </xf>
    <xf numFmtId="0" fontId="20" fillId="0" borderId="39"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20" fillId="0" borderId="18" xfId="0" applyFont="1" applyBorder="1" applyAlignment="1">
      <alignment horizontal="left" vertical="center"/>
    </xf>
    <xf numFmtId="0" fontId="20" fillId="0" borderId="20" xfId="0" applyFont="1" applyBorder="1" applyAlignment="1">
      <alignment horizontal="left" vertical="center"/>
    </xf>
    <xf numFmtId="0" fontId="20" fillId="0" borderId="43" xfId="0" applyFont="1" applyBorder="1" applyAlignment="1">
      <alignment horizontal="left" vertical="center"/>
    </xf>
    <xf numFmtId="0" fontId="20" fillId="0" borderId="38" xfId="0" applyFont="1" applyBorder="1" applyAlignment="1">
      <alignment horizontal="left" vertical="center"/>
    </xf>
    <xf numFmtId="0" fontId="20" fillId="0" borderId="27" xfId="0" applyFont="1" applyBorder="1" applyAlignment="1">
      <alignment horizontal="left" vertical="center"/>
    </xf>
    <xf numFmtId="0" fontId="20" fillId="0" borderId="14" xfId="0" applyFont="1" applyBorder="1" applyAlignment="1">
      <alignment horizontal="left" vertical="center"/>
    </xf>
    <xf numFmtId="0" fontId="20" fillId="0" borderId="21" xfId="0" applyFont="1" applyBorder="1" applyAlignment="1">
      <alignment horizontal="left" vertical="center"/>
    </xf>
    <xf numFmtId="0" fontId="53" fillId="3" borderId="258" xfId="0" applyFont="1" applyFill="1" applyBorder="1" applyAlignment="1">
      <alignment horizontal="left" vertical="center" wrapText="1"/>
    </xf>
    <xf numFmtId="0" fontId="55" fillId="0" borderId="258" xfId="0" applyFont="1" applyBorder="1" applyAlignment="1">
      <alignment horizontal="left" vertical="center"/>
    </xf>
    <xf numFmtId="0" fontId="20" fillId="0" borderId="195" xfId="0" applyFont="1" applyBorder="1" applyAlignment="1">
      <alignment horizontal="left" vertical="center"/>
    </xf>
    <xf numFmtId="0" fontId="7" fillId="2" borderId="13" xfId="0" applyFont="1" applyFill="1" applyBorder="1" applyAlignment="1" applyProtection="1">
      <alignment horizontal="left" vertical="center"/>
      <protection locked="0"/>
    </xf>
    <xf numFmtId="0" fontId="10" fillId="0" borderId="22" xfId="0" applyFont="1" applyBorder="1" applyAlignment="1" applyProtection="1">
      <alignment horizontal="left" vertical="center"/>
      <protection locked="0"/>
    </xf>
    <xf numFmtId="0" fontId="7" fillId="4" borderId="16" xfId="0" applyFont="1" applyFill="1" applyBorder="1" applyAlignment="1">
      <alignment horizontal="left" vertical="center"/>
    </xf>
    <xf numFmtId="0" fontId="28" fillId="0" borderId="19" xfId="0" applyFont="1" applyBorder="1" applyAlignment="1" applyProtection="1">
      <alignment horizontal="left" vertical="center"/>
      <protection locked="0"/>
    </xf>
    <xf numFmtId="0" fontId="7" fillId="11" borderId="0" xfId="0" applyFont="1" applyFill="1" applyAlignment="1">
      <alignment horizontal="left" vertical="center"/>
    </xf>
    <xf numFmtId="0" fontId="8" fillId="0" borderId="14" xfId="0" applyFont="1" applyBorder="1" applyAlignment="1">
      <alignment horizontal="left" vertical="center" wrapText="1"/>
    </xf>
    <xf numFmtId="0" fontId="1" fillId="4" borderId="0" xfId="0" applyFont="1" applyFill="1" applyAlignment="1">
      <alignment horizontal="left" vertical="center"/>
    </xf>
    <xf numFmtId="0" fontId="8" fillId="0" borderId="0" xfId="0" applyFont="1" applyAlignment="1">
      <alignment horizontal="left" vertical="center" wrapText="1"/>
    </xf>
    <xf numFmtId="0" fontId="10" fillId="0" borderId="26" xfId="0" applyFont="1" applyBorder="1" applyAlignment="1" applyProtection="1">
      <alignment horizontal="left" vertical="center"/>
      <protection locked="0"/>
    </xf>
    <xf numFmtId="0" fontId="7" fillId="0" borderId="38" xfId="0" applyFont="1" applyBorder="1" applyAlignment="1">
      <alignment horizontal="left" vertical="center"/>
    </xf>
    <xf numFmtId="0" fontId="10" fillId="0" borderId="38" xfId="0" applyFont="1" applyBorder="1" applyAlignment="1">
      <alignment horizontal="left" vertical="center"/>
    </xf>
    <xf numFmtId="0" fontId="10" fillId="0" borderId="21" xfId="0" applyFont="1" applyBorder="1" applyAlignment="1">
      <alignment horizontal="left" vertical="center"/>
    </xf>
  </cellXfs>
  <cellStyles count="2">
    <cellStyle name="Hyperlink" xfId="1" builtinId="8"/>
    <cellStyle name="Normal" xfId="0" builtinId="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colors>
    <mruColors>
      <color rgb="FFCCCCFF"/>
      <color rgb="FF009900"/>
      <color rgb="FF66FF66"/>
      <color rgb="FFFFFF99"/>
      <color rgb="FFCC1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17</xdr:col>
      <xdr:colOff>0</xdr:colOff>
      <xdr:row>4</xdr:row>
      <xdr:rowOff>0</xdr:rowOff>
    </xdr:from>
    <xdr:ext cx="609600" cy="30480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12</xdr:col>
      <xdr:colOff>323850</xdr:colOff>
      <xdr:row>0</xdr:row>
      <xdr:rowOff>47624</xdr:rowOff>
    </xdr:from>
    <xdr:to>
      <xdr:col>12</xdr:col>
      <xdr:colOff>1397000</xdr:colOff>
      <xdr:row>3</xdr:row>
      <xdr:rowOff>104774</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48625" y="47624"/>
          <a:ext cx="1076325" cy="1076325"/>
        </a:xfrm>
        <a:prstGeom prst="rect">
          <a:avLst/>
        </a:prstGeom>
      </xdr:spPr>
    </xdr:pic>
    <xdr:clientData/>
  </xdr:twoCellAnchor>
  <xdr:twoCellAnchor editAs="oneCell">
    <xdr:from>
      <xdr:col>0</xdr:col>
      <xdr:colOff>66676</xdr:colOff>
      <xdr:row>0</xdr:row>
      <xdr:rowOff>0</xdr:rowOff>
    </xdr:from>
    <xdr:to>
      <xdr:col>5</xdr:col>
      <xdr:colOff>25400</xdr:colOff>
      <xdr:row>3</xdr:row>
      <xdr:rowOff>151838</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676" y="0"/>
          <a:ext cx="904874" cy="11710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energy.gov/energysaver/articles/passive-solar-home-design" TargetMode="External"/><Relationship Id="rId21" Type="http://schemas.openxmlformats.org/officeDocument/2006/relationships/hyperlink" Target="http://energy.gov/energysaver/articles/radiant-barriers" TargetMode="External"/><Relationship Id="rId42" Type="http://schemas.openxmlformats.org/officeDocument/2006/relationships/hyperlink" Target="http://pvwatts.nrel.gov/" TargetMode="External"/><Relationship Id="rId47" Type="http://schemas.openxmlformats.org/officeDocument/2006/relationships/hyperlink" Target="http://www.nrel.gov/docs/fy03osti/26466.pdf" TargetMode="External"/><Relationship Id="rId63" Type="http://schemas.openxmlformats.org/officeDocument/2006/relationships/hyperlink" Target="https://pluginnc.com/wp-content/uploads/2016/06/Updated-EV-Ready-Homes-Builder-Guide.pdf" TargetMode="External"/><Relationship Id="rId68" Type="http://schemas.openxmlformats.org/officeDocument/2006/relationships/hyperlink" Target="https://www.wers.us/" TargetMode="External"/><Relationship Id="rId7" Type="http://schemas.openxmlformats.org/officeDocument/2006/relationships/hyperlink" Target="http://www.biodiesel.org/using-biodiesel/finding-biodiesel" TargetMode="External"/><Relationship Id="rId71" Type="http://schemas.openxmlformats.org/officeDocument/2006/relationships/vmlDrawing" Target="../drawings/vmlDrawing1.vml"/><Relationship Id="rId2" Type="http://schemas.openxmlformats.org/officeDocument/2006/relationships/hyperlink" Target="http://www.energystar.gov/index.cfm?c=bldrs_lenders_raters.nh_v3_guidelines" TargetMode="External"/><Relationship Id="rId16" Type="http://schemas.openxmlformats.org/officeDocument/2006/relationships/hyperlink" Target="https://www.energystar.gov/ia/partners/bldrs_lenders_raters/downloads/Thermal_Enclosure_Factsheet.pdf?94d2-dda3" TargetMode="External"/><Relationship Id="rId29" Type="http://schemas.openxmlformats.org/officeDocument/2006/relationships/hyperlink" Target="https://basc.pnnl.gov/information/air-balance" TargetMode="External"/><Relationship Id="rId11" Type="http://schemas.openxmlformats.org/officeDocument/2006/relationships/hyperlink" Target="http://www.energystar.gov/products/certified-products" TargetMode="External"/><Relationship Id="rId24" Type="http://schemas.openxmlformats.org/officeDocument/2006/relationships/hyperlink" Target="http://energy.gov/energysaver/articles/energy-efficient-windows" TargetMode="External"/><Relationship Id="rId32" Type="http://schemas.openxmlformats.org/officeDocument/2006/relationships/hyperlink" Target="https://basc.pnnl.gov/information/ecm-air-handler-fans" TargetMode="External"/><Relationship Id="rId37" Type="http://schemas.openxmlformats.org/officeDocument/2006/relationships/hyperlink" Target="http://energy.gov/energysaver/articles/selecting-new-water-heater" TargetMode="External"/><Relationship Id="rId40" Type="http://schemas.openxmlformats.org/officeDocument/2006/relationships/hyperlink" Target="http://www.embedded.com/design/connectivity/4431025/Home-automation-system-design--the-basics" TargetMode="External"/><Relationship Id="rId45" Type="http://schemas.openxmlformats.org/officeDocument/2006/relationships/hyperlink" Target="http://www.epa.gov/iaq/co.html" TargetMode="External"/><Relationship Id="rId53" Type="http://schemas.openxmlformats.org/officeDocument/2006/relationships/hyperlink" Target="http://www.crawlspaces.org/" TargetMode="External"/><Relationship Id="rId58" Type="http://schemas.openxmlformats.org/officeDocument/2006/relationships/hyperlink" Target="http://justeconomicswnc.org/" TargetMode="External"/><Relationship Id="rId66" Type="http://schemas.openxmlformats.org/officeDocument/2006/relationships/hyperlink" Target="https://extension.colostate.edu/topic-areas/yard-garden/protecting-trees-during-construction-7-420/" TargetMode="External"/><Relationship Id="rId5" Type="http://schemas.openxmlformats.org/officeDocument/2006/relationships/hyperlink" Target="http://www.nrel.gov/docs/fy03osti/26466.pdf" TargetMode="External"/><Relationship Id="rId61" Type="http://schemas.openxmlformats.org/officeDocument/2006/relationships/hyperlink" Target="https://www.epa.gov/indoor-air-quality-iaq/should-you-have-air-ducts-your-home-cleaned" TargetMode="External"/><Relationship Id="rId19" Type="http://schemas.openxmlformats.org/officeDocument/2006/relationships/hyperlink" Target="https://basc.pnnl.gov/resource-guides/unvented-attic-insulation" TargetMode="External"/><Relationship Id="rId14" Type="http://schemas.openxmlformats.org/officeDocument/2006/relationships/hyperlink" Target="https://basc.pnnl.gov/resource-guides/slab-edge-insulation" TargetMode="External"/><Relationship Id="rId22" Type="http://schemas.openxmlformats.org/officeDocument/2006/relationships/hyperlink" Target="https://www.energystar.gov/products/certified-products/detail/roof-products" TargetMode="External"/><Relationship Id="rId27" Type="http://schemas.openxmlformats.org/officeDocument/2006/relationships/hyperlink" Target="http://energy.gov/sites/prod/files/2014/01/f6/1_1g_ba_innov_ductsconditionedspace_011713.pdf" TargetMode="External"/><Relationship Id="rId30" Type="http://schemas.openxmlformats.org/officeDocument/2006/relationships/hyperlink" Target="http://energy.gov/energysaver/articles/ductless-mini-split-heat-pumps" TargetMode="External"/><Relationship Id="rId35" Type="http://schemas.openxmlformats.org/officeDocument/2006/relationships/hyperlink" Target="https://www.energystar.gov/products/certified-products/detail/clothes_dryers" TargetMode="External"/><Relationship Id="rId43" Type="http://schemas.openxmlformats.org/officeDocument/2006/relationships/hyperlink" Target="http://www.epa.gov/indoorairplus/" TargetMode="External"/><Relationship Id="rId48" Type="http://schemas.openxmlformats.org/officeDocument/2006/relationships/hyperlink" Target="http://www.epa.gov/iaq/co.html" TargetMode="External"/><Relationship Id="rId56" Type="http://schemas.openxmlformats.org/officeDocument/2006/relationships/hyperlink" Target="http://homerecycling.sustainablesources.com/" TargetMode="External"/><Relationship Id="rId64" Type="http://schemas.openxmlformats.org/officeDocument/2006/relationships/hyperlink" Target="https://pluginnc.com/wp-content/uploads/2016/06/Residentail_Handbok_FINAL.pdf" TargetMode="External"/><Relationship Id="rId69" Type="http://schemas.openxmlformats.org/officeDocument/2006/relationships/printerSettings" Target="../printerSettings/printerSettings1.bin"/><Relationship Id="rId8" Type="http://schemas.openxmlformats.org/officeDocument/2006/relationships/hyperlink" Target="https://www.buncombecounty.org/common/planning/WorkforceHousingApplication.pdf" TargetMode="External"/><Relationship Id="rId51" Type="http://schemas.openxmlformats.org/officeDocument/2006/relationships/hyperlink" Target="https://www.wbdg.org/resources/cwmgmt.php" TargetMode="External"/><Relationship Id="rId72" Type="http://schemas.openxmlformats.org/officeDocument/2006/relationships/comments" Target="../comments1.xml"/><Relationship Id="rId3" Type="http://schemas.openxmlformats.org/officeDocument/2006/relationships/hyperlink" Target="http://energy.gov/energysaver/articles/blower-door-tests" TargetMode="External"/><Relationship Id="rId12" Type="http://schemas.openxmlformats.org/officeDocument/2006/relationships/hyperlink" Target="http://www.resnet.us/hers-index?" TargetMode="External"/><Relationship Id="rId17" Type="http://schemas.openxmlformats.org/officeDocument/2006/relationships/hyperlink" Target="http://www.nrel.gov/docs/fy01osti/26449.pdf" TargetMode="External"/><Relationship Id="rId25" Type="http://schemas.openxmlformats.org/officeDocument/2006/relationships/hyperlink" Target="http://www.susdesign.com/overhang/" TargetMode="External"/><Relationship Id="rId33" Type="http://schemas.openxmlformats.org/officeDocument/2006/relationships/hyperlink" Target="http://energy.gov/energysaver/articles/thermostats" TargetMode="External"/><Relationship Id="rId38" Type="http://schemas.openxmlformats.org/officeDocument/2006/relationships/hyperlink" Target="http://energy.gov/public-services/homes/saving-electricity/lighting" TargetMode="External"/><Relationship Id="rId46" Type="http://schemas.openxmlformats.org/officeDocument/2006/relationships/hyperlink" Target="http://energy.gov/energysaver/articles/whole-house-ventilation" TargetMode="External"/><Relationship Id="rId59" Type="http://schemas.openxmlformats.org/officeDocument/2006/relationships/hyperlink" Target="https://www.energystar.gov/ia/partners/bldrs_lenders_raters/downloads/ENERGY_STAR_V3_HVAC_Quality_Installation_Guidebook.pdf" TargetMode="External"/><Relationship Id="rId67" Type="http://schemas.openxmlformats.org/officeDocument/2006/relationships/hyperlink" Target="https://www.epa.gov/radon/radon-standards-practice" TargetMode="External"/><Relationship Id="rId20" Type="http://schemas.openxmlformats.org/officeDocument/2006/relationships/hyperlink" Target="http://energy.gov/sites/prod/files/2014/01/f6/1_1c_ba_innov_unventedconditionedattics_011713.pdf" TargetMode="External"/><Relationship Id="rId41" Type="http://schemas.openxmlformats.org/officeDocument/2006/relationships/hyperlink" Target="http://www.dsireusa.org/" TargetMode="External"/><Relationship Id="rId54" Type="http://schemas.openxmlformats.org/officeDocument/2006/relationships/hyperlink" Target="http://web.ornl.gov/sci/roofs+walls/facts/foundation/foundation.pdf" TargetMode="External"/><Relationship Id="rId62" Type="http://schemas.openxmlformats.org/officeDocument/2006/relationships/hyperlink" Target="https://nadca.com/homeowners/proper-cleaning-methods" TargetMode="External"/><Relationship Id="rId70" Type="http://schemas.openxmlformats.org/officeDocument/2006/relationships/drawing" Target="../drawings/drawing1.xml"/><Relationship Id="rId1" Type="http://schemas.openxmlformats.org/officeDocument/2006/relationships/hyperlink" Target="http://ncenergystar.org/energy-code" TargetMode="External"/><Relationship Id="rId6" Type="http://schemas.openxmlformats.org/officeDocument/2006/relationships/hyperlink" Target="http://www.afdc.energy.gov/fuels/biodiesel_benefits.html" TargetMode="External"/><Relationship Id="rId15" Type="http://schemas.openxmlformats.org/officeDocument/2006/relationships/hyperlink" Target="http://www.buildingscience.com/documents/information-sheets/slab-edge-insulation" TargetMode="External"/><Relationship Id="rId23" Type="http://schemas.openxmlformats.org/officeDocument/2006/relationships/hyperlink" Target="http://www.nfrc.org/WindowRatings/" TargetMode="External"/><Relationship Id="rId28" Type="http://schemas.openxmlformats.org/officeDocument/2006/relationships/hyperlink" Target="http://www.buildingscience.com/documents/information-sheets/information-sheet-transfer-grilles-and-ducts" TargetMode="External"/><Relationship Id="rId36" Type="http://schemas.openxmlformats.org/officeDocument/2006/relationships/hyperlink" Target="https://www.energystar.gov/ia/new_homes/features/WaterHtrs_062906.pdf" TargetMode="External"/><Relationship Id="rId49" Type="http://schemas.openxmlformats.org/officeDocument/2006/relationships/hyperlink" Target="http://www.energyvanguard.com/blog-building-science-HERS-BPI/bid/56595/Don-t-Compromise-Get-a-Low-Level-Carbon-Monoxide-Monitor" TargetMode="External"/><Relationship Id="rId57" Type="http://schemas.openxmlformats.org/officeDocument/2006/relationships/hyperlink" Target="https://www.wbdg.org/wbdg_approach.php" TargetMode="External"/><Relationship Id="rId10" Type="http://schemas.openxmlformats.org/officeDocument/2006/relationships/hyperlink" Target="http://www.energystar.gov/products/certified-products" TargetMode="External"/><Relationship Id="rId31" Type="http://schemas.openxmlformats.org/officeDocument/2006/relationships/hyperlink" Target="http://energy.gov/energysaver/articles/radiant-heating" TargetMode="External"/><Relationship Id="rId44" Type="http://schemas.openxmlformats.org/officeDocument/2006/relationships/hyperlink" Target="http://www.buildingscience.com/documents/information-sheets/air-barriers-airtight-drywall-approach" TargetMode="External"/><Relationship Id="rId52" Type="http://schemas.openxmlformats.org/officeDocument/2006/relationships/hyperlink" Target="https://www.wbdg.org/resources/cwmgmt.php" TargetMode="External"/><Relationship Id="rId60" Type="http://schemas.openxmlformats.org/officeDocument/2006/relationships/hyperlink" Target="https://www.energystar.gov/ia/partners/bldrs_lenders_raters/downloads/ENERGY_STAR_V3_HVAC_Quality_Installation_Guidebook.pdf" TargetMode="External"/><Relationship Id="rId65" Type="http://schemas.openxmlformats.org/officeDocument/2006/relationships/hyperlink" Target="http://www.bpi.org/certified-professionals/healthy-home-evaluator" TargetMode="External"/><Relationship Id="rId4" Type="http://schemas.openxmlformats.org/officeDocument/2006/relationships/hyperlink" Target="http://www.nrel.gov/docs/fy02osti/31318.pdf" TargetMode="External"/><Relationship Id="rId9" Type="http://schemas.openxmlformats.org/officeDocument/2006/relationships/hyperlink" Target="http://www.garden.org/ediblelandscaping" TargetMode="External"/><Relationship Id="rId13" Type="http://schemas.openxmlformats.org/officeDocument/2006/relationships/hyperlink" Target="http://energy.gov/energysaver/articles/blower-door-tests" TargetMode="External"/><Relationship Id="rId18" Type="http://schemas.openxmlformats.org/officeDocument/2006/relationships/hyperlink" Target="http://www.buildingscience.com/documents/insights/bsi-030-advanced-framing" TargetMode="External"/><Relationship Id="rId39" Type="http://schemas.openxmlformats.org/officeDocument/2006/relationships/hyperlink" Target="http://energy.gov/energysaver/articles/lighting-controls" TargetMode="External"/><Relationship Id="rId34" Type="http://schemas.openxmlformats.org/officeDocument/2006/relationships/hyperlink" Target="https://www.energystar.gov/products/certified-products/detail/refrigerators" TargetMode="External"/><Relationship Id="rId50" Type="http://schemas.openxmlformats.org/officeDocument/2006/relationships/hyperlink" Target="http://www.arb.ca.gov/toxics/compwood/consumer_faq.pdf" TargetMode="External"/><Relationship Id="rId55" Type="http://schemas.openxmlformats.org/officeDocument/2006/relationships/hyperlink" Target="http://www.greenbuildingadvisor.com/blogs/dept/musings/all-about-rainscreens"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bae.ncsu.edu/topic/raingarden/stormwater.htm" TargetMode="External"/><Relationship Id="rId7" Type="http://schemas.openxmlformats.org/officeDocument/2006/relationships/hyperlink" Target="http://justeconomicswnc.org/" TargetMode="External"/><Relationship Id="rId2" Type="http://schemas.openxmlformats.org/officeDocument/2006/relationships/hyperlink" Target="http://portal.ncdenr.org/web/lr/publications" TargetMode="External"/><Relationship Id="rId1" Type="http://schemas.openxmlformats.org/officeDocument/2006/relationships/hyperlink" Target="http://clean-water.uwex.edu/pubs/pdf/erosion.pdf" TargetMode="External"/><Relationship Id="rId6" Type="http://schemas.openxmlformats.org/officeDocument/2006/relationships/hyperlink" Target="https://www.wbdg.org/resources/cwmgmt.php" TargetMode="External"/><Relationship Id="rId5" Type="http://schemas.openxmlformats.org/officeDocument/2006/relationships/hyperlink" Target="http://www.epa.gov/indoorairplus/" TargetMode="External"/><Relationship Id="rId10" Type="http://schemas.openxmlformats.org/officeDocument/2006/relationships/comments" Target="../comments2.xml"/><Relationship Id="rId4" Type="http://schemas.openxmlformats.org/officeDocument/2006/relationships/hyperlink" Target="http://www.energystar.gov/index.cfm?c=bldrs_lenders_raters.nh_v3_guidelines" TargetMode="External"/><Relationship Id="rId9"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34"/>
  <sheetViews>
    <sheetView tabSelected="1" topLeftCell="A42" zoomScaleNormal="100" zoomScaleSheetLayoutView="75" workbookViewId="0">
      <selection activeCell="V55" sqref="V55"/>
    </sheetView>
  </sheetViews>
  <sheetFormatPr defaultColWidth="14.42578125" defaultRowHeight="15" customHeight="1" x14ac:dyDescent="0.25"/>
  <cols>
    <col min="1" max="1" width="2.7109375" style="10" customWidth="1"/>
    <col min="2" max="2" width="3" style="10" customWidth="1"/>
    <col min="3" max="4" width="2.7109375" style="10" customWidth="1"/>
    <col min="5" max="5" width="3" customWidth="1"/>
    <col min="6" max="6" width="5.28515625" customWidth="1"/>
    <col min="7" max="7" width="54.7109375" customWidth="1"/>
    <col min="8" max="8" width="7.5703125" customWidth="1"/>
    <col min="9" max="9" width="5.5703125" style="719" customWidth="1"/>
    <col min="10" max="10" width="4.5703125" style="719" customWidth="1"/>
    <col min="11" max="11" width="0.140625" customWidth="1"/>
    <col min="12" max="12" width="24" customWidth="1"/>
    <col min="13" max="13" width="21.85546875" style="731" customWidth="1"/>
    <col min="14" max="14" width="1.85546875" customWidth="1"/>
    <col min="15" max="15" width="9.140625" customWidth="1"/>
    <col min="16" max="16" width="7" customWidth="1"/>
    <col min="17" max="17" width="5" customWidth="1"/>
    <col min="18" max="18" width="8.42578125" customWidth="1"/>
    <col min="19" max="20" width="9.140625" customWidth="1"/>
  </cols>
  <sheetData>
    <row r="1" spans="1:20" ht="44.1" customHeight="1" x14ac:dyDescent="0.25">
      <c r="A1" s="1077" t="s">
        <v>660</v>
      </c>
      <c r="B1" s="1078"/>
      <c r="C1" s="1078"/>
      <c r="D1" s="1078"/>
      <c r="E1" s="1078"/>
      <c r="F1" s="1078"/>
      <c r="G1" s="1078"/>
      <c r="H1" s="1078"/>
      <c r="I1" s="1078"/>
      <c r="J1" s="1078"/>
      <c r="K1" s="1078"/>
      <c r="L1" s="1078"/>
      <c r="M1" s="1079"/>
      <c r="N1" s="2"/>
      <c r="O1" s="3"/>
      <c r="P1" s="3"/>
      <c r="Q1" s="3"/>
      <c r="R1" s="3"/>
      <c r="S1" s="3"/>
      <c r="T1" s="3"/>
    </row>
    <row r="2" spans="1:20" ht="27.6" customHeight="1" x14ac:dyDescent="0.25">
      <c r="A2" s="1080"/>
      <c r="B2" s="1081"/>
      <c r="C2" s="1081"/>
      <c r="D2" s="1081"/>
      <c r="E2" s="1081"/>
      <c r="F2" s="1081"/>
      <c r="G2" s="1081"/>
      <c r="H2" s="1081"/>
      <c r="I2" s="1081"/>
      <c r="J2" s="1081"/>
      <c r="K2" s="1081"/>
      <c r="L2" s="1081"/>
      <c r="M2" s="1082"/>
      <c r="N2" s="4"/>
      <c r="O2" s="5"/>
      <c r="P2" s="5"/>
      <c r="Q2" s="5"/>
      <c r="R2" s="5"/>
      <c r="S2" s="5"/>
      <c r="T2" s="5"/>
    </row>
    <row r="3" spans="1:20" ht="8.25" customHeight="1" thickBot="1" x14ac:dyDescent="0.3">
      <c r="A3" s="1083"/>
      <c r="B3" s="1084"/>
      <c r="C3" s="1084"/>
      <c r="D3" s="1084"/>
      <c r="E3" s="1084"/>
      <c r="F3" s="1084"/>
      <c r="G3" s="1084"/>
      <c r="H3" s="1084"/>
      <c r="I3" s="1084"/>
      <c r="J3" s="1084"/>
      <c r="K3" s="1084"/>
      <c r="L3" s="1084"/>
      <c r="M3" s="1085"/>
      <c r="N3" s="4"/>
      <c r="O3" s="5"/>
      <c r="P3" s="5"/>
      <c r="Q3" s="5"/>
      <c r="R3" s="5"/>
      <c r="S3" s="5"/>
      <c r="T3" s="5"/>
    </row>
    <row r="4" spans="1:20" s="291" customFormat="1" ht="18.75" customHeight="1" x14ac:dyDescent="0.25">
      <c r="A4" s="1086" t="s">
        <v>5</v>
      </c>
      <c r="B4" s="1087"/>
      <c r="C4" s="1087"/>
      <c r="D4" s="1087"/>
      <c r="E4" s="1087"/>
      <c r="F4" s="1087"/>
      <c r="G4" s="1087"/>
      <c r="H4" s="1087"/>
      <c r="I4" s="1087"/>
      <c r="J4" s="1087"/>
      <c r="K4" s="1088"/>
      <c r="L4" s="594" t="s">
        <v>564</v>
      </c>
      <c r="M4" s="595" t="s">
        <v>513</v>
      </c>
      <c r="N4" s="289"/>
      <c r="O4" s="290"/>
      <c r="P4" s="290"/>
      <c r="Q4" s="290"/>
      <c r="R4" s="290"/>
      <c r="S4" s="290"/>
      <c r="T4" s="290"/>
    </row>
    <row r="5" spans="1:20" s="291" customFormat="1" ht="14.25" customHeight="1" x14ac:dyDescent="0.25">
      <c r="A5" s="1089" t="s">
        <v>729</v>
      </c>
      <c r="B5" s="1090"/>
      <c r="C5" s="1090"/>
      <c r="D5" s="1090"/>
      <c r="E5" s="1090"/>
      <c r="F5" s="1090"/>
      <c r="G5" s="1090"/>
      <c r="H5" s="1090"/>
      <c r="I5" s="1090"/>
      <c r="J5" s="1090"/>
      <c r="K5" s="1091"/>
      <c r="L5" s="292">
        <v>2544</v>
      </c>
      <c r="M5" s="596">
        <v>4</v>
      </c>
      <c r="N5" s="289"/>
      <c r="O5" s="290"/>
      <c r="P5" s="290"/>
      <c r="Q5" s="290"/>
      <c r="R5" s="290"/>
      <c r="S5" s="290"/>
      <c r="T5" s="290"/>
    </row>
    <row r="6" spans="1:20" s="291" customFormat="1" ht="22.5" customHeight="1" x14ac:dyDescent="0.25">
      <c r="A6" s="1092" t="s">
        <v>7</v>
      </c>
      <c r="B6" s="1093"/>
      <c r="C6" s="1093"/>
      <c r="D6" s="1093"/>
      <c r="E6" s="1093"/>
      <c r="F6" s="1093"/>
      <c r="G6" s="1094" t="s">
        <v>730</v>
      </c>
      <c r="H6" s="1093"/>
      <c r="I6" s="1093"/>
      <c r="J6" s="1093"/>
      <c r="K6" s="1095"/>
      <c r="L6" s="293" t="s">
        <v>8</v>
      </c>
      <c r="M6" s="597">
        <f>H37</f>
        <v>232</v>
      </c>
      <c r="N6" s="289"/>
      <c r="O6" s="290"/>
      <c r="P6" s="290"/>
      <c r="Q6" s="290"/>
      <c r="R6" s="290"/>
      <c r="S6" s="290"/>
      <c r="T6" s="290"/>
    </row>
    <row r="7" spans="1:20" s="291" customFormat="1" ht="27.75" customHeight="1" x14ac:dyDescent="0.25">
      <c r="A7" s="1096" t="s">
        <v>9</v>
      </c>
      <c r="B7" s="1097"/>
      <c r="C7" s="1097"/>
      <c r="D7" s="1097"/>
      <c r="E7" s="1097"/>
      <c r="F7" s="1097"/>
      <c r="G7" s="1097"/>
      <c r="H7" s="1097"/>
      <c r="I7" s="1097"/>
      <c r="J7" s="1097"/>
      <c r="K7" s="1097"/>
      <c r="L7" s="1097"/>
      <c r="M7" s="1098"/>
      <c r="N7" s="294"/>
      <c r="O7" s="295"/>
      <c r="P7" s="295"/>
      <c r="Q7" s="295"/>
      <c r="R7" s="295"/>
      <c r="S7" s="295"/>
      <c r="T7" s="295"/>
    </row>
    <row r="8" spans="1:20" s="291" customFormat="1" ht="17.25" customHeight="1" x14ac:dyDescent="0.25">
      <c r="A8" s="1099" t="s">
        <v>731</v>
      </c>
      <c r="B8" s="1100"/>
      <c r="C8" s="1100"/>
      <c r="D8" s="1100"/>
      <c r="E8" s="1100"/>
      <c r="F8" s="1100"/>
      <c r="G8" s="1100"/>
      <c r="H8" s="1100"/>
      <c r="I8" s="1100"/>
      <c r="J8" s="1100"/>
      <c r="K8" s="1100"/>
      <c r="L8" s="1100"/>
      <c r="M8" s="1101"/>
      <c r="N8" s="296"/>
      <c r="O8" s="290"/>
      <c r="P8" s="290"/>
      <c r="Q8" s="290"/>
      <c r="R8" s="290"/>
      <c r="S8" s="290"/>
      <c r="T8" s="290"/>
    </row>
    <row r="9" spans="1:20" s="291" customFormat="1" ht="21" customHeight="1" thickBot="1" x14ac:dyDescent="0.3">
      <c r="A9" s="1102" t="s">
        <v>781</v>
      </c>
      <c r="B9" s="1103"/>
      <c r="C9" s="1103"/>
      <c r="D9" s="1103"/>
      <c r="E9" s="1103"/>
      <c r="F9" s="1103"/>
      <c r="G9" s="1103"/>
      <c r="H9" s="1103"/>
      <c r="I9" s="1103"/>
      <c r="J9" s="1103"/>
      <c r="K9" s="1103"/>
      <c r="L9" s="1103"/>
      <c r="M9" s="1104"/>
      <c r="N9" s="296"/>
      <c r="O9" s="290"/>
      <c r="P9" s="290"/>
      <c r="Q9" s="290"/>
      <c r="R9" s="290"/>
      <c r="S9" s="290"/>
      <c r="T9" s="290"/>
    </row>
    <row r="10" spans="1:20" ht="21.75" customHeight="1" thickBot="1" x14ac:dyDescent="0.3">
      <c r="A10" s="1105" t="s">
        <v>18</v>
      </c>
      <c r="B10" s="1106"/>
      <c r="C10" s="1106"/>
      <c r="D10" s="1106"/>
      <c r="E10" s="1106"/>
      <c r="F10" s="1106"/>
      <c r="G10" s="1106"/>
      <c r="H10" s="1106"/>
      <c r="I10" s="1106"/>
      <c r="J10" s="1106"/>
      <c r="K10" s="1106"/>
      <c r="L10" s="1106"/>
      <c r="M10" s="1107"/>
      <c r="N10" s="4"/>
      <c r="O10" s="5"/>
      <c r="P10" s="5"/>
      <c r="Q10" s="5"/>
      <c r="R10" s="5"/>
      <c r="S10" s="5"/>
      <c r="T10" s="5"/>
    </row>
    <row r="11" spans="1:20" s="5" customFormat="1" ht="77.099999999999994" customHeight="1" x14ac:dyDescent="0.2">
      <c r="A11" s="598" t="s">
        <v>20</v>
      </c>
      <c r="B11" s="1062" t="s">
        <v>617</v>
      </c>
      <c r="C11" s="1063"/>
      <c r="D11" s="1063"/>
      <c r="E11" s="1063"/>
      <c r="F11" s="1063"/>
      <c r="G11" s="1063"/>
      <c r="H11" s="1063"/>
      <c r="I11" s="1063"/>
      <c r="J11" s="1063"/>
      <c r="K11" s="1063"/>
      <c r="L11" s="1063"/>
      <c r="M11" s="1064"/>
    </row>
    <row r="12" spans="1:20" s="5" customFormat="1" ht="30" customHeight="1" x14ac:dyDescent="0.2">
      <c r="A12" s="598" t="s">
        <v>21</v>
      </c>
      <c r="B12" s="1065" t="s">
        <v>704</v>
      </c>
      <c r="C12" s="1028"/>
      <c r="D12" s="1028"/>
      <c r="E12" s="1028"/>
      <c r="F12" s="1028"/>
      <c r="G12" s="1028"/>
      <c r="H12" s="1028"/>
      <c r="I12" s="1028"/>
      <c r="J12" s="1028"/>
      <c r="K12" s="1028"/>
      <c r="L12" s="1028"/>
      <c r="M12" s="1029"/>
    </row>
    <row r="13" spans="1:20" s="5" customFormat="1" ht="44.25" customHeight="1" thickBot="1" x14ac:dyDescent="0.25">
      <c r="A13" s="599" t="s">
        <v>22</v>
      </c>
      <c r="B13" s="1066" t="s">
        <v>618</v>
      </c>
      <c r="C13" s="1034"/>
      <c r="D13" s="1034"/>
      <c r="E13" s="1034"/>
      <c r="F13" s="1034"/>
      <c r="G13" s="1034"/>
      <c r="H13" s="1034"/>
      <c r="I13" s="1034"/>
      <c r="J13" s="1034"/>
      <c r="K13" s="1034"/>
      <c r="L13" s="1034"/>
      <c r="M13" s="1035"/>
    </row>
    <row r="14" spans="1:20" s="4" customFormat="1" ht="16.5" customHeight="1" x14ac:dyDescent="0.25">
      <c r="A14" s="1067" t="str">
        <f>HYPERLINK("https://www.greenbuilt.org/programs/green-built-homes/register-green-built-nc-homes/","Don't forget to register the project by visiting www.GreenBuilt.org")</f>
        <v>Don't forget to register the project by visiting www.GreenBuilt.org</v>
      </c>
      <c r="B14" s="1068"/>
      <c r="C14" s="1068"/>
      <c r="D14" s="1068"/>
      <c r="E14" s="1068"/>
      <c r="F14" s="1068"/>
      <c r="G14" s="1068"/>
      <c r="H14" s="1068"/>
      <c r="I14" s="1068"/>
      <c r="J14" s="1068"/>
      <c r="K14" s="1068"/>
      <c r="L14" s="1068"/>
      <c r="M14" s="1069"/>
      <c r="O14" s="5"/>
      <c r="P14" s="5"/>
      <c r="Q14" s="5"/>
      <c r="R14" s="5"/>
      <c r="S14" s="5"/>
      <c r="T14" s="5"/>
    </row>
    <row r="15" spans="1:20" ht="15.75" customHeight="1" thickBot="1" x14ac:dyDescent="0.3">
      <c r="A15" s="1070" t="s">
        <v>639</v>
      </c>
      <c r="B15" s="1071"/>
      <c r="C15" s="1071"/>
      <c r="D15" s="1071"/>
      <c r="E15" s="1071"/>
      <c r="F15" s="1071"/>
      <c r="G15" s="1071"/>
      <c r="H15" s="1071"/>
      <c r="I15" s="1071"/>
      <c r="J15" s="1071"/>
      <c r="K15" s="1071"/>
      <c r="L15" s="1071"/>
      <c r="M15" s="1072"/>
      <c r="N15" s="13"/>
      <c r="O15" s="15"/>
      <c r="P15" s="15"/>
      <c r="Q15" s="15"/>
      <c r="R15" s="15"/>
      <c r="S15" s="15"/>
      <c r="T15" s="15"/>
    </row>
    <row r="16" spans="1:20" ht="15" hidden="1" customHeight="1" x14ac:dyDescent="0.25">
      <c r="A16" s="1073"/>
      <c r="B16" s="1058"/>
      <c r="C16" s="1058"/>
      <c r="D16" s="1058"/>
      <c r="E16" s="1058"/>
      <c r="F16" s="1058"/>
      <c r="G16" s="1058"/>
      <c r="H16" s="1058"/>
      <c r="I16" s="1058"/>
      <c r="J16" s="1058"/>
      <c r="K16" s="1058"/>
      <c r="L16" s="1058"/>
      <c r="M16" s="1074"/>
      <c r="N16" s="4"/>
      <c r="O16" s="5"/>
      <c r="P16" s="5"/>
      <c r="Q16" s="5"/>
      <c r="R16" s="5"/>
      <c r="S16" s="5"/>
      <c r="T16" s="5"/>
    </row>
    <row r="17" spans="1:20" ht="20.25" customHeight="1" thickBot="1" x14ac:dyDescent="0.3">
      <c r="A17" s="1075" t="s">
        <v>24</v>
      </c>
      <c r="B17" s="1051"/>
      <c r="C17" s="1051"/>
      <c r="D17" s="1051"/>
      <c r="E17" s="1051"/>
      <c r="F17" s="1051"/>
      <c r="G17" s="1051"/>
      <c r="H17" s="1051"/>
      <c r="I17" s="1051"/>
      <c r="J17" s="1051"/>
      <c r="K17" s="1051"/>
      <c r="L17" s="1051"/>
      <c r="M17" s="1076"/>
      <c r="N17" s="4"/>
      <c r="O17" s="5"/>
      <c r="P17" s="5"/>
      <c r="Q17" s="5"/>
      <c r="R17" s="5"/>
      <c r="S17" s="5"/>
      <c r="T17" s="5"/>
    </row>
    <row r="18" spans="1:20" s="5" customFormat="1" ht="24" customHeight="1" x14ac:dyDescent="0.2">
      <c r="A18" s="600" t="s">
        <v>25</v>
      </c>
      <c r="B18" s="601" t="s">
        <v>26</v>
      </c>
      <c r="C18" s="602"/>
      <c r="D18" s="603"/>
      <c r="E18" s="604"/>
      <c r="F18" s="605"/>
      <c r="G18" s="606"/>
      <c r="H18" s="607"/>
      <c r="I18" s="647"/>
      <c r="J18" s="647"/>
      <c r="K18" s="608"/>
      <c r="L18" s="609"/>
      <c r="M18" s="610"/>
    </row>
    <row r="19" spans="1:20" s="5" customFormat="1" ht="14.25" customHeight="1" x14ac:dyDescent="0.2">
      <c r="A19" s="611"/>
      <c r="B19" s="507" t="s">
        <v>28</v>
      </c>
      <c r="C19" s="1027" t="s">
        <v>619</v>
      </c>
      <c r="D19" s="1028"/>
      <c r="E19" s="1028"/>
      <c r="F19" s="1028"/>
      <c r="G19" s="1028"/>
      <c r="H19" s="1028"/>
      <c r="I19" s="1028"/>
      <c r="J19" s="1028"/>
      <c r="K19" s="1028"/>
      <c r="L19" s="1028"/>
      <c r="M19" s="1029"/>
    </row>
    <row r="20" spans="1:20" s="5" customFormat="1" ht="14.25" customHeight="1" x14ac:dyDescent="0.2">
      <c r="A20" s="611"/>
      <c r="B20" s="507" t="s">
        <v>29</v>
      </c>
      <c r="C20" s="1030" t="s">
        <v>30</v>
      </c>
      <c r="D20" s="1028"/>
      <c r="E20" s="1028"/>
      <c r="F20" s="1028"/>
      <c r="G20" s="1028"/>
      <c r="H20" s="1028"/>
      <c r="I20" s="1028"/>
      <c r="J20" s="1028"/>
      <c r="K20" s="1028"/>
      <c r="L20" s="1028"/>
      <c r="M20" s="1029"/>
    </row>
    <row r="21" spans="1:20" s="5" customFormat="1" ht="24" customHeight="1" x14ac:dyDescent="0.2">
      <c r="A21" s="612" t="s">
        <v>31</v>
      </c>
      <c r="B21" s="508" t="s">
        <v>32</v>
      </c>
      <c r="C21" s="508"/>
      <c r="D21" s="218"/>
      <c r="E21" s="219"/>
      <c r="F21" s="220"/>
      <c r="G21" s="221"/>
      <c r="H21" s="222"/>
      <c r="I21" s="648"/>
      <c r="J21" s="648"/>
      <c r="K21" s="223"/>
      <c r="L21" s="224"/>
      <c r="M21" s="613"/>
    </row>
    <row r="22" spans="1:20" s="5" customFormat="1" ht="54" customHeight="1" x14ac:dyDescent="0.2">
      <c r="A22" s="614"/>
      <c r="B22" s="507" t="s">
        <v>28</v>
      </c>
      <c r="C22" s="1027" t="s">
        <v>620</v>
      </c>
      <c r="D22" s="1028"/>
      <c r="E22" s="1028"/>
      <c r="F22" s="1028"/>
      <c r="G22" s="1028"/>
      <c r="H22" s="1028"/>
      <c r="I22" s="1028"/>
      <c r="J22" s="1028"/>
      <c r="K22" s="1028"/>
      <c r="L22" s="1028"/>
      <c r="M22" s="1029"/>
    </row>
    <row r="23" spans="1:20" s="5" customFormat="1" ht="44.25" customHeight="1" x14ac:dyDescent="0.2">
      <c r="A23" s="611"/>
      <c r="B23" s="507" t="s">
        <v>29</v>
      </c>
      <c r="C23" s="1030" t="s">
        <v>621</v>
      </c>
      <c r="D23" s="1028"/>
      <c r="E23" s="1028"/>
      <c r="F23" s="1028"/>
      <c r="G23" s="1028"/>
      <c r="H23" s="1028"/>
      <c r="I23" s="1028"/>
      <c r="J23" s="1028"/>
      <c r="K23" s="1028"/>
      <c r="L23" s="1028"/>
      <c r="M23" s="1029"/>
    </row>
    <row r="24" spans="1:20" s="5" customFormat="1" ht="54" customHeight="1" x14ac:dyDescent="0.2">
      <c r="A24" s="612" t="s">
        <v>34</v>
      </c>
      <c r="B24" s="1031" t="s">
        <v>640</v>
      </c>
      <c r="C24" s="1028"/>
      <c r="D24" s="1028"/>
      <c r="E24" s="1028"/>
      <c r="F24" s="1028"/>
      <c r="G24" s="1028"/>
      <c r="H24" s="1028"/>
      <c r="I24" s="1028"/>
      <c r="J24" s="1028"/>
      <c r="K24" s="1028"/>
      <c r="L24" s="1028"/>
      <c r="M24" s="1029"/>
    </row>
    <row r="25" spans="1:20" s="5" customFormat="1" ht="46.5" customHeight="1" x14ac:dyDescent="0.2">
      <c r="A25" s="612" t="s">
        <v>35</v>
      </c>
      <c r="B25" s="1032" t="s">
        <v>622</v>
      </c>
      <c r="C25" s="1028"/>
      <c r="D25" s="1028"/>
      <c r="E25" s="1028"/>
      <c r="F25" s="1028"/>
      <c r="G25" s="1028"/>
      <c r="H25" s="1028"/>
      <c r="I25" s="1028"/>
      <c r="J25" s="1028"/>
      <c r="K25" s="1028"/>
      <c r="L25" s="1028"/>
      <c r="M25" s="1029"/>
    </row>
    <row r="26" spans="1:20" s="5" customFormat="1" ht="33" customHeight="1" thickBot="1" x14ac:dyDescent="0.25">
      <c r="A26" s="615" t="s">
        <v>36</v>
      </c>
      <c r="B26" s="1033" t="s">
        <v>623</v>
      </c>
      <c r="C26" s="1034"/>
      <c r="D26" s="1034"/>
      <c r="E26" s="1034"/>
      <c r="F26" s="1034"/>
      <c r="G26" s="1034"/>
      <c r="H26" s="1034"/>
      <c r="I26" s="1034"/>
      <c r="J26" s="1034"/>
      <c r="K26" s="1034"/>
      <c r="L26" s="1034"/>
      <c r="M26" s="1035"/>
    </row>
    <row r="27" spans="1:20" ht="42" customHeight="1" thickBot="1" x14ac:dyDescent="0.45">
      <c r="A27" s="1050" t="s">
        <v>37</v>
      </c>
      <c r="B27" s="1051"/>
      <c r="C27" s="1051"/>
      <c r="D27" s="1051"/>
      <c r="E27" s="1051"/>
      <c r="F27" s="1051"/>
      <c r="G27" s="1052"/>
      <c r="H27" s="1053" t="s">
        <v>42</v>
      </c>
      <c r="I27" s="1051"/>
      <c r="J27" s="1052"/>
      <c r="K27" s="616"/>
      <c r="L27" s="617" t="s">
        <v>43</v>
      </c>
      <c r="M27" s="726" t="s">
        <v>44</v>
      </c>
      <c r="N27" s="4"/>
      <c r="O27" s="5"/>
      <c r="P27" s="5"/>
      <c r="Q27" s="5"/>
      <c r="R27" s="5"/>
      <c r="S27" s="5"/>
      <c r="T27" s="5"/>
    </row>
    <row r="28" spans="1:20" ht="18.75" customHeight="1" x14ac:dyDescent="0.25">
      <c r="A28" s="621"/>
      <c r="B28" s="622"/>
      <c r="C28" s="622"/>
      <c r="D28" s="622"/>
      <c r="E28" s="623"/>
      <c r="F28" s="624"/>
      <c r="G28" s="625" t="s">
        <v>45</v>
      </c>
      <c r="H28" s="1054" t="str">
        <f>IF(AND(OR(A43="x",A43="p"),OR(A44="x",A44="p"),OR(A46="x",A46="p"),OR(A47="x",A47="p"),OR(A48="x",A48="p"),OR(A52="x",A52="p"),OR(A54="x",A54="p"),OR(A55="x",A55="p"),OR(A56="x",A56="p"),OR(A57="x",A57="p"),OR(A60="x",A60="p"),OR(A61="x",A61="p"), OR(A64="x", A64="p"), OR(A66="x", A66="p")),"All Complete","NOT COMPLETE")</f>
        <v>All Complete</v>
      </c>
      <c r="I28" s="1055"/>
      <c r="J28" s="1056"/>
      <c r="K28" s="626"/>
      <c r="L28" s="626" t="s">
        <v>46</v>
      </c>
      <c r="M28" s="627" t="s">
        <v>46</v>
      </c>
      <c r="N28" s="4"/>
      <c r="O28" s="5"/>
      <c r="P28" s="5"/>
      <c r="Q28" s="5"/>
      <c r="R28" s="5"/>
      <c r="S28" s="5"/>
      <c r="T28" s="5"/>
    </row>
    <row r="29" spans="1:20" ht="17.25" customHeight="1" x14ac:dyDescent="0.25">
      <c r="A29" s="628"/>
      <c r="B29" s="225"/>
      <c r="C29" s="225"/>
      <c r="D29" s="225"/>
      <c r="E29" s="226"/>
      <c r="F29" s="227"/>
      <c r="G29" s="228" t="s">
        <v>47</v>
      </c>
      <c r="H29" s="1057">
        <f>I128</f>
        <v>9</v>
      </c>
      <c r="I29" s="1058"/>
      <c r="J29" s="1059"/>
      <c r="K29" s="229"/>
      <c r="L29" s="460">
        <f>K128</f>
        <v>9</v>
      </c>
      <c r="M29" s="629">
        <f>J128</f>
        <v>9</v>
      </c>
      <c r="N29" s="9"/>
      <c r="O29" s="6"/>
      <c r="P29" s="6"/>
      <c r="Q29" s="6"/>
      <c r="R29" s="6"/>
      <c r="S29" s="6"/>
      <c r="T29" s="6"/>
    </row>
    <row r="30" spans="1:20" ht="17.25" customHeight="1" x14ac:dyDescent="0.25">
      <c r="A30" s="630"/>
      <c r="B30" s="230"/>
      <c r="C30" s="230"/>
      <c r="D30" s="230"/>
      <c r="E30" s="231"/>
      <c r="F30" s="232"/>
      <c r="G30" s="233" t="s">
        <v>50</v>
      </c>
      <c r="H30" s="1060">
        <f>I182</f>
        <v>21</v>
      </c>
      <c r="I30" s="1061"/>
      <c r="J30" s="1059"/>
      <c r="K30" s="234"/>
      <c r="L30" s="461">
        <f>K182</f>
        <v>21</v>
      </c>
      <c r="M30" s="631">
        <f>J182</f>
        <v>21</v>
      </c>
      <c r="N30" s="9"/>
      <c r="O30" s="6"/>
      <c r="P30" s="6"/>
      <c r="Q30" s="6"/>
      <c r="R30" s="6"/>
      <c r="S30" s="6"/>
      <c r="T30" s="6"/>
    </row>
    <row r="31" spans="1:20" ht="17.25" customHeight="1" x14ac:dyDescent="0.25">
      <c r="A31" s="628"/>
      <c r="B31" s="225"/>
      <c r="C31" s="225"/>
      <c r="D31" s="225"/>
      <c r="E31" s="226"/>
      <c r="F31" s="227"/>
      <c r="G31" s="228" t="s">
        <v>51</v>
      </c>
      <c r="H31" s="1057">
        <f>I260</f>
        <v>58</v>
      </c>
      <c r="I31" s="1058"/>
      <c r="J31" s="1059"/>
      <c r="K31" s="229"/>
      <c r="L31" s="460">
        <f>K260</f>
        <v>53</v>
      </c>
      <c r="M31" s="632">
        <f>J260</f>
        <v>58</v>
      </c>
      <c r="N31" s="9"/>
      <c r="O31" s="6"/>
      <c r="P31" s="6"/>
      <c r="Q31" s="6"/>
      <c r="R31" s="6"/>
      <c r="S31" s="6"/>
      <c r="T31" s="6"/>
    </row>
    <row r="32" spans="1:20" ht="17.25" customHeight="1" x14ac:dyDescent="0.25">
      <c r="A32" s="630"/>
      <c r="B32" s="230"/>
      <c r="C32" s="230"/>
      <c r="D32" s="230"/>
      <c r="E32" s="231"/>
      <c r="F32" s="232"/>
      <c r="G32" s="233" t="s">
        <v>52</v>
      </c>
      <c r="H32" s="1060">
        <f>I311</f>
        <v>17</v>
      </c>
      <c r="I32" s="1061"/>
      <c r="J32" s="1059"/>
      <c r="K32" s="234"/>
      <c r="L32" s="461">
        <f>K311</f>
        <v>5</v>
      </c>
      <c r="M32" s="631">
        <f>J311</f>
        <v>5</v>
      </c>
      <c r="N32" s="9"/>
      <c r="O32" s="6"/>
      <c r="P32" s="6"/>
      <c r="Q32" s="6"/>
      <c r="R32" s="6"/>
      <c r="S32" s="6"/>
      <c r="T32" s="6"/>
    </row>
    <row r="33" spans="1:20" ht="17.25" customHeight="1" x14ac:dyDescent="0.25">
      <c r="A33" s="633"/>
      <c r="B33" s="235"/>
      <c r="C33" s="235"/>
      <c r="D33" s="235"/>
      <c r="E33" s="236"/>
      <c r="F33" s="237"/>
      <c r="G33" s="228" t="s">
        <v>53</v>
      </c>
      <c r="H33" s="1057">
        <f>I364</f>
        <v>75</v>
      </c>
      <c r="I33" s="1058"/>
      <c r="J33" s="1059"/>
      <c r="K33" s="229"/>
      <c r="L33" s="460">
        <f>K364</f>
        <v>75</v>
      </c>
      <c r="M33" s="632">
        <f>J364</f>
        <v>75</v>
      </c>
      <c r="N33" s="9"/>
      <c r="O33" s="6"/>
      <c r="P33" s="6"/>
      <c r="Q33" s="6"/>
      <c r="R33" s="6"/>
      <c r="S33" s="6"/>
      <c r="T33" s="6"/>
    </row>
    <row r="34" spans="1:20" ht="17.25" customHeight="1" x14ac:dyDescent="0.25">
      <c r="A34" s="634"/>
      <c r="B34" s="238"/>
      <c r="C34" s="238"/>
      <c r="D34" s="238"/>
      <c r="E34" s="219"/>
      <c r="F34" s="239"/>
      <c r="G34" s="233" t="s">
        <v>602</v>
      </c>
      <c r="H34" s="1060">
        <f>I421</f>
        <v>26</v>
      </c>
      <c r="I34" s="1061"/>
      <c r="J34" s="1059"/>
      <c r="K34" s="234"/>
      <c r="L34" s="461">
        <f>K421</f>
        <v>26</v>
      </c>
      <c r="M34" s="631">
        <f>J421</f>
        <v>26</v>
      </c>
      <c r="N34" s="4"/>
      <c r="O34" s="5"/>
      <c r="P34" s="5"/>
      <c r="Q34" s="5"/>
      <c r="R34" s="5"/>
      <c r="S34" s="5"/>
      <c r="T34" s="5"/>
    </row>
    <row r="35" spans="1:20" ht="17.25" customHeight="1" x14ac:dyDescent="0.25">
      <c r="A35" s="633"/>
      <c r="B35" s="235"/>
      <c r="C35" s="235"/>
      <c r="D35" s="235"/>
      <c r="E35" s="236"/>
      <c r="F35" s="237"/>
      <c r="G35" s="228" t="s">
        <v>54</v>
      </c>
      <c r="H35" s="1057">
        <f>I497</f>
        <v>20</v>
      </c>
      <c r="I35" s="1058"/>
      <c r="J35" s="1059"/>
      <c r="K35" s="229"/>
      <c r="L35" s="460">
        <f>K497</f>
        <v>20</v>
      </c>
      <c r="M35" s="632">
        <f>J497</f>
        <v>20</v>
      </c>
      <c r="N35" s="4"/>
      <c r="O35" s="5"/>
      <c r="P35" s="5"/>
      <c r="Q35" s="5"/>
      <c r="R35" s="5"/>
      <c r="S35" s="5"/>
      <c r="T35" s="5"/>
    </row>
    <row r="36" spans="1:20" ht="20.25" customHeight="1" thickBot="1" x14ac:dyDescent="0.3">
      <c r="A36" s="635"/>
      <c r="B36" s="636"/>
      <c r="C36" s="636"/>
      <c r="D36" s="636"/>
      <c r="E36" s="637"/>
      <c r="F36" s="638"/>
      <c r="G36" s="639" t="s">
        <v>55</v>
      </c>
      <c r="H36" s="1108">
        <f>I531</f>
        <v>6</v>
      </c>
      <c r="I36" s="1109"/>
      <c r="J36" s="1110"/>
      <c r="K36" s="640"/>
      <c r="L36" s="641">
        <f>K531</f>
        <v>6</v>
      </c>
      <c r="M36" s="642">
        <f>J531</f>
        <v>6</v>
      </c>
      <c r="N36" s="4"/>
      <c r="O36" s="5"/>
      <c r="P36" s="5"/>
      <c r="Q36" s="5"/>
      <c r="R36" s="5"/>
      <c r="S36" s="5"/>
      <c r="T36" s="5"/>
    </row>
    <row r="37" spans="1:20" ht="26.25" customHeight="1" thickBot="1" x14ac:dyDescent="0.45">
      <c r="A37" s="1112" t="s">
        <v>56</v>
      </c>
      <c r="B37" s="1051"/>
      <c r="C37" s="1051"/>
      <c r="D37" s="1051"/>
      <c r="E37" s="1051"/>
      <c r="F37" s="1051"/>
      <c r="G37" s="1052"/>
      <c r="H37" s="1111">
        <f>SUM(H29:J36)</f>
        <v>232</v>
      </c>
      <c r="I37" s="1051"/>
      <c r="J37" s="1052"/>
      <c r="K37" s="618"/>
      <c r="L37" s="619">
        <f>SUM(L29:L36)</f>
        <v>215</v>
      </c>
      <c r="M37" s="620">
        <f>SUM(M29:M36)</f>
        <v>220</v>
      </c>
      <c r="N37" s="4"/>
      <c r="O37" s="5"/>
      <c r="P37" s="5"/>
      <c r="Q37" s="5"/>
      <c r="R37" s="5"/>
      <c r="S37" s="5"/>
      <c r="T37" s="5"/>
    </row>
    <row r="38" spans="1:20" s="4" customFormat="1" ht="30.75" customHeight="1" x14ac:dyDescent="0.25">
      <c r="A38" s="1127" t="s">
        <v>57</v>
      </c>
      <c r="B38" s="1128"/>
      <c r="C38" s="1128"/>
      <c r="D38" s="1128"/>
      <c r="E38" s="1128"/>
      <c r="F38" s="1128"/>
      <c r="G38" s="1128"/>
      <c r="H38" s="1128"/>
      <c r="I38" s="1128"/>
      <c r="J38" s="1128"/>
      <c r="K38" s="643"/>
      <c r="L38" s="1113" t="s">
        <v>516</v>
      </c>
      <c r="M38" s="1114"/>
      <c r="N38" s="7"/>
      <c r="O38" s="7"/>
      <c r="P38" s="7"/>
      <c r="Q38" s="7"/>
      <c r="R38" s="7"/>
      <c r="S38" s="7"/>
      <c r="T38" s="7"/>
    </row>
    <row r="39" spans="1:20" s="4" customFormat="1" ht="21" customHeight="1" x14ac:dyDescent="0.2">
      <c r="A39" s="1129"/>
      <c r="B39" s="1130"/>
      <c r="C39" s="1130"/>
      <c r="D39" s="1130"/>
      <c r="E39" s="1130"/>
      <c r="F39" s="1130"/>
      <c r="G39" s="1130"/>
      <c r="H39" s="1130"/>
      <c r="I39" s="1130"/>
      <c r="J39" s="1130"/>
      <c r="K39" s="240"/>
      <c r="L39" s="1115"/>
      <c r="M39" s="1116"/>
    </row>
    <row r="40" spans="1:20" s="4" customFormat="1" ht="24.75" customHeight="1" thickBot="1" x14ac:dyDescent="0.25">
      <c r="A40" s="1131"/>
      <c r="B40" s="1132"/>
      <c r="C40" s="1132"/>
      <c r="D40" s="1132"/>
      <c r="E40" s="1132"/>
      <c r="F40" s="1132"/>
      <c r="G40" s="1132"/>
      <c r="H40" s="1132"/>
      <c r="I40" s="1132"/>
      <c r="J40" s="1132"/>
      <c r="K40" s="644"/>
      <c r="L40" s="1117"/>
      <c r="M40" s="1118"/>
    </row>
    <row r="41" spans="1:20" ht="18.75" customHeight="1" thickBot="1" x14ac:dyDescent="0.3">
      <c r="A41" s="1119" t="s">
        <v>59</v>
      </c>
      <c r="B41" s="1120"/>
      <c r="C41" s="1120"/>
      <c r="D41" s="1120"/>
      <c r="E41" s="1120"/>
      <c r="F41" s="1120"/>
      <c r="G41" s="1120"/>
      <c r="H41" s="1120"/>
      <c r="I41" s="1120"/>
      <c r="J41" s="1120"/>
      <c r="K41" s="1120"/>
      <c r="L41" s="1120"/>
      <c r="M41" s="1121"/>
      <c r="N41" s="4"/>
      <c r="O41" s="5"/>
      <c r="P41" s="5"/>
      <c r="Q41" s="5"/>
      <c r="R41" s="5"/>
      <c r="S41" s="5"/>
      <c r="T41" s="5"/>
    </row>
    <row r="42" spans="1:20" ht="27" customHeight="1" thickBot="1" x14ac:dyDescent="0.4">
      <c r="A42" s="24"/>
      <c r="B42" s="1122" t="s">
        <v>594</v>
      </c>
      <c r="C42" s="1123"/>
      <c r="D42" s="1123"/>
      <c r="E42" s="1123"/>
      <c r="F42" s="1123"/>
      <c r="G42" s="1123"/>
      <c r="H42" s="1124"/>
      <c r="I42" s="1125" t="s">
        <v>60</v>
      </c>
      <c r="J42" s="1126"/>
      <c r="K42" s="562"/>
      <c r="L42" s="563" t="s">
        <v>61</v>
      </c>
      <c r="M42" s="590" t="s">
        <v>62</v>
      </c>
      <c r="N42" s="4"/>
      <c r="O42" s="5"/>
      <c r="P42" s="5"/>
      <c r="Q42" s="5"/>
      <c r="R42" s="5"/>
      <c r="S42" s="5"/>
      <c r="T42" s="5"/>
    </row>
    <row r="43" spans="1:20" s="4" customFormat="1" ht="51" x14ac:dyDescent="0.2">
      <c r="A43" s="285" t="s">
        <v>465</v>
      </c>
      <c r="B43" s="833">
        <v>1</v>
      </c>
      <c r="C43" s="1133" t="s">
        <v>63</v>
      </c>
      <c r="D43" s="1134"/>
      <c r="E43" s="1134"/>
      <c r="F43" s="1134"/>
      <c r="G43" s="1134"/>
      <c r="H43" s="1135"/>
      <c r="I43" s="1136" t="s">
        <v>64</v>
      </c>
      <c r="J43" s="1137"/>
      <c r="K43" s="246"/>
      <c r="L43" s="125" t="s">
        <v>65</v>
      </c>
      <c r="M43" s="282" t="s">
        <v>732</v>
      </c>
      <c r="N43" s="5"/>
      <c r="O43" s="198" t="s">
        <v>66</v>
      </c>
      <c r="P43" s="6"/>
      <c r="Q43" s="6"/>
      <c r="R43" s="6"/>
      <c r="S43" s="6"/>
      <c r="T43" s="6"/>
    </row>
    <row r="44" spans="1:20" s="4" customFormat="1" ht="14.25" customHeight="1" x14ac:dyDescent="0.2">
      <c r="A44" s="950" t="s">
        <v>465</v>
      </c>
      <c r="B44" s="951">
        <v>2</v>
      </c>
      <c r="C44" s="887" t="s">
        <v>728</v>
      </c>
      <c r="D44" s="953"/>
      <c r="E44" s="953"/>
      <c r="F44" s="953"/>
      <c r="G44" s="953"/>
      <c r="H44" s="954"/>
      <c r="I44" s="961" t="s">
        <v>64</v>
      </c>
      <c r="J44" s="962"/>
      <c r="K44" s="964"/>
      <c r="L44" s="865" t="s">
        <v>67</v>
      </c>
      <c r="M44" s="868" t="s">
        <v>783</v>
      </c>
      <c r="N44" s="5"/>
      <c r="O44" s="241" t="s">
        <v>33</v>
      </c>
      <c r="P44" s="186"/>
      <c r="Q44" s="186"/>
      <c r="R44" s="186"/>
      <c r="S44" s="186"/>
      <c r="T44" s="186"/>
    </row>
    <row r="45" spans="1:20" s="4" customFormat="1" ht="25.5" customHeight="1" x14ac:dyDescent="0.25">
      <c r="A45" s="946"/>
      <c r="B45" s="952"/>
      <c r="C45" s="958"/>
      <c r="D45" s="959"/>
      <c r="E45" s="959"/>
      <c r="F45" s="959"/>
      <c r="G45" s="959"/>
      <c r="H45" s="960"/>
      <c r="I45" s="897"/>
      <c r="J45" s="963"/>
      <c r="K45" s="965"/>
      <c r="L45" s="965"/>
      <c r="M45" s="946"/>
      <c r="N45" s="5"/>
      <c r="O45" s="748" t="str">
        <f>HYPERLINK("https://codes.iccsafe.org/content/NCECC2018/appendix-r4-additional-voluntary-criteria-for-increasing-energy-efficiency-high-efficiency-residential-option-","NC HERO Code")</f>
        <v>NC HERO Code</v>
      </c>
      <c r="P45" s="5"/>
      <c r="Q45" s="5"/>
      <c r="R45" s="5"/>
      <c r="S45" s="5"/>
      <c r="T45" s="5"/>
    </row>
    <row r="46" spans="1:20" s="4" customFormat="1" ht="27.75" customHeight="1" x14ac:dyDescent="0.2">
      <c r="A46" s="286" t="s">
        <v>465</v>
      </c>
      <c r="B46" s="834">
        <v>3</v>
      </c>
      <c r="C46" s="1048" t="s">
        <v>631</v>
      </c>
      <c r="D46" s="1049"/>
      <c r="E46" s="1049"/>
      <c r="F46" s="1049"/>
      <c r="G46" s="1049"/>
      <c r="H46" s="1024"/>
      <c r="I46" s="968" t="s">
        <v>64</v>
      </c>
      <c r="J46" s="969"/>
      <c r="K46" s="247"/>
      <c r="L46" s="25" t="s">
        <v>68</v>
      </c>
      <c r="M46" s="284" t="s">
        <v>733</v>
      </c>
      <c r="N46" s="5"/>
      <c r="O46" s="198" t="s">
        <v>69</v>
      </c>
      <c r="P46" s="6"/>
      <c r="Q46" s="6"/>
      <c r="R46" s="6"/>
      <c r="S46" s="6"/>
      <c r="T46" s="6"/>
    </row>
    <row r="47" spans="1:20" s="4" customFormat="1" ht="75.75" customHeight="1" x14ac:dyDescent="0.2">
      <c r="A47" s="287" t="s">
        <v>465</v>
      </c>
      <c r="B47" s="834">
        <v>4</v>
      </c>
      <c r="C47" s="1048" t="s">
        <v>626</v>
      </c>
      <c r="D47" s="1140"/>
      <c r="E47" s="1140"/>
      <c r="F47" s="1140"/>
      <c r="G47" s="1140"/>
      <c r="H47" s="1141"/>
      <c r="I47" s="968" t="s">
        <v>64</v>
      </c>
      <c r="J47" s="969"/>
      <c r="K47" s="247"/>
      <c r="L47" s="25" t="s">
        <v>70</v>
      </c>
      <c r="M47" s="283" t="s">
        <v>734</v>
      </c>
      <c r="N47" s="5"/>
      <c r="O47" s="281" t="s">
        <v>565</v>
      </c>
      <c r="P47" s="201"/>
      <c r="Q47" s="201"/>
      <c r="R47" s="201"/>
      <c r="S47" s="201"/>
      <c r="T47" s="201"/>
    </row>
    <row r="48" spans="1:20" s="4" customFormat="1" ht="21.6" customHeight="1" x14ac:dyDescent="0.2">
      <c r="A48" s="950" t="s">
        <v>465</v>
      </c>
      <c r="B48" s="951">
        <v>5</v>
      </c>
      <c r="C48" s="887" t="s">
        <v>71</v>
      </c>
      <c r="D48" s="953"/>
      <c r="E48" s="953"/>
      <c r="F48" s="953"/>
      <c r="G48" s="953"/>
      <c r="H48" s="954"/>
      <c r="I48" s="961" t="s">
        <v>64</v>
      </c>
      <c r="J48" s="962"/>
      <c r="K48" s="247"/>
      <c r="L48" s="865" t="s">
        <v>696</v>
      </c>
      <c r="M48" s="849" t="s">
        <v>784</v>
      </c>
      <c r="N48" s="5"/>
      <c r="O48" s="198" t="s">
        <v>72</v>
      </c>
      <c r="P48" s="6"/>
      <c r="Q48" s="6"/>
      <c r="R48" s="6"/>
      <c r="S48" s="6"/>
      <c r="T48" s="6"/>
    </row>
    <row r="49" spans="1:20" s="4" customFormat="1" ht="20.45" customHeight="1" x14ac:dyDescent="0.2">
      <c r="A49" s="1142"/>
      <c r="B49" s="1038"/>
      <c r="C49" s="1039"/>
      <c r="D49" s="1040"/>
      <c r="E49" s="1040"/>
      <c r="F49" s="1040"/>
      <c r="G49" s="1040"/>
      <c r="H49" s="1041"/>
      <c r="I49" s="1138"/>
      <c r="J49" s="1139"/>
      <c r="K49" s="776"/>
      <c r="L49" s="866"/>
      <c r="M49" s="850" t="s">
        <v>735</v>
      </c>
      <c r="N49" s="5"/>
      <c r="O49" s="198"/>
      <c r="P49" s="6"/>
      <c r="Q49" s="6"/>
      <c r="R49" s="6"/>
      <c r="S49" s="6"/>
      <c r="T49" s="6"/>
    </row>
    <row r="50" spans="1:20" s="4" customFormat="1" ht="28.5" customHeight="1" x14ac:dyDescent="0.2">
      <c r="A50" s="1142"/>
      <c r="B50" s="1038"/>
      <c r="C50" s="1039"/>
      <c r="D50" s="1040"/>
      <c r="E50" s="1040"/>
      <c r="F50" s="1040"/>
      <c r="G50" s="1040"/>
      <c r="H50" s="1041"/>
      <c r="I50" s="1138"/>
      <c r="J50" s="1139"/>
      <c r="K50" s="776"/>
      <c r="L50" s="866"/>
      <c r="M50" s="850" t="s">
        <v>736</v>
      </c>
      <c r="N50" s="5"/>
      <c r="O50" s="198"/>
      <c r="P50" s="6"/>
      <c r="Q50" s="6"/>
      <c r="R50" s="6"/>
      <c r="S50" s="6"/>
      <c r="T50" s="6"/>
    </row>
    <row r="51" spans="1:20" s="4" customFormat="1" ht="30.6" customHeight="1" x14ac:dyDescent="0.2">
      <c r="A51" s="946"/>
      <c r="B51" s="952"/>
      <c r="C51" s="958"/>
      <c r="D51" s="959"/>
      <c r="E51" s="959"/>
      <c r="F51" s="959"/>
      <c r="G51" s="959"/>
      <c r="H51" s="960"/>
      <c r="I51" s="897"/>
      <c r="J51" s="963"/>
      <c r="K51" s="247"/>
      <c r="L51" s="965"/>
      <c r="M51" s="851" t="s">
        <v>793</v>
      </c>
      <c r="N51" s="5"/>
      <c r="O51" s="929"/>
      <c r="P51" s="930"/>
      <c r="Q51" s="930"/>
      <c r="R51" s="930"/>
      <c r="S51" s="5"/>
      <c r="T51" s="5"/>
    </row>
    <row r="52" spans="1:20" s="4" customFormat="1" ht="14.25" x14ac:dyDescent="0.2">
      <c r="A52" s="950" t="s">
        <v>465</v>
      </c>
      <c r="B52" s="951">
        <v>6</v>
      </c>
      <c r="C52" s="887" t="s">
        <v>662</v>
      </c>
      <c r="D52" s="953"/>
      <c r="E52" s="953"/>
      <c r="F52" s="953"/>
      <c r="G52" s="953"/>
      <c r="H52" s="954"/>
      <c r="I52" s="961" t="s">
        <v>64</v>
      </c>
      <c r="J52" s="962"/>
      <c r="K52" s="247"/>
      <c r="L52" s="865" t="s">
        <v>661</v>
      </c>
      <c r="M52" s="868" t="s">
        <v>737</v>
      </c>
      <c r="N52" s="5"/>
      <c r="O52" s="198" t="str">
        <f>HYPERLINK("https://www.nrel.gov/docs/fy03osti/26458.pdf","Whole House Ventilation System DOE Factsheet")</f>
        <v>Whole House Ventilation System DOE Factsheet</v>
      </c>
      <c r="P52" s="6"/>
      <c r="Q52" s="6"/>
      <c r="R52" s="6"/>
      <c r="S52" s="6"/>
      <c r="T52" s="6"/>
    </row>
    <row r="53" spans="1:20" s="4" customFormat="1" ht="24" customHeight="1" x14ac:dyDescent="0.25">
      <c r="A53" s="946"/>
      <c r="B53" s="952"/>
      <c r="C53" s="958"/>
      <c r="D53" s="959"/>
      <c r="E53" s="959"/>
      <c r="F53" s="959"/>
      <c r="G53" s="959"/>
      <c r="H53" s="960"/>
      <c r="I53" s="897"/>
      <c r="J53" s="963"/>
      <c r="K53" s="247"/>
      <c r="L53" s="965"/>
      <c r="M53" s="946"/>
      <c r="N53" s="5"/>
      <c r="O53" s="748" t="str">
        <f>HYPERLINK("https://www.energystar.gov/sites/default/files/National%20HVAC%20Design%20Report_Rev%2011.pdf","Energy Star HVAC Design Report")</f>
        <v>Energy Star HVAC Design Report</v>
      </c>
      <c r="P53" s="5"/>
      <c r="Q53" s="5"/>
      <c r="R53" s="5"/>
      <c r="S53" s="5"/>
      <c r="T53" s="5"/>
    </row>
    <row r="54" spans="1:20" s="4" customFormat="1" ht="117.6" customHeight="1" x14ac:dyDescent="0.2">
      <c r="A54" s="286" t="s">
        <v>465</v>
      </c>
      <c r="B54" s="834">
        <v>7</v>
      </c>
      <c r="C54" s="1048" t="s">
        <v>702</v>
      </c>
      <c r="D54" s="1049"/>
      <c r="E54" s="1049"/>
      <c r="F54" s="1049"/>
      <c r="G54" s="1049"/>
      <c r="H54" s="1024"/>
      <c r="I54" s="968" t="s">
        <v>64</v>
      </c>
      <c r="J54" s="969"/>
      <c r="K54" s="247"/>
      <c r="L54" s="25" t="s">
        <v>73</v>
      </c>
      <c r="M54" s="284" t="s">
        <v>738</v>
      </c>
      <c r="N54" s="5"/>
      <c r="O54" s="242" t="s">
        <v>74</v>
      </c>
      <c r="P54" s="5"/>
      <c r="Q54" s="5"/>
      <c r="R54" s="5"/>
      <c r="S54" s="5"/>
      <c r="T54" s="5"/>
    </row>
    <row r="55" spans="1:20" s="4" customFormat="1" ht="72" customHeight="1" x14ac:dyDescent="0.2">
      <c r="A55" s="285" t="s">
        <v>465</v>
      </c>
      <c r="B55" s="827">
        <v>8</v>
      </c>
      <c r="C55" s="887" t="s">
        <v>698</v>
      </c>
      <c r="D55" s="953"/>
      <c r="E55" s="953"/>
      <c r="F55" s="953"/>
      <c r="G55" s="953"/>
      <c r="H55" s="954"/>
      <c r="I55" s="968" t="s">
        <v>64</v>
      </c>
      <c r="J55" s="969"/>
      <c r="K55" s="248"/>
      <c r="L55" s="197" t="s">
        <v>75</v>
      </c>
      <c r="M55" s="724" t="s">
        <v>739</v>
      </c>
      <c r="N55" s="12"/>
      <c r="O55" s="243" t="str">
        <f>HYPERLINK("https://www1.eere.energy.gov/buildings/publications/pdfs/building_america/26464.pdf","DOE Fact Sheet on Combustion Safety")</f>
        <v>DOE Fact Sheet on Combustion Safety</v>
      </c>
      <c r="P55" s="201"/>
      <c r="Q55" s="201"/>
      <c r="R55" s="201"/>
      <c r="S55" s="201"/>
      <c r="T55" s="201"/>
    </row>
    <row r="56" spans="1:20" s="4" customFormat="1" ht="102.75" customHeight="1" x14ac:dyDescent="0.2">
      <c r="A56" s="286" t="s">
        <v>465</v>
      </c>
      <c r="B56" s="834">
        <v>9</v>
      </c>
      <c r="C56" s="1048" t="s">
        <v>519</v>
      </c>
      <c r="D56" s="1049"/>
      <c r="E56" s="1049"/>
      <c r="F56" s="1049"/>
      <c r="G56" s="1049"/>
      <c r="H56" s="1024"/>
      <c r="I56" s="968" t="s">
        <v>64</v>
      </c>
      <c r="J56" s="969"/>
      <c r="K56" s="247"/>
      <c r="L56" s="25" t="s">
        <v>75</v>
      </c>
      <c r="M56" s="284" t="s">
        <v>46</v>
      </c>
      <c r="N56" s="12"/>
      <c r="O56" s="198" t="str">
        <f>HYPERLINK("https://www.epa.gov/indoor-air-quality-iaq/carbon-monoxides-impact-indoor-air-quality","EPA's Guide to Carbon Monoxide's impact on IAQ")</f>
        <v>EPA's Guide to Carbon Monoxide's impact on IAQ</v>
      </c>
      <c r="P56" s="6"/>
      <c r="Q56" s="6"/>
      <c r="R56" s="6"/>
      <c r="S56" s="6"/>
      <c r="T56" s="6"/>
    </row>
    <row r="57" spans="1:20" s="4" customFormat="1" ht="72" customHeight="1" x14ac:dyDescent="0.2">
      <c r="A57" s="286" t="s">
        <v>465</v>
      </c>
      <c r="B57" s="834">
        <v>10</v>
      </c>
      <c r="C57" s="1048" t="s">
        <v>76</v>
      </c>
      <c r="D57" s="1049"/>
      <c r="E57" s="1049"/>
      <c r="F57" s="1049"/>
      <c r="G57" s="1049"/>
      <c r="H57" s="1024"/>
      <c r="I57" s="968" t="s">
        <v>64</v>
      </c>
      <c r="J57" s="969"/>
      <c r="K57" s="247"/>
      <c r="L57" s="25" t="s">
        <v>77</v>
      </c>
      <c r="M57" s="284" t="s">
        <v>733</v>
      </c>
      <c r="N57" s="5"/>
      <c r="O57" s="977" t="str">
        <f>HYPERLINK("https://www.greenbuilt.org/wp-content/uploads/2017/08/GarageToHouseWall-1.pdf","Garage to house wall details")</f>
        <v>Garage to house wall details</v>
      </c>
      <c r="P57" s="930"/>
      <c r="Q57" s="930"/>
      <c r="R57" s="930"/>
      <c r="S57" s="5"/>
      <c r="T57" s="5"/>
    </row>
    <row r="58" spans="1:20" s="4" customFormat="1" ht="49.5" customHeight="1" x14ac:dyDescent="0.2">
      <c r="A58" s="286" t="s">
        <v>465</v>
      </c>
      <c r="B58" s="834">
        <v>11</v>
      </c>
      <c r="C58" s="1048" t="s">
        <v>78</v>
      </c>
      <c r="D58" s="1049"/>
      <c r="E58" s="1049"/>
      <c r="F58" s="1049"/>
      <c r="G58" s="1049"/>
      <c r="H58" s="1024"/>
      <c r="I58" s="968" t="s">
        <v>64</v>
      </c>
      <c r="J58" s="969"/>
      <c r="K58" s="247"/>
      <c r="L58" s="25" t="s">
        <v>77</v>
      </c>
      <c r="M58" s="284" t="s">
        <v>46</v>
      </c>
      <c r="N58" s="5"/>
      <c r="O58" s="929"/>
      <c r="P58" s="930"/>
      <c r="Q58" s="930"/>
      <c r="R58" s="930"/>
      <c r="S58" s="5"/>
      <c r="T58" s="5"/>
    </row>
    <row r="59" spans="1:20" s="4" customFormat="1" ht="30.75" customHeight="1" x14ac:dyDescent="0.2">
      <c r="A59" s="286" t="s">
        <v>465</v>
      </c>
      <c r="B59" s="834">
        <v>12</v>
      </c>
      <c r="C59" s="1048" t="s">
        <v>632</v>
      </c>
      <c r="D59" s="1049"/>
      <c r="E59" s="1049"/>
      <c r="F59" s="1049"/>
      <c r="G59" s="1049"/>
      <c r="H59" s="1024"/>
      <c r="I59" s="968" t="s">
        <v>64</v>
      </c>
      <c r="J59" s="969"/>
      <c r="K59" s="247"/>
      <c r="L59" s="25" t="s">
        <v>77</v>
      </c>
      <c r="M59" s="284" t="s">
        <v>733</v>
      </c>
      <c r="N59" s="5"/>
      <c r="O59" s="929"/>
      <c r="P59" s="930"/>
      <c r="Q59" s="930"/>
      <c r="R59" s="930"/>
      <c r="S59" s="5"/>
      <c r="T59" s="5"/>
    </row>
    <row r="60" spans="1:20" s="4" customFormat="1" ht="46.5" customHeight="1" x14ac:dyDescent="0.2">
      <c r="A60" s="286" t="s">
        <v>465</v>
      </c>
      <c r="B60" s="834">
        <v>13</v>
      </c>
      <c r="C60" s="1048" t="s">
        <v>79</v>
      </c>
      <c r="D60" s="1049"/>
      <c r="E60" s="1049"/>
      <c r="F60" s="1049"/>
      <c r="G60" s="1049"/>
      <c r="H60" s="1024"/>
      <c r="I60" s="968" t="s">
        <v>64</v>
      </c>
      <c r="J60" s="969"/>
      <c r="K60" s="247"/>
      <c r="L60" s="25" t="s">
        <v>80</v>
      </c>
      <c r="M60" s="284" t="s">
        <v>732</v>
      </c>
      <c r="N60" s="5"/>
      <c r="O60" s="977" t="str">
        <f>HYPERLINK("https://www.greenbuilt.org/wp-content/uploads/2017/08/WeatherBarriers.pdf","Weather Resistant Barriers DOE Factsheet")</f>
        <v>Weather Resistant Barriers DOE Factsheet</v>
      </c>
      <c r="P60" s="930"/>
      <c r="Q60" s="930"/>
      <c r="R60" s="930"/>
      <c r="S60" s="930"/>
      <c r="T60" s="18"/>
    </row>
    <row r="61" spans="1:20" s="4" customFormat="1" ht="14.25" customHeight="1" x14ac:dyDescent="0.2">
      <c r="A61" s="950" t="s">
        <v>465</v>
      </c>
      <c r="B61" s="951">
        <v>14</v>
      </c>
      <c r="C61" s="887" t="s">
        <v>677</v>
      </c>
      <c r="D61" s="953"/>
      <c r="E61" s="953"/>
      <c r="F61" s="953"/>
      <c r="G61" s="953"/>
      <c r="H61" s="954"/>
      <c r="I61" s="961" t="s">
        <v>64</v>
      </c>
      <c r="J61" s="962"/>
      <c r="K61" s="964"/>
      <c r="L61" s="865" t="s">
        <v>81</v>
      </c>
      <c r="M61" s="874" t="s">
        <v>792</v>
      </c>
      <c r="N61" s="5"/>
      <c r="O61" s="242" t="str">
        <f>HYPERLINK("https://www.epa.gov/radon/radon-resources-builders-and-contractors","EPA's Radon Resources for Contractors")</f>
        <v>EPA's Radon Resources for Contractors</v>
      </c>
      <c r="P61" s="242"/>
      <c r="Q61" s="242"/>
      <c r="R61" s="242"/>
      <c r="S61" s="242"/>
    </row>
    <row r="62" spans="1:20" s="4" customFormat="1" ht="14.25" customHeight="1" x14ac:dyDescent="0.25">
      <c r="A62" s="940"/>
      <c r="B62" s="924"/>
      <c r="C62" s="955"/>
      <c r="D62" s="956"/>
      <c r="E62" s="956"/>
      <c r="F62" s="956"/>
      <c r="G62" s="956"/>
      <c r="H62" s="957"/>
      <c r="I62" s="1146"/>
      <c r="J62" s="1147"/>
      <c r="K62" s="1148"/>
      <c r="L62" s="1148"/>
      <c r="M62" s="940"/>
      <c r="N62" s="5"/>
      <c r="O62" s="748"/>
      <c r="P62" s="5"/>
      <c r="Q62" s="5"/>
      <c r="R62" s="5"/>
      <c r="S62" s="5"/>
    </row>
    <row r="63" spans="1:20" s="4" customFormat="1" ht="45" customHeight="1" x14ac:dyDescent="0.2">
      <c r="A63" s="946"/>
      <c r="B63" s="952"/>
      <c r="C63" s="958"/>
      <c r="D63" s="959"/>
      <c r="E63" s="959"/>
      <c r="F63" s="959"/>
      <c r="G63" s="959"/>
      <c r="H63" s="960"/>
      <c r="I63" s="897"/>
      <c r="J63" s="963"/>
      <c r="K63" s="965"/>
      <c r="L63" s="965"/>
      <c r="M63" s="946"/>
      <c r="N63" s="5"/>
      <c r="O63" s="721" t="s">
        <v>676</v>
      </c>
      <c r="P63" s="722"/>
      <c r="Q63" s="722"/>
      <c r="R63" s="722"/>
      <c r="S63" s="723"/>
      <c r="T63" s="203"/>
    </row>
    <row r="64" spans="1:20" s="4" customFormat="1" ht="14.25" customHeight="1" x14ac:dyDescent="0.2">
      <c r="A64" s="950" t="s">
        <v>465</v>
      </c>
      <c r="B64" s="951">
        <v>15</v>
      </c>
      <c r="C64" s="887" t="s">
        <v>82</v>
      </c>
      <c r="D64" s="953"/>
      <c r="E64" s="953"/>
      <c r="F64" s="953"/>
      <c r="G64" s="953"/>
      <c r="H64" s="954"/>
      <c r="I64" s="961" t="s">
        <v>64</v>
      </c>
      <c r="J64" s="962"/>
      <c r="K64" s="964"/>
      <c r="L64" s="865" t="s">
        <v>83</v>
      </c>
      <c r="M64" s="874" t="s">
        <v>740</v>
      </c>
      <c r="N64" s="5"/>
      <c r="O64" s="242" t="str">
        <f>HYPERLINK("https://deq.nc.gov/about/divisions/energy-mineral-land-resources/energy-mineral-land-permit-guidance/erosion-sediment-control-planning-design-manual","NC DENR Guidelines for Erosion and Sediment Control")</f>
        <v>NC DENR Guidelines for Erosion and Sediment Control</v>
      </c>
      <c r="P64" s="5"/>
      <c r="Q64" s="5"/>
      <c r="R64" s="5"/>
      <c r="S64" s="5"/>
      <c r="T64" s="5"/>
    </row>
    <row r="65" spans="1:20" s="4" customFormat="1" ht="15" customHeight="1" x14ac:dyDescent="0.25">
      <c r="A65" s="946"/>
      <c r="B65" s="952"/>
      <c r="C65" s="958"/>
      <c r="D65" s="959"/>
      <c r="E65" s="959"/>
      <c r="F65" s="959"/>
      <c r="G65" s="959"/>
      <c r="H65" s="960"/>
      <c r="I65" s="897"/>
      <c r="J65" s="963"/>
      <c r="K65" s="965"/>
      <c r="L65" s="965"/>
      <c r="M65" s="946"/>
      <c r="N65" s="5"/>
      <c r="O65" s="974" t="str">
        <f>HYPERLINK("https://www.google.com/url?sa=t&amp;rct=j&amp;q=&amp;esrc=s&amp;source=web&amp;cd=&amp;ved=2ahUKEwjetonAgYP6AhX9kWoFHcRSBksQFnoECAYQAQ&amp;url=https%3A%2F%2Fwww.greenbuilt.org%2Fwp-content%2Fuploads%2F2017%2F08%2FErosionControl.pdf&amp;usg=AOvVaw3nkalseHmJ8Psd9xpxnUCy","Erosion Control for Home Builders")</f>
        <v>Erosion Control for Home Builders</v>
      </c>
      <c r="P65" s="930"/>
      <c r="Q65" s="930"/>
      <c r="R65" s="930"/>
      <c r="S65" s="930"/>
      <c r="T65" s="244"/>
    </row>
    <row r="66" spans="1:20" s="4" customFormat="1" ht="23.25" customHeight="1" x14ac:dyDescent="0.25">
      <c r="A66" s="286" t="s">
        <v>465</v>
      </c>
      <c r="B66" s="834">
        <v>16</v>
      </c>
      <c r="C66" s="1048" t="s">
        <v>84</v>
      </c>
      <c r="D66" s="1049"/>
      <c r="E66" s="1049"/>
      <c r="F66" s="1049"/>
      <c r="G66" s="1049"/>
      <c r="H66" s="1024"/>
      <c r="I66" s="968" t="s">
        <v>64</v>
      </c>
      <c r="J66" s="969"/>
      <c r="K66" s="247"/>
      <c r="L66" s="25" t="s">
        <v>80</v>
      </c>
      <c r="M66" s="284" t="s">
        <v>733</v>
      </c>
      <c r="N66" s="5"/>
      <c r="O66" s="748" t="str">
        <f>HYPERLINK("https://www.ncwildflower.org/plant_galleries/invasives_list","List of Invasive Species")</f>
        <v>List of Invasive Species</v>
      </c>
      <c r="P66" s="5"/>
      <c r="Q66" s="5"/>
      <c r="R66" s="5"/>
      <c r="S66" s="5"/>
      <c r="T66" s="5"/>
    </row>
    <row r="67" spans="1:20" s="4" customFormat="1" ht="105.95" customHeight="1" x14ac:dyDescent="0.2">
      <c r="A67" s="286" t="s">
        <v>465</v>
      </c>
      <c r="B67" s="835">
        <v>17</v>
      </c>
      <c r="C67" s="979" t="s">
        <v>699</v>
      </c>
      <c r="D67" s="980"/>
      <c r="E67" s="980"/>
      <c r="F67" s="980"/>
      <c r="G67" s="980"/>
      <c r="H67" s="981"/>
      <c r="I67" s="982" t="s">
        <v>64</v>
      </c>
      <c r="J67" s="983"/>
      <c r="K67" s="564"/>
      <c r="L67" s="565" t="s">
        <v>80</v>
      </c>
      <c r="M67" s="854" t="s">
        <v>785</v>
      </c>
      <c r="N67" s="5"/>
      <c r="O67" s="750" t="str">
        <f>HYPERLINK("https://www.energystar.gov/partner_resources/residential_new/related_programs/rerh","EPA's Renewable Energy Ready Home Resources")</f>
        <v>EPA's Renewable Energy Ready Home Resources</v>
      </c>
      <c r="P67" s="242"/>
      <c r="Q67" s="242"/>
      <c r="R67" s="242"/>
      <c r="S67" s="242"/>
      <c r="T67" s="242"/>
    </row>
    <row r="68" spans="1:20" s="4" customFormat="1" ht="30.75" customHeight="1" x14ac:dyDescent="0.2">
      <c r="A68" s="286"/>
      <c r="B68" s="835">
        <v>18</v>
      </c>
      <c r="C68" s="979" t="s">
        <v>85</v>
      </c>
      <c r="D68" s="984"/>
      <c r="E68" s="984"/>
      <c r="F68" s="984"/>
      <c r="G68" s="984"/>
      <c r="H68" s="985"/>
      <c r="I68" s="982" t="s">
        <v>64</v>
      </c>
      <c r="J68" s="983"/>
      <c r="K68" s="566"/>
      <c r="L68" s="565" t="s">
        <v>80</v>
      </c>
      <c r="M68" s="727"/>
      <c r="N68" s="5"/>
      <c r="O68" s="242"/>
      <c r="P68" s="5"/>
      <c r="Q68" s="5"/>
      <c r="R68" s="5"/>
      <c r="S68" s="5"/>
      <c r="T68" s="5"/>
    </row>
    <row r="69" spans="1:20" s="4" customFormat="1" ht="51" customHeight="1" x14ac:dyDescent="0.25">
      <c r="A69" s="288"/>
      <c r="B69" s="836">
        <v>19</v>
      </c>
      <c r="C69" s="986" t="s">
        <v>651</v>
      </c>
      <c r="D69" s="987"/>
      <c r="E69" s="987"/>
      <c r="F69" s="987"/>
      <c r="G69" s="987"/>
      <c r="H69" s="988"/>
      <c r="I69" s="989" t="s">
        <v>64</v>
      </c>
      <c r="J69" s="990"/>
      <c r="K69" s="567"/>
      <c r="L69" s="568" t="s">
        <v>80</v>
      </c>
      <c r="M69" s="728"/>
      <c r="N69" s="5"/>
      <c r="O69" s="720"/>
      <c r="P69" s="5"/>
      <c r="Q69" s="5"/>
      <c r="R69" s="5"/>
      <c r="S69" s="5"/>
      <c r="T69" s="5"/>
    </row>
    <row r="70" spans="1:20" s="4" customFormat="1" ht="35.1" customHeight="1" thickBot="1" x14ac:dyDescent="0.3">
      <c r="A70" s="995" t="s">
        <v>58</v>
      </c>
      <c r="B70" s="995"/>
      <c r="C70" s="995"/>
      <c r="D70" s="995"/>
      <c r="E70" s="995"/>
      <c r="F70" s="995"/>
      <c r="G70" s="995"/>
      <c r="H70" s="995"/>
      <c r="I70" s="995"/>
      <c r="J70" s="995"/>
      <c r="K70" s="995"/>
      <c r="L70" s="995"/>
      <c r="M70" s="995"/>
      <c r="O70" s="720"/>
      <c r="P70" s="5"/>
      <c r="Q70" s="5"/>
      <c r="R70" s="5"/>
      <c r="S70" s="5"/>
      <c r="T70" s="5"/>
    </row>
    <row r="71" spans="1:20" s="4" customFormat="1" ht="18.75" customHeight="1" thickBot="1" x14ac:dyDescent="0.25">
      <c r="A71" s="996" t="s">
        <v>86</v>
      </c>
      <c r="B71" s="997"/>
      <c r="C71" s="997"/>
      <c r="D71" s="997"/>
      <c r="E71" s="997"/>
      <c r="F71" s="997"/>
      <c r="G71" s="997"/>
      <c r="H71" s="997"/>
      <c r="I71" s="997"/>
      <c r="J71" s="997"/>
      <c r="K71" s="997"/>
      <c r="L71" s="997"/>
      <c r="M71" s="998"/>
      <c r="O71" s="5"/>
      <c r="P71" s="5"/>
      <c r="Q71" s="5"/>
      <c r="R71" s="5"/>
      <c r="S71" s="5"/>
      <c r="T71" s="5"/>
    </row>
    <row r="72" spans="1:20" s="4" customFormat="1" ht="14.25" customHeight="1" thickBot="1" x14ac:dyDescent="0.3">
      <c r="A72" s="26"/>
      <c r="B72" s="27"/>
      <c r="C72" s="28"/>
      <c r="D72" s="29"/>
      <c r="E72" s="999" t="s">
        <v>593</v>
      </c>
      <c r="F72" s="1000"/>
      <c r="G72" s="1001"/>
      <c r="H72" s="879" t="s">
        <v>87</v>
      </c>
      <c r="I72" s="1005" t="s">
        <v>88</v>
      </c>
      <c r="J72" s="1006"/>
      <c r="K72" s="569"/>
      <c r="L72" s="1007" t="s">
        <v>89</v>
      </c>
      <c r="M72" s="1008" t="s">
        <v>90</v>
      </c>
      <c r="N72" s="9"/>
      <c r="O72" s="5"/>
      <c r="P72" s="6"/>
      <c r="Q72" s="15"/>
      <c r="R72" s="6"/>
      <c r="S72" s="6"/>
      <c r="T72" s="6"/>
    </row>
    <row r="73" spans="1:20" s="4" customFormat="1" ht="13.5" customHeight="1" thickBot="1" x14ac:dyDescent="0.25">
      <c r="A73" s="30" t="s">
        <v>0</v>
      </c>
      <c r="B73" s="31" t="s">
        <v>1</v>
      </c>
      <c r="C73" s="32" t="s">
        <v>91</v>
      </c>
      <c r="D73" s="33" t="s">
        <v>92</v>
      </c>
      <c r="E73" s="1002"/>
      <c r="F73" s="1003"/>
      <c r="G73" s="1004"/>
      <c r="H73" s="880"/>
      <c r="I73" s="649" t="s">
        <v>93</v>
      </c>
      <c r="J73" s="650" t="s">
        <v>94</v>
      </c>
      <c r="K73" s="570"/>
      <c r="L73" s="915"/>
      <c r="M73" s="1009"/>
      <c r="N73" s="9"/>
      <c r="O73" s="5"/>
      <c r="P73" s="6"/>
      <c r="Q73" s="6"/>
      <c r="R73" s="34"/>
      <c r="S73" s="6"/>
      <c r="T73" s="6"/>
    </row>
    <row r="74" spans="1:20" s="7" customFormat="1" ht="14.25" customHeight="1" thickBot="1" x14ac:dyDescent="0.3">
      <c r="A74" s="475"/>
      <c r="B74" s="35"/>
      <c r="C74" s="35"/>
      <c r="D74" s="480" t="s">
        <v>95</v>
      </c>
      <c r="E74" s="486"/>
      <c r="F74" s="487"/>
      <c r="G74" s="488"/>
      <c r="H74" s="69"/>
      <c r="I74" s="573"/>
      <c r="J74" s="573"/>
      <c r="K74" s="35"/>
      <c r="L74" s="970"/>
      <c r="M74" s="971"/>
      <c r="N74" s="17"/>
      <c r="O74" s="17"/>
      <c r="P74" s="17"/>
      <c r="Q74" s="17"/>
      <c r="R74" s="17"/>
      <c r="S74" s="17"/>
      <c r="T74" s="17"/>
    </row>
    <row r="75" spans="1:20" s="4" customFormat="1" ht="14.25" x14ac:dyDescent="0.2">
      <c r="A75" s="297"/>
      <c r="B75" s="298"/>
      <c r="C75" s="299"/>
      <c r="D75" s="300"/>
      <c r="E75" s="788">
        <v>1</v>
      </c>
      <c r="F75" s="1143" t="s">
        <v>577</v>
      </c>
      <c r="G75" s="882"/>
      <c r="H75" s="207"/>
      <c r="I75" s="140"/>
      <c r="J75" s="651">
        <f t="shared" ref="J75:J87" si="0">IF(OR(D75="m", C75="y"),H75,0)</f>
        <v>0</v>
      </c>
      <c r="K75" s="36">
        <f t="shared" ref="K75:K85" si="1">IF(AND(J75&gt;0,C75="y"),H75,0)</f>
        <v>0</v>
      </c>
      <c r="L75" s="972" t="s">
        <v>96</v>
      </c>
      <c r="M75" s="975"/>
      <c r="N75" s="5"/>
      <c r="O75" s="977" t="str">
        <f>HYPERLINK("https://deq.nc.gov/about/divisions/energy-mineral-land-resources/stormwater","NC DENR Guidelines for Stormwater")</f>
        <v>NC DENR Guidelines for Stormwater</v>
      </c>
      <c r="P75" s="930"/>
      <c r="Q75" s="930"/>
      <c r="R75" s="930"/>
      <c r="S75" s="5"/>
      <c r="T75" s="5"/>
    </row>
    <row r="76" spans="1:20" s="4" customFormat="1" ht="14.25" x14ac:dyDescent="0.2">
      <c r="A76" s="301"/>
      <c r="B76" s="302"/>
      <c r="C76" s="303"/>
      <c r="D76" s="304"/>
      <c r="E76" s="99" t="s">
        <v>97</v>
      </c>
      <c r="F76" s="1144" t="s">
        <v>98</v>
      </c>
      <c r="G76" s="884"/>
      <c r="H76" s="50">
        <v>1</v>
      </c>
      <c r="I76" s="652">
        <f>IF(AND(OR(A76="x", A76="p"),NOT(B76="n")),H76,0)</f>
        <v>0</v>
      </c>
      <c r="J76" s="653">
        <f t="shared" si="0"/>
        <v>0</v>
      </c>
      <c r="K76" s="37">
        <f t="shared" si="1"/>
        <v>0</v>
      </c>
      <c r="L76" s="927"/>
      <c r="M76" s="940"/>
      <c r="N76" s="6"/>
      <c r="O76" s="977" t="str">
        <f>HYPERLINK("https://riverlink.org/our-work/water-quality/waterrich/","Riverlinks WaterRich Program")</f>
        <v>Riverlinks WaterRich Program</v>
      </c>
      <c r="P76" s="930"/>
      <c r="Q76" s="930"/>
      <c r="R76" s="930"/>
      <c r="S76" s="6"/>
      <c r="T76" s="6"/>
    </row>
    <row r="77" spans="1:20" s="4" customFormat="1" ht="14.25" x14ac:dyDescent="0.2">
      <c r="A77" s="305"/>
      <c r="B77" s="306"/>
      <c r="C77" s="307"/>
      <c r="D77" s="308"/>
      <c r="E77" s="99" t="s">
        <v>99</v>
      </c>
      <c r="F77" s="251" t="s">
        <v>100</v>
      </c>
      <c r="G77" s="252"/>
      <c r="H77" s="50">
        <v>1</v>
      </c>
      <c r="I77" s="652">
        <f>IF(AND(OR(A77="x", A77="p"),NOT(B77="n")),H77,0)</f>
        <v>0</v>
      </c>
      <c r="J77" s="653">
        <f t="shared" si="0"/>
        <v>0</v>
      </c>
      <c r="K77" s="37">
        <f t="shared" si="1"/>
        <v>0</v>
      </c>
      <c r="L77" s="927"/>
      <c r="M77" s="940"/>
      <c r="N77" s="6"/>
      <c r="O77" s="242" t="str">
        <f>HYPERLINK("https://www.seattle.gov/Documents/Departments/SDCI/Codes/StormwaterSPUAllowablePermeablePavement.pdf","Overview of Permeable Pavers by the City of Seattle")</f>
        <v>Overview of Permeable Pavers by the City of Seattle</v>
      </c>
      <c r="P77" s="242"/>
      <c r="Q77" s="242"/>
      <c r="R77" s="242"/>
      <c r="S77" s="242"/>
      <c r="T77" s="242"/>
    </row>
    <row r="78" spans="1:20" s="4" customFormat="1" thickBot="1" x14ac:dyDescent="0.25">
      <c r="A78" s="365"/>
      <c r="B78" s="366"/>
      <c r="C78" s="367"/>
      <c r="D78" s="368"/>
      <c r="E78" s="837" t="s">
        <v>101</v>
      </c>
      <c r="F78" s="1145" t="s">
        <v>102</v>
      </c>
      <c r="G78" s="858"/>
      <c r="H78" s="62">
        <v>2</v>
      </c>
      <c r="I78" s="654">
        <f>IF(AND(OR(A78="x", A78="p"),NOT(B78="n")),H78,0)</f>
        <v>0</v>
      </c>
      <c r="J78" s="655">
        <f t="shared" si="0"/>
        <v>0</v>
      </c>
      <c r="K78" s="37">
        <f t="shared" si="1"/>
        <v>0</v>
      </c>
      <c r="L78" s="927"/>
      <c r="M78" s="940"/>
      <c r="N78" s="6"/>
      <c r="O78" s="5"/>
      <c r="P78" s="201"/>
      <c r="Q78" s="201"/>
      <c r="R78" s="201"/>
      <c r="S78" s="201"/>
      <c r="T78" s="201"/>
    </row>
    <row r="79" spans="1:20" s="550" customFormat="1" thickBot="1" x14ac:dyDescent="0.25">
      <c r="A79" s="1011"/>
      <c r="B79" s="1036"/>
      <c r="C79" s="1013"/>
      <c r="D79" s="1015"/>
      <c r="E79" s="1046" t="s">
        <v>103</v>
      </c>
      <c r="F79" s="1299" t="s">
        <v>104</v>
      </c>
      <c r="G79" s="1416"/>
      <c r="H79" s="1417" t="s">
        <v>112</v>
      </c>
      <c r="I79" s="1419">
        <f>IF(AND(A79="p",ISNUMBER(F80),F80&gt;0), MIN(10,ROUNDDOWN(F80/20,0)),0)</f>
        <v>0</v>
      </c>
      <c r="J79" s="1421">
        <f>IF(AND(OR(C79="y",D79="m"),ISNUMBER(F80),F80&gt;0,NOT(B79="n")), MIN(5,ROUNDDOWN(F80/20,0)),0)</f>
        <v>0</v>
      </c>
      <c r="K79" s="1423">
        <f>IF(AND(OR(C79="y"),ISNUMBER(F80),F80&gt;0), MIN(10,ROUNDDOWN(F80/10,0)),0)</f>
        <v>0</v>
      </c>
      <c r="L79" s="973"/>
      <c r="M79" s="976"/>
      <c r="N79" s="42"/>
      <c r="O79" s="559" t="str">
        <f>HYPERLINK("https://www.epa.gov/watersense/landscaping-tips","EPA WaterSense Smart Outdoor Practices")</f>
        <v>EPA WaterSense Smart Outdoor Practices</v>
      </c>
      <c r="P79" s="549"/>
      <c r="Q79" s="549"/>
      <c r="R79" s="549"/>
      <c r="S79" s="549"/>
      <c r="T79" s="549"/>
    </row>
    <row r="80" spans="1:20" s="550" customFormat="1" ht="14.25" customHeight="1" x14ac:dyDescent="0.2">
      <c r="A80" s="1012"/>
      <c r="B80" s="1037"/>
      <c r="C80" s="1014"/>
      <c r="D80" s="1016"/>
      <c r="E80" s="1047"/>
      <c r="F80" s="560">
        <v>0</v>
      </c>
      <c r="G80" s="561" t="s">
        <v>159</v>
      </c>
      <c r="H80" s="1418"/>
      <c r="I80" s="1420"/>
      <c r="J80" s="1422"/>
      <c r="K80" s="1424"/>
      <c r="L80" s="973"/>
      <c r="M80" s="976"/>
      <c r="N80" s="549"/>
      <c r="O80" s="559"/>
      <c r="P80" s="549"/>
      <c r="Q80" s="549"/>
      <c r="R80" s="549"/>
      <c r="S80" s="549"/>
      <c r="T80" s="549"/>
    </row>
    <row r="81" spans="1:20" s="4" customFormat="1" ht="14.25" customHeight="1" x14ac:dyDescent="0.2">
      <c r="A81" s="309"/>
      <c r="B81" s="310"/>
      <c r="C81" s="311"/>
      <c r="D81" s="312"/>
      <c r="E81" s="832">
        <v>2</v>
      </c>
      <c r="F81" s="1154" t="s">
        <v>598</v>
      </c>
      <c r="G81" s="1155"/>
      <c r="H81" s="206"/>
      <c r="I81" s="140"/>
      <c r="J81" s="141">
        <f t="shared" si="0"/>
        <v>0</v>
      </c>
      <c r="K81" s="36">
        <f t="shared" si="1"/>
        <v>0</v>
      </c>
      <c r="L81" s="865" t="s">
        <v>106</v>
      </c>
      <c r="M81" s="874"/>
      <c r="N81" s="5"/>
      <c r="O81" s="966" t="str">
        <f>HYPERLINK("https://swcweb.epa.gov/stormwatercalculator/","EPA Stormwater Tool")</f>
        <v>EPA Stormwater Tool</v>
      </c>
      <c r="P81" s="967"/>
      <c r="Q81" s="967"/>
      <c r="R81" s="967"/>
      <c r="S81" s="5"/>
      <c r="T81" s="5"/>
    </row>
    <row r="82" spans="1:20" s="4" customFormat="1" ht="31.5" customHeight="1" thickBot="1" x14ac:dyDescent="0.3">
      <c r="A82" s="313"/>
      <c r="B82" s="314"/>
      <c r="C82" s="315"/>
      <c r="D82" s="316"/>
      <c r="E82" s="838" t="s">
        <v>97</v>
      </c>
      <c r="F82" s="1044" t="s">
        <v>719</v>
      </c>
      <c r="G82" s="1045"/>
      <c r="H82" s="50">
        <v>2</v>
      </c>
      <c r="I82" s="652">
        <f>IF(AND(OR(A82="x", A82="p"),NOT(B82="n")),H82,0)</f>
        <v>0</v>
      </c>
      <c r="J82" s="653">
        <f t="shared" si="0"/>
        <v>0</v>
      </c>
      <c r="K82" s="37">
        <f t="shared" si="1"/>
        <v>0</v>
      </c>
      <c r="L82" s="866"/>
      <c r="M82" s="875"/>
      <c r="N82" s="6"/>
      <c r="O82" s="783" t="str">
        <f>HYPERLINK("https://hdsc.nws.noaa.gov/hdsc/pfds/pfds_map_cont.html?bkmrk=nc","Noaa- Year and Duration Preciptiation Tables")</f>
        <v>Noaa- Year and Duration Preciptiation Tables</v>
      </c>
      <c r="P82" s="471"/>
      <c r="Q82" s="474"/>
      <c r="R82" s="471"/>
      <c r="S82" s="6"/>
      <c r="T82" s="6"/>
    </row>
    <row r="83" spans="1:20" s="4" customFormat="1" ht="33" customHeight="1" thickBot="1" x14ac:dyDescent="0.3">
      <c r="A83" s="905"/>
      <c r="B83" s="907"/>
      <c r="C83" s="908"/>
      <c r="D83" s="909"/>
      <c r="E83" s="1165" t="s">
        <v>99</v>
      </c>
      <c r="F83" s="1167" t="s">
        <v>720</v>
      </c>
      <c r="G83" s="1168"/>
      <c r="H83" s="1313" t="s">
        <v>158</v>
      </c>
      <c r="I83" s="1204">
        <f>IF(AND(A83="p",ISNUMBER(F84),F84&gt;0), MIN(10,ROUNDDOWN(F84/10,0)),0)</f>
        <v>0</v>
      </c>
      <c r="J83" s="1306">
        <f>IF(AND(OR(C83="y",D83="m"),ISNUMBER(F84),F84&gt;0,NOT(B83="n")), MIN(5,ROUNDDOWN(F84/10,0)),0)</f>
        <v>0</v>
      </c>
      <c r="K83" s="1231">
        <f>IF(AND(OR(C83="y"),ISNUMBER(F84),F84&gt;0), MIN(10,ROUNDDOWN(F84/10,0)),0)</f>
        <v>0</v>
      </c>
      <c r="L83" s="866"/>
      <c r="M83" s="875"/>
      <c r="N83" s="5"/>
      <c r="O83" s="783" t="str">
        <f>HYPERLINK("https://docs.google.com/document/d/1W5XQmal9vIH7O4jCa6vbw_IWu3NztJHt/edit?usp=sharing&amp;ouid=116753556216395310786&amp;rtpof=true&amp;sd=true","GBA Google Doc: How to Use the EPA Stormwater Tool for Site Points 2a and b")</f>
        <v>GBA Google Doc: How to Use the EPA Stormwater Tool for Site Points 2a and b</v>
      </c>
      <c r="P83" s="471"/>
      <c r="Q83" s="471"/>
      <c r="R83" s="471"/>
      <c r="S83" s="6"/>
      <c r="T83" s="6"/>
    </row>
    <row r="84" spans="1:20" s="4" customFormat="1" ht="21.6" customHeight="1" x14ac:dyDescent="0.2">
      <c r="A84" s="1169"/>
      <c r="B84" s="1162"/>
      <c r="C84" s="1163"/>
      <c r="D84" s="1164"/>
      <c r="E84" s="1166"/>
      <c r="F84" s="533"/>
      <c r="G84" s="513" t="s">
        <v>645</v>
      </c>
      <c r="H84" s="1425"/>
      <c r="I84" s="1426"/>
      <c r="J84" s="1427"/>
      <c r="K84" s="1428"/>
      <c r="L84" s="867"/>
      <c r="M84" s="876"/>
      <c r="N84" s="6"/>
      <c r="O84" s="198" t="str">
        <f>HYPERLINK("https://www.epa.gov/watersense/landscaping-tips","EPA WaterSense Smart Outdoor Practices")</f>
        <v>EPA WaterSense Smart Outdoor Practices</v>
      </c>
      <c r="P84" s="6"/>
      <c r="Q84" s="6"/>
      <c r="R84" s="6"/>
      <c r="S84" s="6"/>
      <c r="T84" s="6"/>
    </row>
    <row r="85" spans="1:20" s="4" customFormat="1" ht="14.25" x14ac:dyDescent="0.2">
      <c r="A85" s="317"/>
      <c r="B85" s="318"/>
      <c r="C85" s="319"/>
      <c r="D85" s="320"/>
      <c r="E85" s="785">
        <v>3</v>
      </c>
      <c r="F85" s="918" t="s">
        <v>107</v>
      </c>
      <c r="G85" s="919"/>
      <c r="H85" s="40">
        <v>1</v>
      </c>
      <c r="I85" s="44">
        <f>IF(AND(OR(A85="x", A85="p"),NOT(B85="n")),H85,0)</f>
        <v>0</v>
      </c>
      <c r="J85" s="45">
        <f t="shared" si="0"/>
        <v>0</v>
      </c>
      <c r="K85" s="37">
        <f t="shared" si="1"/>
        <v>0</v>
      </c>
      <c r="L85" s="25" t="s">
        <v>77</v>
      </c>
      <c r="M85" s="284"/>
      <c r="N85" s="6"/>
      <c r="O85" s="242"/>
      <c r="S85" s="6"/>
      <c r="T85" s="6"/>
    </row>
    <row r="86" spans="1:20" s="4" customFormat="1" x14ac:dyDescent="0.25">
      <c r="A86" s="317"/>
      <c r="B86" s="318"/>
      <c r="C86" s="319"/>
      <c r="D86" s="320"/>
      <c r="E86" s="785">
        <v>4</v>
      </c>
      <c r="F86" s="918" t="s">
        <v>108</v>
      </c>
      <c r="G86" s="919"/>
      <c r="H86" s="40">
        <v>3</v>
      </c>
      <c r="I86" s="44">
        <f>IF(AND(OR(A86="x", A86="p"),NOT(B86="n")),H86,0)</f>
        <v>0</v>
      </c>
      <c r="J86" s="45">
        <f t="shared" si="0"/>
        <v>0</v>
      </c>
      <c r="K86" s="39">
        <f>IF(AND(J86&gt;0,C86="y"),H86,0)</f>
        <v>0</v>
      </c>
      <c r="L86" s="25" t="s">
        <v>109</v>
      </c>
      <c r="M86" s="284"/>
      <c r="N86" s="6"/>
      <c r="O86" s="748" t="str">
        <f>HYPERLINK("https://www.ncwildflower.org/plant_galleries/invasives_list","List of Invasive Species")</f>
        <v>List of Invasive Species</v>
      </c>
      <c r="P86" s="242"/>
      <c r="Q86" s="242"/>
      <c r="R86" s="242"/>
      <c r="S86" s="242"/>
      <c r="T86" s="242"/>
    </row>
    <row r="87" spans="1:20" s="4" customFormat="1" ht="15" customHeight="1" x14ac:dyDescent="0.2">
      <c r="A87" s="321"/>
      <c r="B87" s="322"/>
      <c r="C87" s="323"/>
      <c r="D87" s="324"/>
      <c r="E87" s="784">
        <v>5</v>
      </c>
      <c r="F87" s="921" t="s">
        <v>110</v>
      </c>
      <c r="G87" s="922"/>
      <c r="H87" s="62">
        <v>2</v>
      </c>
      <c r="I87" s="656">
        <f>IF(OR(A87="P", C87="x"),H87,0)</f>
        <v>0</v>
      </c>
      <c r="J87" s="651">
        <f t="shared" si="0"/>
        <v>0</v>
      </c>
      <c r="K87" s="39">
        <f>IF(AND(J87&gt;0,C87="y"),H87,0)</f>
        <v>0</v>
      </c>
      <c r="L87" s="41" t="s">
        <v>111</v>
      </c>
      <c r="M87" s="729"/>
      <c r="N87" s="6"/>
      <c r="O87" s="5"/>
      <c r="P87" s="42"/>
      <c r="Q87" s="42"/>
      <c r="R87" s="42"/>
      <c r="S87" s="42"/>
      <c r="T87" s="42"/>
    </row>
    <row r="88" spans="1:20" s="4" customFormat="1" ht="17.25" customHeight="1" thickBot="1" x14ac:dyDescent="0.25">
      <c r="A88" s="910"/>
      <c r="B88" s="891"/>
      <c r="C88" s="893"/>
      <c r="D88" s="894"/>
      <c r="E88" s="1156">
        <v>6</v>
      </c>
      <c r="F88" s="1021" t="s">
        <v>520</v>
      </c>
      <c r="G88" s="888"/>
      <c r="H88" s="1022" t="s">
        <v>628</v>
      </c>
      <c r="I88" s="1010">
        <f>IF(AND(A88="p", F89&gt;0,ISNUMBER(F89),NOT(B88="n")),MIN(F89,4),0)</f>
        <v>0</v>
      </c>
      <c r="J88" s="1160">
        <f>IF(AND(OR(C88="y",D88="m"), F89&gt;0,ISNUMBER(F89)),MIN(F89,4),0)</f>
        <v>0</v>
      </c>
      <c r="K88" s="1026">
        <f>IF(AND(OR(C88="y"), F89&gt;0,ISNUMBER(F89)),MIN(F89,5),0)</f>
        <v>0</v>
      </c>
      <c r="L88" s="865" t="s">
        <v>77</v>
      </c>
      <c r="M88" s="874"/>
      <c r="N88" s="6"/>
      <c r="O88" s="198"/>
      <c r="P88" s="6"/>
      <c r="Q88" s="6"/>
      <c r="R88" s="6"/>
      <c r="S88" s="6"/>
      <c r="T88" s="6"/>
    </row>
    <row r="89" spans="1:20" s="4" customFormat="1" ht="14.25" customHeight="1" x14ac:dyDescent="0.25">
      <c r="A89" s="906"/>
      <c r="B89" s="892"/>
      <c r="C89" s="892"/>
      <c r="D89" s="895"/>
      <c r="E89" s="1157"/>
      <c r="F89" s="534">
        <v>0</v>
      </c>
      <c r="G89" s="250" t="s">
        <v>627</v>
      </c>
      <c r="H89" s="946"/>
      <c r="I89" s="952"/>
      <c r="J89" s="1161"/>
      <c r="K89" s="928"/>
      <c r="L89" s="928"/>
      <c r="M89" s="946"/>
      <c r="N89" s="6"/>
      <c r="O89" s="646" t="s">
        <v>113</v>
      </c>
      <c r="P89" s="645"/>
      <c r="Q89" s="645"/>
      <c r="R89" s="645"/>
      <c r="S89" s="6"/>
      <c r="T89" s="6"/>
    </row>
    <row r="90" spans="1:20" s="4" customFormat="1" ht="24" customHeight="1" x14ac:dyDescent="0.2">
      <c r="A90" s="317"/>
      <c r="B90" s="318"/>
      <c r="C90" s="319"/>
      <c r="D90" s="320"/>
      <c r="E90" s="793">
        <v>7</v>
      </c>
      <c r="F90" s="1023" t="s">
        <v>114</v>
      </c>
      <c r="G90" s="1024"/>
      <c r="H90" s="40">
        <v>3</v>
      </c>
      <c r="I90" s="44">
        <f t="shared" ref="I90:I95" si="2">IF(AND(OR(A90="x", A90="p"),NOT(B90="n")),H90,0)</f>
        <v>0</v>
      </c>
      <c r="J90" s="45">
        <f t="shared" ref="J90:J95" si="3">IF(OR(D90="m", C90="y"),H90,0)</f>
        <v>0</v>
      </c>
      <c r="K90" s="39">
        <f t="shared" ref="K90:K95" si="4">IF(AND(J90&gt;0,C90="y"),H90,0)</f>
        <v>0</v>
      </c>
      <c r="L90" s="25" t="s">
        <v>115</v>
      </c>
      <c r="M90" s="284"/>
      <c r="N90" s="6"/>
      <c r="O90" s="198"/>
      <c r="P90" s="6"/>
      <c r="Q90" s="6"/>
      <c r="R90" s="6"/>
      <c r="S90" s="6"/>
      <c r="T90" s="6"/>
    </row>
    <row r="91" spans="1:20" s="4" customFormat="1" ht="18.75" customHeight="1" x14ac:dyDescent="0.2">
      <c r="A91" s="317" t="s">
        <v>465</v>
      </c>
      <c r="B91" s="318"/>
      <c r="C91" s="325" t="s">
        <v>787</v>
      </c>
      <c r="D91" s="326"/>
      <c r="E91" s="785">
        <v>8</v>
      </c>
      <c r="F91" s="921" t="s">
        <v>116</v>
      </c>
      <c r="G91" s="922"/>
      <c r="H91" s="148">
        <v>2</v>
      </c>
      <c r="I91" s="44">
        <f t="shared" si="2"/>
        <v>2</v>
      </c>
      <c r="J91" s="45">
        <f t="shared" si="3"/>
        <v>2</v>
      </c>
      <c r="K91" s="43">
        <f t="shared" si="4"/>
        <v>2</v>
      </c>
      <c r="L91" s="25" t="s">
        <v>117</v>
      </c>
      <c r="M91" s="284" t="s">
        <v>741</v>
      </c>
      <c r="N91" s="6"/>
      <c r="O91" s="5"/>
      <c r="P91" s="5"/>
      <c r="Q91" s="5"/>
      <c r="R91" s="5"/>
      <c r="S91" s="6"/>
      <c r="T91" s="6"/>
    </row>
    <row r="92" spans="1:20" s="4" customFormat="1" ht="14.25" customHeight="1" x14ac:dyDescent="0.2">
      <c r="A92" s="327"/>
      <c r="B92" s="328"/>
      <c r="C92" s="329"/>
      <c r="D92" s="330"/>
      <c r="E92" s="785">
        <v>9</v>
      </c>
      <c r="F92" s="921" t="s">
        <v>118</v>
      </c>
      <c r="G92" s="922"/>
      <c r="H92" s="148">
        <v>1</v>
      </c>
      <c r="I92" s="44">
        <f t="shared" si="2"/>
        <v>0</v>
      </c>
      <c r="J92" s="45">
        <f t="shared" si="3"/>
        <v>0</v>
      </c>
      <c r="K92" s="46">
        <f t="shared" si="4"/>
        <v>0</v>
      </c>
      <c r="L92" s="47" t="s">
        <v>119</v>
      </c>
      <c r="M92" s="284"/>
      <c r="N92" s="6"/>
      <c r="O92" s="6"/>
      <c r="P92" s="6"/>
      <c r="Q92" s="6"/>
      <c r="R92" s="6"/>
      <c r="S92" s="6"/>
      <c r="T92" s="6"/>
    </row>
    <row r="93" spans="1:20" s="4" customFormat="1" ht="15" customHeight="1" x14ac:dyDescent="0.2">
      <c r="A93" s="331"/>
      <c r="B93" s="332"/>
      <c r="C93" s="333"/>
      <c r="D93" s="334"/>
      <c r="E93" s="38">
        <v>10</v>
      </c>
      <c r="F93" s="921" t="s">
        <v>120</v>
      </c>
      <c r="G93" s="922"/>
      <c r="H93" s="207">
        <v>2</v>
      </c>
      <c r="I93" s="656">
        <f t="shared" si="2"/>
        <v>0</v>
      </c>
      <c r="J93" s="657">
        <f t="shared" si="3"/>
        <v>0</v>
      </c>
      <c r="K93" s="36">
        <f t="shared" si="4"/>
        <v>0</v>
      </c>
      <c r="L93" s="199" t="s">
        <v>121</v>
      </c>
      <c r="M93" s="725"/>
      <c r="N93" s="5"/>
      <c r="O93" s="977" t="s">
        <v>122</v>
      </c>
      <c r="P93" s="930"/>
      <c r="Q93" s="930"/>
      <c r="R93" s="930"/>
      <c r="S93" s="5"/>
      <c r="T93" s="5"/>
    </row>
    <row r="94" spans="1:20" s="4" customFormat="1" ht="24.75" customHeight="1" x14ac:dyDescent="0.2">
      <c r="A94" s="317"/>
      <c r="B94" s="318"/>
      <c r="C94" s="319"/>
      <c r="D94" s="320"/>
      <c r="E94" s="788">
        <v>11</v>
      </c>
      <c r="F94" s="1025" t="s">
        <v>123</v>
      </c>
      <c r="G94" s="922"/>
      <c r="H94" s="206">
        <v>1</v>
      </c>
      <c r="I94" s="658">
        <f t="shared" si="2"/>
        <v>0</v>
      </c>
      <c r="J94" s="141">
        <f t="shared" si="3"/>
        <v>0</v>
      </c>
      <c r="K94" s="43">
        <f t="shared" si="4"/>
        <v>0</v>
      </c>
      <c r="L94" s="197" t="s">
        <v>124</v>
      </c>
      <c r="M94" s="724"/>
      <c r="N94" s="6"/>
      <c r="O94" s="198" t="s">
        <v>125</v>
      </c>
      <c r="P94" s="6"/>
      <c r="Q94" s="6"/>
      <c r="R94" s="6"/>
      <c r="S94" s="6"/>
      <c r="T94" s="6"/>
    </row>
    <row r="95" spans="1:20" s="4" customFormat="1" ht="14.25" x14ac:dyDescent="0.2">
      <c r="A95" s="910"/>
      <c r="B95" s="891"/>
      <c r="C95" s="991"/>
      <c r="D95" s="894"/>
      <c r="E95" s="993">
        <v>12</v>
      </c>
      <c r="F95" s="1017" t="s">
        <v>126</v>
      </c>
      <c r="G95" s="888"/>
      <c r="H95" s="1020">
        <v>1</v>
      </c>
      <c r="I95" s="936">
        <f t="shared" si="2"/>
        <v>0</v>
      </c>
      <c r="J95" s="938">
        <f t="shared" si="3"/>
        <v>0</v>
      </c>
      <c r="K95" s="1158">
        <f t="shared" si="4"/>
        <v>0</v>
      </c>
      <c r="L95" s="865" t="s">
        <v>127</v>
      </c>
      <c r="M95" s="874"/>
      <c r="N95" s="6"/>
      <c r="O95" s="242" t="str">
        <f>HYPERLINK("https://www.nfpa.org/Public-Education/Fire-causes-and-risks/Wildfire/Firewise-USA/Become-a-Firewise-USA-site","Become a Firewise USA site")</f>
        <v>Become a Firewise USA site</v>
      </c>
      <c r="P95" s="6"/>
      <c r="Q95" s="6"/>
      <c r="R95" s="6"/>
      <c r="S95" s="6"/>
      <c r="T95" s="6"/>
    </row>
    <row r="96" spans="1:20" s="4" customFormat="1" thickBot="1" x14ac:dyDescent="0.25">
      <c r="A96" s="906"/>
      <c r="B96" s="892"/>
      <c r="C96" s="992"/>
      <c r="D96" s="895"/>
      <c r="E96" s="994"/>
      <c r="F96" s="1018"/>
      <c r="G96" s="1019"/>
      <c r="H96" s="927"/>
      <c r="I96" s="937"/>
      <c r="J96" s="939"/>
      <c r="K96" s="1159"/>
      <c r="L96" s="927"/>
      <c r="M96" s="940"/>
      <c r="N96" s="6"/>
      <c r="O96" s="941" t="str">
        <f>HYPERLINK("https://www.ndsu.edu/pubweb/firewisend/data/pdf/Firewise%20User%20Guide.pdf","Firewise USA Guidebook")</f>
        <v>Firewise USA Guidebook</v>
      </c>
      <c r="P96" s="930"/>
      <c r="Q96" s="930"/>
      <c r="R96" s="930"/>
      <c r="S96" s="6"/>
      <c r="T96" s="6"/>
    </row>
    <row r="97" spans="1:20" s="7" customFormat="1" ht="15" customHeight="1" thickBot="1" x14ac:dyDescent="0.3">
      <c r="A97" s="476"/>
      <c r="B97" s="478"/>
      <c r="C97" s="478" t="s">
        <v>128</v>
      </c>
      <c r="D97" s="481"/>
      <c r="E97" s="486"/>
      <c r="F97" s="489"/>
      <c r="G97" s="490"/>
      <c r="H97" s="69"/>
      <c r="I97" s="70"/>
      <c r="J97" s="659"/>
      <c r="K97" s="43"/>
      <c r="L97" s="491"/>
      <c r="M97" s="492"/>
      <c r="N97" s="17"/>
      <c r="O97" s="12"/>
      <c r="P97" s="17"/>
      <c r="Q97" s="17"/>
      <c r="R97" s="17"/>
      <c r="S97" s="12"/>
      <c r="T97" s="12"/>
    </row>
    <row r="98" spans="1:20" s="4" customFormat="1" ht="14.25" customHeight="1" x14ac:dyDescent="0.2">
      <c r="A98" s="1149" t="s">
        <v>465</v>
      </c>
      <c r="B98" s="1151"/>
      <c r="C98" s="1153" t="s">
        <v>787</v>
      </c>
      <c r="D98" s="903"/>
      <c r="E98" s="923">
        <v>13</v>
      </c>
      <c r="F98" s="942" t="s">
        <v>6</v>
      </c>
      <c r="G98" s="882"/>
      <c r="H98" s="944">
        <v>2</v>
      </c>
      <c r="I98" s="936">
        <f>IF(AND(OR(A98="x", A98="p"),NOT(B98="n")),H98,0)</f>
        <v>2</v>
      </c>
      <c r="J98" s="938">
        <f>IF(OR(D98="m", C98="y"),H98,0)</f>
        <v>2</v>
      </c>
      <c r="K98" s="1158">
        <f>IF(AND(J98&gt;0,C98="y"),H98,0)</f>
        <v>2</v>
      </c>
      <c r="L98" s="972" t="s">
        <v>129</v>
      </c>
      <c r="M98" s="1042" t="s">
        <v>733</v>
      </c>
      <c r="N98" s="5"/>
      <c r="O98" s="198" t="str">
        <f>HYPERLINK("https://msc.fema.gov/portal/home","FEMA Flood plain maps")</f>
        <v>FEMA Flood plain maps</v>
      </c>
      <c r="P98" s="243"/>
      <c r="Q98" s="243"/>
      <c r="R98" s="243"/>
      <c r="S98" s="243"/>
      <c r="T98" s="243"/>
    </row>
    <row r="99" spans="1:20" s="4" customFormat="1" ht="39.75" customHeight="1" x14ac:dyDescent="0.2">
      <c r="A99" s="1150"/>
      <c r="B99" s="1152"/>
      <c r="C99" s="1152"/>
      <c r="D99" s="904"/>
      <c r="E99" s="924"/>
      <c r="F99" s="943"/>
      <c r="G99" s="919"/>
      <c r="H99" s="927"/>
      <c r="I99" s="937"/>
      <c r="J99" s="939"/>
      <c r="K99" s="1159"/>
      <c r="L99" s="927"/>
      <c r="M99" s="1043"/>
      <c r="N99" s="5"/>
      <c r="O99" s="243" t="str">
        <f>HYPERLINK("https://websoilsurvey.nrcs.usda.gov/app/WebSoilSurvey.aspx","USDA Soil Map")</f>
        <v>USDA Soil Map</v>
      </c>
      <c r="P99" s="243"/>
      <c r="Q99" s="243"/>
      <c r="R99" s="243"/>
      <c r="S99" s="243"/>
      <c r="T99" s="243"/>
    </row>
    <row r="100" spans="1:20" s="4" customFormat="1" ht="14.25" customHeight="1" x14ac:dyDescent="0.2">
      <c r="A100" s="335"/>
      <c r="B100" s="336"/>
      <c r="C100" s="336"/>
      <c r="D100" s="337"/>
      <c r="E100" s="786">
        <v>14</v>
      </c>
      <c r="F100" s="935" t="s">
        <v>130</v>
      </c>
      <c r="G100" s="888"/>
      <c r="H100" s="206"/>
      <c r="I100" s="140"/>
      <c r="J100" s="141"/>
      <c r="K100" s="39"/>
      <c r="L100" s="865" t="s">
        <v>131</v>
      </c>
      <c r="M100" s="874"/>
      <c r="N100" s="6"/>
      <c r="O100" s="6"/>
      <c r="P100" s="6"/>
      <c r="Q100" s="6"/>
      <c r="R100" s="6"/>
      <c r="S100" s="6"/>
      <c r="T100" s="6"/>
    </row>
    <row r="101" spans="1:20" s="4" customFormat="1" ht="15" customHeight="1" x14ac:dyDescent="0.2">
      <c r="A101" s="338"/>
      <c r="B101" s="339"/>
      <c r="C101" s="340"/>
      <c r="D101" s="341"/>
      <c r="E101" s="52" t="s">
        <v>97</v>
      </c>
      <c r="F101" s="920" t="s">
        <v>132</v>
      </c>
      <c r="G101" s="884"/>
      <c r="H101" s="50">
        <v>1</v>
      </c>
      <c r="I101" s="652">
        <f>IF(AND(OR(A101="x", A101="p"),NOT(OR(B101="n", A102="x", A102="p", A103="x", A103="p"))),H101,0)</f>
        <v>0</v>
      </c>
      <c r="J101" s="660">
        <f>IF(AND(OR(D101="m", C101="y"),NOT(D102="m"),NOT(C102="y"),NOT(D103="m"),NOT(C103="y")),H101,0)</f>
        <v>0</v>
      </c>
      <c r="K101" s="39">
        <f>IF(AND(J101&gt;0,C101="y"),H101,0)</f>
        <v>0</v>
      </c>
      <c r="L101" s="927"/>
      <c r="M101" s="940"/>
      <c r="N101" s="6"/>
      <c r="O101" s="5"/>
      <c r="P101" s="42"/>
      <c r="Q101" s="42"/>
      <c r="R101" s="42"/>
      <c r="S101" s="42"/>
      <c r="T101" s="42"/>
    </row>
    <row r="102" spans="1:20" s="4" customFormat="1" ht="15" customHeight="1" x14ac:dyDescent="0.2">
      <c r="A102" s="305"/>
      <c r="B102" s="306"/>
      <c r="C102" s="307"/>
      <c r="D102" s="308"/>
      <c r="E102" s="52" t="s">
        <v>99</v>
      </c>
      <c r="F102" s="920" t="s">
        <v>133</v>
      </c>
      <c r="G102" s="884"/>
      <c r="H102" s="50">
        <v>3</v>
      </c>
      <c r="I102" s="652">
        <f>IF(AND(OR(A102="x", A102="p"),NOT(OR(B102="n", A103="x", A103="p", A101="x", A101="p"))),H102,0)</f>
        <v>0</v>
      </c>
      <c r="J102" s="660">
        <f>IF(AND(OR(D102="m", C102="y"),NOT(D103="m"),NOT(C103="y"),NOT(D101="m"),NOT(C101="y")),H102,0)</f>
        <v>0</v>
      </c>
      <c r="K102" s="39">
        <f>IF(AND(J102&gt;0,C102="y"),H102,0)</f>
        <v>0</v>
      </c>
      <c r="L102" s="927"/>
      <c r="M102" s="940"/>
      <c r="N102" s="6"/>
      <c r="O102" s="934" t="str">
        <f>HYPERLINK("https://www.walkscore.com/","Calculate your Walk Score")</f>
        <v>Calculate your Walk Score</v>
      </c>
      <c r="P102" s="930"/>
      <c r="Q102" s="930"/>
      <c r="R102" s="930"/>
      <c r="S102" s="930"/>
      <c r="T102" s="930"/>
    </row>
    <row r="103" spans="1:20" s="4" customFormat="1" ht="15" customHeight="1" x14ac:dyDescent="0.2">
      <c r="A103" s="342"/>
      <c r="B103" s="343"/>
      <c r="C103" s="344"/>
      <c r="D103" s="345"/>
      <c r="E103" s="54" t="s">
        <v>101</v>
      </c>
      <c r="F103" s="898" t="s">
        <v>134</v>
      </c>
      <c r="G103" s="899"/>
      <c r="H103" s="72">
        <v>5</v>
      </c>
      <c r="I103" s="661">
        <f>IF(AND(OR(A103="x", A103="p"),NOT(OR(B103="n", A102="x", A102="p", A101="x", A102="p"))),H103,0)</f>
        <v>0</v>
      </c>
      <c r="J103" s="662">
        <f>IF(AND(OR(D103="m", C103="y"),NOT(D102="m"),NOT(C102="y"),NOT(D101="m"),NOT(C101="y")),H103,0)</f>
        <v>0</v>
      </c>
      <c r="K103" s="39">
        <f>IF(AND(J103&gt;0,C103="y"),H103,0)</f>
        <v>0</v>
      </c>
      <c r="L103" s="928"/>
      <c r="M103" s="946"/>
      <c r="N103" s="6"/>
      <c r="O103" s="6"/>
      <c r="P103" s="6"/>
      <c r="Q103" s="6"/>
      <c r="R103" s="6"/>
      <c r="S103" s="6"/>
      <c r="T103" s="6"/>
    </row>
    <row r="104" spans="1:20" s="4" customFormat="1" ht="14.25" customHeight="1" x14ac:dyDescent="0.2">
      <c r="A104" s="335"/>
      <c r="B104" s="336"/>
      <c r="C104" s="336"/>
      <c r="D104" s="337"/>
      <c r="E104" s="786">
        <v>15</v>
      </c>
      <c r="F104" s="945" t="s">
        <v>576</v>
      </c>
      <c r="G104" s="856"/>
      <c r="H104" s="206"/>
      <c r="I104" s="140"/>
      <c r="J104" s="141"/>
      <c r="K104" s="39"/>
      <c r="L104" s="865" t="s">
        <v>135</v>
      </c>
      <c r="M104" s="874"/>
      <c r="N104" s="6"/>
      <c r="O104" s="6"/>
      <c r="P104" s="6"/>
      <c r="Q104" s="6"/>
      <c r="R104" s="6"/>
      <c r="S104" s="6"/>
      <c r="T104" s="6"/>
    </row>
    <row r="105" spans="1:20" s="4" customFormat="1" ht="15" customHeight="1" x14ac:dyDescent="0.2">
      <c r="A105" s="338"/>
      <c r="B105" s="339"/>
      <c r="C105" s="340"/>
      <c r="D105" s="341"/>
      <c r="E105" s="53" t="s">
        <v>97</v>
      </c>
      <c r="F105" s="947" t="s">
        <v>663</v>
      </c>
      <c r="G105" s="948"/>
      <c r="H105" s="50">
        <v>1</v>
      </c>
      <c r="I105" s="652">
        <f>IF(AND(OR(A105="x", A105="p"),NOT(OR(B105="n", A106="x", A106="p"))),H105,0)</f>
        <v>0</v>
      </c>
      <c r="J105" s="660">
        <f>IF(AND(OR(D105="m", C105="y"),NOT(D106="m"),NOT(C106="y")),H105,0)</f>
        <v>0</v>
      </c>
      <c r="K105" s="39">
        <f>IF(AND(J105&gt;0,C105="y"),H105,0)</f>
        <v>0</v>
      </c>
      <c r="L105" s="927"/>
      <c r="M105" s="940"/>
      <c r="N105" s="6"/>
      <c r="O105" s="6"/>
      <c r="P105" s="6"/>
      <c r="Q105" s="6"/>
      <c r="R105" s="6"/>
      <c r="S105" s="6"/>
      <c r="T105" s="6"/>
    </row>
    <row r="106" spans="1:20" s="4" customFormat="1" ht="27" customHeight="1" x14ac:dyDescent="0.2">
      <c r="A106" s="305"/>
      <c r="B106" s="306"/>
      <c r="C106" s="307"/>
      <c r="D106" s="308"/>
      <c r="E106" s="53" t="s">
        <v>99</v>
      </c>
      <c r="F106" s="949" t="s">
        <v>666</v>
      </c>
      <c r="G106" s="884"/>
      <c r="H106" s="50">
        <v>2</v>
      </c>
      <c r="I106" s="652">
        <f>IF(AND(OR(A106="x", A106="p"),NOT(OR(B106="n", A105="x", A105="p"))),H106,0)</f>
        <v>0</v>
      </c>
      <c r="J106" s="660">
        <f>IF(AND(OR(D106="m", C106="y"),NOT(D105="m"),NOT(C105="y")),H106,0)</f>
        <v>0</v>
      </c>
      <c r="K106" s="39">
        <f>IF(AND(J106&gt;0,C106="y"),H106,0)</f>
        <v>0</v>
      </c>
      <c r="L106" s="927"/>
      <c r="M106" s="946"/>
      <c r="N106" s="6"/>
      <c r="O106" s="5"/>
      <c r="P106" s="5"/>
      <c r="Q106" s="5"/>
      <c r="R106" s="5"/>
      <c r="S106" s="5"/>
      <c r="T106" s="5"/>
    </row>
    <row r="107" spans="1:20" s="4" customFormat="1" ht="14.25" customHeight="1" x14ac:dyDescent="0.2">
      <c r="A107" s="317" t="s">
        <v>465</v>
      </c>
      <c r="B107" s="318"/>
      <c r="C107" s="319" t="s">
        <v>787</v>
      </c>
      <c r="D107" s="320"/>
      <c r="E107" s="785">
        <v>16</v>
      </c>
      <c r="F107" s="921" t="s">
        <v>664</v>
      </c>
      <c r="G107" s="922"/>
      <c r="H107" s="40">
        <v>2</v>
      </c>
      <c r="I107" s="44">
        <f>IF(AND(OR(A107="x", A107="p"),NOT(OR(B107="n"))),H107,0)</f>
        <v>2</v>
      </c>
      <c r="J107" s="663">
        <f>IF(AND(OR(D107="m", C107="y")),H107,0)</f>
        <v>2</v>
      </c>
      <c r="K107" s="43">
        <f>IF(AND(J107&gt;0,C107="y"),H107,0)</f>
        <v>2</v>
      </c>
      <c r="L107" s="25" t="s">
        <v>77</v>
      </c>
      <c r="M107" s="284" t="s">
        <v>742</v>
      </c>
      <c r="N107" s="6"/>
      <c r="O107" s="6"/>
      <c r="P107" s="6"/>
      <c r="Q107" s="6"/>
      <c r="R107" s="6"/>
      <c r="S107" s="6"/>
      <c r="T107" s="6"/>
    </row>
    <row r="108" spans="1:20" s="4" customFormat="1" ht="14.25" customHeight="1" x14ac:dyDescent="0.2">
      <c r="A108" s="335"/>
      <c r="B108" s="336"/>
      <c r="C108" s="336"/>
      <c r="D108" s="337"/>
      <c r="E108" s="156">
        <v>17</v>
      </c>
      <c r="F108" s="887" t="s">
        <v>136</v>
      </c>
      <c r="G108" s="888"/>
      <c r="H108" s="206"/>
      <c r="I108" s="140"/>
      <c r="J108" s="141"/>
      <c r="K108" s="43"/>
      <c r="L108" s="865" t="s">
        <v>137</v>
      </c>
      <c r="M108" s="874" t="s">
        <v>743</v>
      </c>
      <c r="N108" s="6"/>
      <c r="O108" s="6"/>
      <c r="P108" s="6"/>
      <c r="Q108" s="6"/>
      <c r="R108" s="6"/>
      <c r="S108" s="6"/>
      <c r="T108" s="6"/>
    </row>
    <row r="109" spans="1:20" s="4" customFormat="1" ht="21.75" customHeight="1" x14ac:dyDescent="0.2">
      <c r="A109" s="338"/>
      <c r="B109" s="339"/>
      <c r="C109" s="340"/>
      <c r="D109" s="341"/>
      <c r="E109" s="52" t="s">
        <v>97</v>
      </c>
      <c r="F109" s="920" t="s">
        <v>138</v>
      </c>
      <c r="G109" s="884"/>
      <c r="H109" s="50">
        <v>1</v>
      </c>
      <c r="I109" s="652">
        <f>IF(AND(OR(A109="x", A109="p"),NOT(OR(B109="n", A110="x", A110="p", A111="x", A111="p", A112="x", A112="p"))),H109,0)</f>
        <v>0</v>
      </c>
      <c r="J109" s="660">
        <f>IF(AND(OR(D109="m", C109="y"),NOT(D110="m"),NOT(C110="y"),NOT(D111="m"),NOT(C111="y"), NOT(D112="m"),NOT(C112="y")),H109,0)</f>
        <v>0</v>
      </c>
      <c r="K109" s="43">
        <f>IF(AND(J109&gt;0,C109="y"),H109,0)</f>
        <v>0</v>
      </c>
      <c r="L109" s="927"/>
      <c r="M109" s="940"/>
      <c r="N109" s="6"/>
      <c r="O109" s="6"/>
      <c r="P109" s="6"/>
      <c r="Q109" s="6"/>
      <c r="R109" s="6"/>
      <c r="S109" s="6"/>
      <c r="T109" s="6"/>
    </row>
    <row r="110" spans="1:20" s="4" customFormat="1" ht="15" customHeight="1" x14ac:dyDescent="0.2">
      <c r="A110" s="305"/>
      <c r="B110" s="306"/>
      <c r="C110" s="307"/>
      <c r="D110" s="308"/>
      <c r="E110" s="52" t="s">
        <v>99</v>
      </c>
      <c r="F110" s="920" t="s">
        <v>139</v>
      </c>
      <c r="G110" s="884"/>
      <c r="H110" s="50">
        <v>2</v>
      </c>
      <c r="I110" s="652">
        <f>IF(AND(OR(A110="x", A110="p"),NOT(OR(B110="n", A109="x", A109="p", A111="x", A111="p", A112="x", A112="p"))),H110,0)</f>
        <v>0</v>
      </c>
      <c r="J110" s="660">
        <f>IF(AND(OR(D110="m", C110="y"),NOT(D111="m"),NOT(C111="y"),NOT(D109="m"),NOT(C109="y"), NOT(D112="m"),NOT(C112="y")),H110,0)</f>
        <v>0</v>
      </c>
      <c r="K110" s="43">
        <f>IF(AND(J110&gt;0,C110="y"),H110,0)</f>
        <v>0</v>
      </c>
      <c r="L110" s="927"/>
      <c r="M110" s="940"/>
      <c r="N110" s="6"/>
      <c r="O110" s="6"/>
      <c r="P110" s="6"/>
      <c r="Q110" s="6"/>
      <c r="R110" s="6"/>
      <c r="S110" s="6"/>
      <c r="T110" s="6"/>
    </row>
    <row r="111" spans="1:20" s="4" customFormat="1" ht="27" customHeight="1" x14ac:dyDescent="0.2">
      <c r="A111" s="305" t="s">
        <v>465</v>
      </c>
      <c r="B111" s="306"/>
      <c r="C111" s="307" t="s">
        <v>787</v>
      </c>
      <c r="D111" s="308"/>
      <c r="E111" s="52" t="s">
        <v>101</v>
      </c>
      <c r="F111" s="920" t="s">
        <v>667</v>
      </c>
      <c r="G111" s="884"/>
      <c r="H111" s="50">
        <v>3</v>
      </c>
      <c r="I111" s="652">
        <f>IF(AND(OR(A111="x", A111="p"),NOT(OR(B111="n", A109="x", A109="p", A110="x", A110="p", A112="x", A112="p"))),H111,0)</f>
        <v>3</v>
      </c>
      <c r="J111" s="660">
        <f>IF(AND(OR(D111="m", C111="y"),NOT(D109="m"),NOT(C109="y"),NOT(D110="m"),NOT(C110="y"), NOT(D112="m"),NOT(C112="y")),H111,0)</f>
        <v>3</v>
      </c>
      <c r="K111" s="36">
        <f>IF(AND(J111&gt;0,C111="y"),H111,0)</f>
        <v>3</v>
      </c>
      <c r="L111" s="927"/>
      <c r="M111" s="940"/>
      <c r="N111" s="6"/>
      <c r="O111" s="6"/>
      <c r="P111" s="6"/>
      <c r="Q111" s="6"/>
      <c r="R111" s="6"/>
      <c r="S111" s="6"/>
      <c r="T111" s="6"/>
    </row>
    <row r="112" spans="1:20" s="4" customFormat="1" ht="30" customHeight="1" x14ac:dyDescent="0.2">
      <c r="A112" s="342"/>
      <c r="B112" s="343"/>
      <c r="C112" s="344"/>
      <c r="D112" s="345"/>
      <c r="E112" s="118" t="s">
        <v>103</v>
      </c>
      <c r="F112" s="978" t="s">
        <v>665</v>
      </c>
      <c r="G112" s="899"/>
      <c r="H112" s="72">
        <v>4</v>
      </c>
      <c r="I112" s="664">
        <f>IF(AND(OR(A112="x", A112="p"),NOT(OR(B112="n", A110="x", A110="p", A111="x", A111="p", A109="x", A109="p"))),H112,0)</f>
        <v>0</v>
      </c>
      <c r="J112" s="665">
        <f>IF(AND(OR(D112="m", C112="y"),NOT(D110="m"),NOT(C110="y"),NOT(D111="m"),NOT(C111="y"), NOT(D109="m"),NOT(C109="y")),H112,0)</f>
        <v>0</v>
      </c>
      <c r="K112" s="51">
        <f>IF(AND(J112&gt;0,C112="y"),H112,0)</f>
        <v>0</v>
      </c>
      <c r="L112" s="928"/>
      <c r="M112" s="946"/>
      <c r="N112" s="6"/>
      <c r="O112" s="6"/>
      <c r="P112" s="6"/>
      <c r="Q112" s="6"/>
      <c r="R112" s="6"/>
      <c r="S112" s="6"/>
      <c r="T112" s="6"/>
    </row>
    <row r="113" spans="1:20" s="4" customFormat="1" thickBot="1" x14ac:dyDescent="0.25">
      <c r="A113" s="317"/>
      <c r="B113" s="318"/>
      <c r="C113" s="319"/>
      <c r="D113" s="320"/>
      <c r="E113" s="839">
        <v>18</v>
      </c>
      <c r="F113" s="916" t="s">
        <v>140</v>
      </c>
      <c r="G113" s="917"/>
      <c r="H113" s="40">
        <v>2</v>
      </c>
      <c r="I113" s="44">
        <f>IF(AND(OR(A113="x", A113="p"),NOT(OR(B113="n"))),H113,0)</f>
        <v>0</v>
      </c>
      <c r="J113" s="663">
        <f>IF(AND(OR(D113="m", C113="y")),H113,0)</f>
        <v>0</v>
      </c>
      <c r="K113" s="43">
        <f>IF(AND(J113&gt;0,C113="y"),H113,0)</f>
        <v>0</v>
      </c>
      <c r="L113" s="25" t="s">
        <v>597</v>
      </c>
      <c r="M113" s="284"/>
      <c r="O113" s="933" t="s">
        <v>142</v>
      </c>
      <c r="P113" s="930"/>
      <c r="Q113" s="930"/>
      <c r="R113" s="930"/>
      <c r="S113" s="930"/>
      <c r="T113" s="242"/>
    </row>
    <row r="114" spans="1:20" s="7" customFormat="1" ht="15" customHeight="1" thickBot="1" x14ac:dyDescent="0.3">
      <c r="A114" s="476"/>
      <c r="B114" s="478"/>
      <c r="C114" s="478"/>
      <c r="D114" s="482" t="s">
        <v>143</v>
      </c>
      <c r="E114" s="486"/>
      <c r="F114" s="493"/>
      <c r="G114" s="494"/>
      <c r="H114" s="69"/>
      <c r="I114" s="70"/>
      <c r="J114" s="70"/>
      <c r="K114" s="35"/>
      <c r="L114" s="859"/>
      <c r="M114" s="860"/>
      <c r="N114" s="17"/>
      <c r="O114" s="17"/>
      <c r="P114" s="12"/>
      <c r="Q114" s="12"/>
      <c r="R114" s="12"/>
      <c r="S114" s="12"/>
      <c r="T114" s="12"/>
    </row>
    <row r="115" spans="1:20" s="4" customFormat="1" ht="31.5" customHeight="1" x14ac:dyDescent="0.2">
      <c r="A115" s="335"/>
      <c r="B115" s="336"/>
      <c r="C115" s="336"/>
      <c r="D115" s="337"/>
      <c r="E115" s="786">
        <v>19</v>
      </c>
      <c r="F115" s="925" t="s">
        <v>144</v>
      </c>
      <c r="G115" s="926"/>
      <c r="H115" s="206"/>
      <c r="I115" s="140"/>
      <c r="J115" s="141"/>
      <c r="K115" s="43"/>
      <c r="L115" s="972" t="s">
        <v>145</v>
      </c>
      <c r="M115" s="975" t="s">
        <v>786</v>
      </c>
      <c r="N115" s="5"/>
      <c r="O115" s="933" t="str">
        <f>HYPERLINK("https://forsyth.ces.ncsu.edu/wp-content/uploads/2016/03/RGmanual2015.pdf?fwd=no","NC Extension Agency Rain Garden Guide")</f>
        <v>NC Extension Agency Rain Garden Guide</v>
      </c>
      <c r="P115" s="930"/>
      <c r="Q115" s="930"/>
      <c r="R115" s="930"/>
      <c r="S115" s="930"/>
      <c r="T115" s="6"/>
    </row>
    <row r="116" spans="1:20" s="4" customFormat="1" ht="15" customHeight="1" x14ac:dyDescent="0.2">
      <c r="A116" s="338"/>
      <c r="B116" s="339"/>
      <c r="C116" s="340"/>
      <c r="D116" s="341"/>
      <c r="E116" s="98" t="s">
        <v>97</v>
      </c>
      <c r="F116" s="920" t="s">
        <v>146</v>
      </c>
      <c r="G116" s="884"/>
      <c r="H116" s="50">
        <v>1</v>
      </c>
      <c r="I116" s="652">
        <f>IF(AND(OR(A116="x", A116="p"),NOT(OR(B116="n", A117="x", A117="p", A118="x", A118="p", A119="x", A119="p"))),H116,0)</f>
        <v>0</v>
      </c>
      <c r="J116" s="660">
        <f>IF(AND(OR(D116="m", C116="y"),NOT(D117="m"),NOT(C117="y"),NOT(D118="m"),NOT(C118="y"), NOT(D119="m"),NOT(C119="y")),H116,0)</f>
        <v>0</v>
      </c>
      <c r="K116" s="43">
        <f t="shared" ref="K116:K122" si="5">IF(AND(J116&gt;0,C116="y"),H116,0)</f>
        <v>0</v>
      </c>
      <c r="L116" s="927"/>
      <c r="M116" s="940"/>
      <c r="N116" s="6"/>
      <c r="O116" s="6"/>
      <c r="P116" s="6"/>
      <c r="Q116" s="6"/>
      <c r="R116" s="6"/>
      <c r="S116" s="6"/>
      <c r="T116" s="6"/>
    </row>
    <row r="117" spans="1:20" s="4" customFormat="1" ht="15" customHeight="1" x14ac:dyDescent="0.2">
      <c r="A117" s="305"/>
      <c r="B117" s="306"/>
      <c r="C117" s="307"/>
      <c r="D117" s="308"/>
      <c r="E117" s="52" t="s">
        <v>99</v>
      </c>
      <c r="F117" s="920" t="s">
        <v>147</v>
      </c>
      <c r="G117" s="884"/>
      <c r="H117" s="50">
        <v>2</v>
      </c>
      <c r="I117" s="652">
        <f>IF(AND(OR(A117="x", A117="p"),NOT(OR(B117="n", A116="x", A116="p", A118="x", A118="p", A119="x", A119="p"))),H117,0)</f>
        <v>0</v>
      </c>
      <c r="J117" s="660">
        <f>IF(AND(OR(D117="m", C117="y"),NOT(D118="m"),NOT(C118="y"),NOT(D116="m"),NOT(C116="y"), NOT(D119="m"),NOT(C119="y")),H117,0)</f>
        <v>0</v>
      </c>
      <c r="K117" s="43">
        <f t="shared" si="5"/>
        <v>0</v>
      </c>
      <c r="L117" s="927"/>
      <c r="M117" s="940"/>
      <c r="N117" s="6"/>
      <c r="O117" s="198" t="str">
        <f>HYPERLINK("https://ncwildflower.org/native_plants/recommendations","Native Plants")</f>
        <v>Native Plants</v>
      </c>
      <c r="P117" s="6"/>
      <c r="Q117" s="242" t="str">
        <f>HYPERLINK("https://www.nwf.org/NativePlantFinder/Plants","NWF Native Plant Finder")</f>
        <v>NWF Native Plant Finder</v>
      </c>
      <c r="R117" s="42"/>
      <c r="S117" s="6"/>
      <c r="T117" s="6"/>
    </row>
    <row r="118" spans="1:20" s="4" customFormat="1" ht="15" customHeight="1" x14ac:dyDescent="0.2">
      <c r="A118" s="313"/>
      <c r="B118" s="314"/>
      <c r="C118" s="315"/>
      <c r="D118" s="316"/>
      <c r="E118" s="53" t="s">
        <v>101</v>
      </c>
      <c r="F118" s="949" t="s">
        <v>148</v>
      </c>
      <c r="G118" s="884"/>
      <c r="H118" s="50">
        <v>3</v>
      </c>
      <c r="I118" s="652">
        <f>IF(AND(OR(A118="x", A118="p"),NOT(OR(B118="n", A116="x", A116="p", A117="x", A117="p", A119="x", A119="p"))),H118,0)</f>
        <v>0</v>
      </c>
      <c r="J118" s="660">
        <f>IF(AND(OR(D118="m", C118="y"),NOT(D116="m"),NOT(C116="y"),NOT(D117="m"),NOT(C117="y"), NOT(D119="m"),NOT(C119="y")),H118,0)</f>
        <v>0</v>
      </c>
      <c r="K118" s="43">
        <f t="shared" si="5"/>
        <v>0</v>
      </c>
      <c r="L118" s="927"/>
      <c r="M118" s="940"/>
      <c r="N118" s="6"/>
      <c r="O118" s="977" t="s">
        <v>149</v>
      </c>
      <c r="P118" s="930"/>
      <c r="Q118" s="930"/>
      <c r="R118" s="5"/>
      <c r="S118" s="6"/>
      <c r="T118" s="6"/>
    </row>
    <row r="119" spans="1:20" s="4" customFormat="1" ht="27" customHeight="1" x14ac:dyDescent="0.2">
      <c r="A119" s="321"/>
      <c r="B119" s="322"/>
      <c r="C119" s="323"/>
      <c r="D119" s="324"/>
      <c r="E119" s="54" t="s">
        <v>103</v>
      </c>
      <c r="F119" s="898" t="s">
        <v>668</v>
      </c>
      <c r="G119" s="899"/>
      <c r="H119" s="62">
        <v>4</v>
      </c>
      <c r="I119" s="664">
        <f>IF(AND(OR(A119="x", A119="p"),NOT(OR(B119="n", A117="x", A117="p", A118="x", A118="p", A116="x", A116="p"))),H119,0)</f>
        <v>0</v>
      </c>
      <c r="J119" s="665">
        <f>IF(AND(OR(D119="m", C119="y"),NOT(D117="m"),NOT(C117="y"),NOT(D118="m"),NOT(C118="y"), NOT(D116="m"),NOT(C116="y")),H119,0)</f>
        <v>0</v>
      </c>
      <c r="K119" s="43">
        <f t="shared" si="5"/>
        <v>0</v>
      </c>
      <c r="L119" s="927"/>
      <c r="M119" s="946"/>
      <c r="N119" s="6"/>
      <c r="O119" s="934" t="str">
        <f>HYPERLINK("https://permaculture.org/","Permaculture")</f>
        <v>Permaculture</v>
      </c>
      <c r="P119" s="930"/>
      <c r="Q119" s="930"/>
      <c r="R119" s="6"/>
      <c r="S119" s="6"/>
      <c r="T119" s="6"/>
    </row>
    <row r="120" spans="1:20" s="4" customFormat="1" ht="14.25" x14ac:dyDescent="0.2">
      <c r="A120" s="335"/>
      <c r="B120" s="336"/>
      <c r="C120" s="336"/>
      <c r="D120" s="337"/>
      <c r="E120" s="786">
        <v>20</v>
      </c>
      <c r="F120" s="931" t="s">
        <v>575</v>
      </c>
      <c r="G120" s="932"/>
      <c r="H120" s="55"/>
      <c r="I120" s="140"/>
      <c r="J120" s="141"/>
      <c r="K120" s="43"/>
      <c r="L120" s="865" t="s">
        <v>77</v>
      </c>
      <c r="M120" s="874"/>
      <c r="N120" s="5"/>
      <c r="O120" s="1397"/>
      <c r="P120" s="930"/>
      <c r="Q120" s="930"/>
      <c r="R120" s="6"/>
      <c r="S120" s="6"/>
      <c r="T120" s="6"/>
    </row>
    <row r="121" spans="1:20" s="4" customFormat="1" ht="15" customHeight="1" x14ac:dyDescent="0.2">
      <c r="A121" s="338"/>
      <c r="B121" s="339"/>
      <c r="C121" s="340"/>
      <c r="D121" s="341"/>
      <c r="E121" s="99" t="s">
        <v>97</v>
      </c>
      <c r="F121" s="949" t="s">
        <v>541</v>
      </c>
      <c r="G121" s="884"/>
      <c r="H121" s="56">
        <v>1</v>
      </c>
      <c r="I121" s="652">
        <f>IF(AND(OR(A121="x", A121="p"),NOT(OR(B121="n", A122="x", A122="p", A123="x", A123="p", A124="x", A124="p"))),H121,0)</f>
        <v>0</v>
      </c>
      <c r="J121" s="660">
        <f>IF(AND(OR(D121="m", C121="y"),NOT(D122="m"),NOT(C122="y"),NOT(D123="m"),NOT(C123="y"), NOT(D124="m"),NOT(C124="y")),H121,0)</f>
        <v>0</v>
      </c>
      <c r="K121" s="43">
        <f t="shared" si="5"/>
        <v>0</v>
      </c>
      <c r="L121" s="927"/>
      <c r="M121" s="940"/>
      <c r="N121" s="6"/>
      <c r="O121" s="6"/>
      <c r="P121" s="6"/>
      <c r="Q121" s="6"/>
      <c r="R121" s="6"/>
      <c r="S121" s="6"/>
      <c r="T121" s="6"/>
    </row>
    <row r="122" spans="1:20" s="4" customFormat="1" ht="14.25" customHeight="1" x14ac:dyDescent="0.2">
      <c r="A122" s="305"/>
      <c r="B122" s="306"/>
      <c r="C122" s="307"/>
      <c r="D122" s="308"/>
      <c r="E122" s="157" t="s">
        <v>99</v>
      </c>
      <c r="F122" s="1189" t="s">
        <v>542</v>
      </c>
      <c r="G122" s="1190"/>
      <c r="H122" s="56">
        <v>2</v>
      </c>
      <c r="I122" s="664">
        <f>IF(AND(OR(A122="x", A122="p"),NOT(OR(B122="n", A120="x", A120="p", A121="x", A121="p", A119="x", A119="p"))),H122,0)</f>
        <v>0</v>
      </c>
      <c r="J122" s="665">
        <f>IF(AND(OR(D122="m", C122="y"),NOT(D120="m"),NOT(C120="y"),NOT(D121="m"),NOT(C121="y"), NOT(D119="m"),NOT(C119="y")),H122,0)</f>
        <v>0</v>
      </c>
      <c r="K122" s="43">
        <f t="shared" si="5"/>
        <v>0</v>
      </c>
      <c r="L122" s="927"/>
      <c r="M122" s="940"/>
      <c r="N122" s="57"/>
      <c r="O122" s="1181"/>
      <c r="P122" s="1181"/>
      <c r="Q122" s="57"/>
      <c r="R122" s="57"/>
      <c r="S122" s="57"/>
      <c r="T122" s="57"/>
    </row>
    <row r="123" spans="1:20" s="4" customFormat="1" ht="14.25" x14ac:dyDescent="0.2">
      <c r="A123" s="335"/>
      <c r="B123" s="336"/>
      <c r="C123" s="336"/>
      <c r="D123" s="337"/>
      <c r="E123" s="840">
        <v>21</v>
      </c>
      <c r="F123" s="1191" t="s">
        <v>574</v>
      </c>
      <c r="G123" s="1175"/>
      <c r="H123" s="206"/>
      <c r="I123" s="140"/>
      <c r="J123" s="141"/>
      <c r="K123" s="43"/>
      <c r="L123" s="865" t="s">
        <v>150</v>
      </c>
      <c r="M123" s="874"/>
      <c r="N123" s="5"/>
      <c r="O123" s="1182" t="str">
        <f>HYPERLINK("https://bearwise.org/","BearWise")</f>
        <v>BearWise</v>
      </c>
      <c r="P123" s="1182"/>
      <c r="Q123" s="5"/>
      <c r="R123" s="6"/>
      <c r="S123" s="6"/>
      <c r="T123" s="6"/>
    </row>
    <row r="124" spans="1:20" s="4" customFormat="1" ht="36" customHeight="1" x14ac:dyDescent="0.2">
      <c r="A124" s="338"/>
      <c r="B124" s="339"/>
      <c r="C124" s="340"/>
      <c r="D124" s="341"/>
      <c r="E124" s="58" t="s">
        <v>97</v>
      </c>
      <c r="F124" s="920" t="s">
        <v>543</v>
      </c>
      <c r="G124" s="884"/>
      <c r="H124" s="59">
        <v>1</v>
      </c>
      <c r="I124" s="652">
        <f>IF(AND(OR(A124="x", A124="p"),NOT(B124="n")),H124,0)</f>
        <v>0</v>
      </c>
      <c r="J124" s="653">
        <f>IF(OR(D124="m", C124="y"),H124,0)</f>
        <v>0</v>
      </c>
      <c r="K124" s="37">
        <f>IF(AND(J124&gt;0,C124="y"),H124,0)</f>
        <v>0</v>
      </c>
      <c r="L124" s="927"/>
      <c r="M124" s="940"/>
      <c r="N124" s="6"/>
      <c r="O124" s="242" t="str">
        <f>HYPERLINK("https://cpw.state.co.us/Documents/Education/LivingWithWildlife/Bears-Home-Audit-Checklist.pdf","Bear Audit Checklist")</f>
        <v>Bear Audit Checklist</v>
      </c>
      <c r="P124" s="6"/>
      <c r="Q124" s="6"/>
      <c r="R124" s="6"/>
      <c r="S124" s="6"/>
      <c r="T124" s="6"/>
    </row>
    <row r="125" spans="1:20" s="4" customFormat="1" ht="28.5" customHeight="1" x14ac:dyDescent="0.2">
      <c r="A125" s="305"/>
      <c r="B125" s="306"/>
      <c r="C125" s="307"/>
      <c r="D125" s="308"/>
      <c r="E125" s="58" t="s">
        <v>99</v>
      </c>
      <c r="F125" s="886" t="s">
        <v>544</v>
      </c>
      <c r="G125" s="858"/>
      <c r="H125" s="60">
        <v>1</v>
      </c>
      <c r="I125" s="652">
        <f>IF(AND(OR(A125="x", A125="p"),NOT(B125="n")),H125,0)</f>
        <v>0</v>
      </c>
      <c r="J125" s="653">
        <f>IF(OR(D125="m", C125="y"),H125,0)</f>
        <v>0</v>
      </c>
      <c r="K125" s="37">
        <f>IF(AND(J125&gt;0,C125="y"),H125,0)</f>
        <v>0</v>
      </c>
      <c r="L125" s="927"/>
      <c r="M125" s="940"/>
      <c r="N125" s="17"/>
      <c r="O125" s="242" t="str">
        <f>HYPERLINK("https://www.nwf.org/-/media/PDFs/Garden-for-Wildlife/Certified-Wildlife-Habitat/NWF_Garden-Certification-Checklist.ashx?la=en&amp;hash=FFAA30B3AE06687A881FC4BE615DEFB0E2BACF42","NWF Certified Wildlife Habitat")</f>
        <v>NWF Certified Wildlife Habitat</v>
      </c>
      <c r="P125" s="17"/>
      <c r="Q125" s="17"/>
      <c r="R125" s="17"/>
      <c r="S125" s="17"/>
      <c r="T125" s="17"/>
    </row>
    <row r="126" spans="1:20" s="4" customFormat="1" ht="39.75" customHeight="1" x14ac:dyDescent="0.2">
      <c r="A126" s="313"/>
      <c r="B126" s="306"/>
      <c r="C126" s="307"/>
      <c r="D126" s="316"/>
      <c r="E126" s="61" t="s">
        <v>101</v>
      </c>
      <c r="F126" s="886" t="s">
        <v>545</v>
      </c>
      <c r="G126" s="858"/>
      <c r="H126" s="62">
        <v>4</v>
      </c>
      <c r="I126" s="652">
        <f>IF(AND(OR(A126="x", A126="p"),NOT(B126="n")),H126,0)</f>
        <v>0</v>
      </c>
      <c r="J126" s="653">
        <f>IF(OR(D126="m", C126="y"),H126,0)</f>
        <v>0</v>
      </c>
      <c r="K126" s="37">
        <f>IF(AND(J126&gt;0,C126="y"),H126,0)</f>
        <v>0</v>
      </c>
      <c r="L126" s="927"/>
      <c r="M126" s="946"/>
      <c r="N126" s="6"/>
      <c r="O126" s="6"/>
      <c r="P126" s="6"/>
      <c r="Q126" s="6"/>
      <c r="R126" s="6"/>
      <c r="S126" s="6"/>
      <c r="T126" s="6"/>
    </row>
    <row r="127" spans="1:20" s="4" customFormat="1" ht="30" customHeight="1" thickBot="1" x14ac:dyDescent="0.25">
      <c r="A127" s="317"/>
      <c r="B127" s="318"/>
      <c r="C127" s="319"/>
      <c r="D127" s="320"/>
      <c r="E127" s="793">
        <v>22</v>
      </c>
      <c r="F127" s="1192" t="s">
        <v>151</v>
      </c>
      <c r="G127" s="1193"/>
      <c r="H127" s="360" t="s">
        <v>105</v>
      </c>
      <c r="I127" s="44">
        <f>IF(AND(OR(A127="x", A127="p"),NOT(B127="n"), H127&lt;=7),H127,0)</f>
        <v>0</v>
      </c>
      <c r="J127" s="45">
        <f>IF(AND(OR(D127="m", C127="y"),H127&lt;=7),H127,0)</f>
        <v>0</v>
      </c>
      <c r="K127" s="43">
        <f>IF(AND(J127&gt;0,C127="y"),H127,0)</f>
        <v>0</v>
      </c>
      <c r="L127" s="63"/>
      <c r="M127" s="346"/>
      <c r="N127" s="6"/>
      <c r="O127" s="6"/>
      <c r="P127" s="6"/>
      <c r="Q127" s="6"/>
      <c r="R127" s="6"/>
      <c r="S127" s="6"/>
      <c r="T127" s="6"/>
    </row>
    <row r="128" spans="1:20" s="4" customFormat="1" ht="16.5" thickTop="1" thickBot="1" x14ac:dyDescent="0.3">
      <c r="A128" s="1183" t="s">
        <v>153</v>
      </c>
      <c r="B128" s="1184"/>
      <c r="C128" s="1184"/>
      <c r="D128" s="1184"/>
      <c r="E128" s="1184"/>
      <c r="F128" s="1184"/>
      <c r="G128" s="1184"/>
      <c r="H128" s="1185"/>
      <c r="I128" s="666">
        <f>SUM(I75:I127)</f>
        <v>9</v>
      </c>
      <c r="J128" s="666">
        <f>SUM(J75:J127)</f>
        <v>9</v>
      </c>
      <c r="K128" s="64">
        <f>SUM(K75:K127)</f>
        <v>9</v>
      </c>
      <c r="L128" s="65"/>
      <c r="M128" s="66"/>
      <c r="N128" s="6"/>
      <c r="O128" s="5"/>
      <c r="P128" s="5"/>
      <c r="Q128" s="5"/>
      <c r="R128" s="5"/>
      <c r="S128" s="5"/>
      <c r="T128" s="5"/>
    </row>
    <row r="129" spans="1:20" s="4" customFormat="1" ht="35.1" customHeight="1" thickTop="1" thickBot="1" x14ac:dyDescent="0.25">
      <c r="A129" s="1186" t="s">
        <v>58</v>
      </c>
      <c r="B129" s="1186"/>
      <c r="C129" s="1186"/>
      <c r="D129" s="1186"/>
      <c r="E129" s="1186"/>
      <c r="F129" s="1186"/>
      <c r="G129" s="1186"/>
      <c r="H129" s="1186"/>
      <c r="I129" s="1186"/>
      <c r="J129" s="1186"/>
      <c r="K129" s="1186"/>
      <c r="L129" s="1186"/>
      <c r="M129" s="1186"/>
      <c r="O129" s="6"/>
      <c r="P129" s="5"/>
      <c r="Q129" s="5"/>
      <c r="R129" s="5"/>
      <c r="S129" s="5"/>
      <c r="T129" s="5"/>
    </row>
    <row r="130" spans="1:20" s="4" customFormat="1" ht="20.25" hidden="1" customHeight="1" x14ac:dyDescent="0.2">
      <c r="A130" s="1187"/>
      <c r="B130" s="1187"/>
      <c r="C130" s="1187"/>
      <c r="D130" s="1187"/>
      <c r="E130" s="1187"/>
      <c r="F130" s="1187"/>
      <c r="G130" s="1187"/>
      <c r="H130" s="1187"/>
      <c r="I130" s="1187"/>
      <c r="J130" s="1187"/>
      <c r="K130" s="1187"/>
      <c r="L130" s="1187"/>
      <c r="M130" s="1187"/>
      <c r="O130" s="5"/>
      <c r="P130" s="5"/>
      <c r="Q130" s="5"/>
      <c r="R130" s="5"/>
      <c r="S130" s="5"/>
      <c r="T130" s="5"/>
    </row>
    <row r="131" spans="1:20" s="4" customFormat="1" ht="20.25" hidden="1" customHeight="1" x14ac:dyDescent="0.2">
      <c r="A131" s="1188"/>
      <c r="B131" s="1188"/>
      <c r="C131" s="1188"/>
      <c r="D131" s="1188"/>
      <c r="E131" s="1188"/>
      <c r="F131" s="1188"/>
      <c r="G131" s="1188"/>
      <c r="H131" s="1188"/>
      <c r="I131" s="1188"/>
      <c r="J131" s="1188"/>
      <c r="K131" s="1188"/>
      <c r="L131" s="1188"/>
      <c r="M131" s="1188"/>
      <c r="O131" s="5"/>
      <c r="P131" s="5"/>
      <c r="Q131" s="5"/>
      <c r="R131" s="5"/>
      <c r="S131" s="5"/>
      <c r="T131" s="5"/>
    </row>
    <row r="132" spans="1:20" s="4" customFormat="1" ht="15.75" thickBot="1" x14ac:dyDescent="0.3">
      <c r="A132" s="214"/>
      <c r="B132" s="215"/>
      <c r="C132" s="216"/>
      <c r="D132" s="217"/>
      <c r="E132" s="1197" t="s">
        <v>592</v>
      </c>
      <c r="F132" s="1198"/>
      <c r="G132" s="1199"/>
      <c r="H132" s="1202" t="s">
        <v>87</v>
      </c>
      <c r="I132" s="1205" t="s">
        <v>88</v>
      </c>
      <c r="J132" s="1206"/>
      <c r="K132" s="571"/>
      <c r="L132" s="914" t="s">
        <v>89</v>
      </c>
      <c r="M132" s="1180" t="s">
        <v>154</v>
      </c>
      <c r="O132" s="5"/>
      <c r="P132" s="5"/>
      <c r="Q132" s="5"/>
      <c r="R132" s="5"/>
      <c r="S132" s="5"/>
      <c r="T132" s="5"/>
    </row>
    <row r="133" spans="1:20" s="4" customFormat="1" ht="12.75" customHeight="1" thickBot="1" x14ac:dyDescent="0.25">
      <c r="A133" s="210" t="s">
        <v>0</v>
      </c>
      <c r="B133" s="211" t="s">
        <v>1</v>
      </c>
      <c r="C133" s="212" t="s">
        <v>91</v>
      </c>
      <c r="D133" s="213" t="s">
        <v>92</v>
      </c>
      <c r="E133" s="1200"/>
      <c r="F133" s="1200"/>
      <c r="G133" s="1201"/>
      <c r="H133" s="1203"/>
      <c r="I133" s="649" t="s">
        <v>93</v>
      </c>
      <c r="J133" s="650" t="s">
        <v>94</v>
      </c>
      <c r="K133" s="572"/>
      <c r="L133" s="915"/>
      <c r="M133" s="1009"/>
      <c r="O133" s="5"/>
      <c r="P133" s="5"/>
      <c r="Q133" s="5"/>
      <c r="R133" s="5"/>
      <c r="S133" s="5"/>
      <c r="T133" s="5"/>
    </row>
    <row r="134" spans="1:20" s="4" customFormat="1" ht="31.5" customHeight="1" x14ac:dyDescent="0.25">
      <c r="A134" s="348"/>
      <c r="B134" s="349"/>
      <c r="C134" s="350"/>
      <c r="D134" s="351"/>
      <c r="E134" s="784">
        <v>1</v>
      </c>
      <c r="F134" s="889" t="s">
        <v>694</v>
      </c>
      <c r="G134" s="890"/>
      <c r="H134" s="40">
        <v>3</v>
      </c>
      <c r="I134" s="667">
        <f>IF(AND(OR(A134="x", A134="p"),NOT(B134="n")),H134,0)</f>
        <v>0</v>
      </c>
      <c r="J134" s="668">
        <f>IF(OR(D134="m", C134="y"),H134,0)</f>
        <v>0</v>
      </c>
      <c r="K134" s="36">
        <f>IF(AND(J134&gt;0,C134="y"),H134,0)</f>
        <v>0</v>
      </c>
      <c r="L134" s="199" t="s">
        <v>155</v>
      </c>
      <c r="M134" s="725"/>
      <c r="N134" s="5"/>
      <c r="O134" s="749" t="str">
        <f>HYPERLINK("https://www.resnet.us/about/hersh2o/","HERS H20")</f>
        <v>HERS H20</v>
      </c>
      <c r="P134" s="748" t="str">
        <f>HYPERLINK("https://www.wers.us/","WERS")</f>
        <v>WERS</v>
      </c>
      <c r="Q134" s="5"/>
      <c r="R134" s="5"/>
      <c r="S134" s="5"/>
      <c r="T134" s="5"/>
    </row>
    <row r="135" spans="1:20" s="4" customFormat="1" ht="26.25" customHeight="1" thickBot="1" x14ac:dyDescent="0.3">
      <c r="A135" s="348"/>
      <c r="B135" s="349"/>
      <c r="C135" s="350"/>
      <c r="D135" s="351"/>
      <c r="E135" s="785">
        <v>2</v>
      </c>
      <c r="F135" s="889" t="s">
        <v>156</v>
      </c>
      <c r="G135" s="890"/>
      <c r="H135" s="40">
        <v>3</v>
      </c>
      <c r="I135" s="44">
        <f>IF(AND(OR(A135="x", A135="p"),NOT(B135="n")),H135,0)</f>
        <v>0</v>
      </c>
      <c r="J135" s="663">
        <f>IF(OR(D135="m", C135="y"),H135,0)</f>
        <v>0</v>
      </c>
      <c r="K135" s="36">
        <f>IF(AND(J135&gt;0,C135="y"),H135,0)</f>
        <v>0</v>
      </c>
      <c r="L135" s="67" t="s">
        <v>155</v>
      </c>
      <c r="M135" s="745"/>
      <c r="N135" s="5"/>
      <c r="O135" s="749" t="str">
        <f>HYPERLINK("https://www.epa.gov/sites/production/files/2020-06/ws_water_budget_tool_v1_04.xlsx","Water Sense outdoor water budget tool")</f>
        <v>Water Sense outdoor water budget tool</v>
      </c>
      <c r="P135" s="5"/>
      <c r="Q135" s="5"/>
      <c r="R135" s="5"/>
      <c r="S135" s="5"/>
      <c r="T135" s="5"/>
    </row>
    <row r="136" spans="1:20" s="7" customFormat="1" ht="12.75" customHeight="1" thickBot="1" x14ac:dyDescent="0.3">
      <c r="A136" s="476"/>
      <c r="B136" s="478"/>
      <c r="C136" s="478"/>
      <c r="D136" s="481" t="s">
        <v>157</v>
      </c>
      <c r="E136" s="486"/>
      <c r="F136" s="487"/>
      <c r="G136" s="68"/>
      <c r="H136" s="69"/>
      <c r="I136" s="70"/>
      <c r="J136" s="659"/>
      <c r="K136" s="71"/>
      <c r="L136" s="859"/>
      <c r="M136" s="860"/>
      <c r="N136" s="12"/>
      <c r="O136" s="12"/>
      <c r="P136" s="12"/>
      <c r="Q136" s="12"/>
      <c r="R136" s="12"/>
      <c r="S136" s="12"/>
      <c r="T136" s="12"/>
    </row>
    <row r="137" spans="1:20" s="4" customFormat="1" ht="52.5" customHeight="1" thickBot="1" x14ac:dyDescent="0.25">
      <c r="A137" s="910" t="s">
        <v>465</v>
      </c>
      <c r="B137" s="891"/>
      <c r="C137" s="893" t="s">
        <v>787</v>
      </c>
      <c r="D137" s="894"/>
      <c r="E137" s="896">
        <v>3</v>
      </c>
      <c r="F137" s="931" t="s">
        <v>521</v>
      </c>
      <c r="G137" s="932"/>
      <c r="H137" s="1022" t="s">
        <v>158</v>
      </c>
      <c r="I137" s="1010">
        <f>IF(AND(A137="p",ISNUMBER(F138),F138&gt;0), MIN(10,ROUNDDOWN(F138/10,0)),0)</f>
        <v>9</v>
      </c>
      <c r="J137" s="1160">
        <f>IF(AND(OR(C137="y",D137="m"),ISNUMBER(F138),F138&gt;0,NOT(B137="n")), MIN(10,ROUNDDOWN(F138/10,0)),0)</f>
        <v>9</v>
      </c>
      <c r="K137" s="1231">
        <f>IF(AND(OR(C137="y"),ISNUMBER(F138),F138&gt;0), MIN(10,ROUNDDOWN(F138/10,0)),0)</f>
        <v>9</v>
      </c>
      <c r="L137" s="865" t="s">
        <v>77</v>
      </c>
      <c r="M137" s="1232" t="s">
        <v>744</v>
      </c>
      <c r="N137" s="5"/>
      <c r="O137" s="198" t="str">
        <f>HYPERLINK("https://www.epa.gov/watersense/landscaping-tips","EPA WaterSense Smart Outdoor Practices")</f>
        <v>EPA WaterSense Smart Outdoor Practices</v>
      </c>
      <c r="P137" s="6"/>
      <c r="Q137" s="6"/>
      <c r="R137" s="6"/>
      <c r="S137" s="6"/>
      <c r="T137" s="6"/>
    </row>
    <row r="138" spans="1:20" s="4" customFormat="1" ht="14.25" customHeight="1" x14ac:dyDescent="0.2">
      <c r="A138" s="906"/>
      <c r="B138" s="892"/>
      <c r="C138" s="892"/>
      <c r="D138" s="895"/>
      <c r="E138" s="897"/>
      <c r="F138" s="362">
        <v>90</v>
      </c>
      <c r="G138" s="253" t="s">
        <v>159</v>
      </c>
      <c r="H138" s="1230"/>
      <c r="I138" s="952"/>
      <c r="J138" s="1161"/>
      <c r="K138" s="928"/>
      <c r="L138" s="928"/>
      <c r="M138" s="1233"/>
      <c r="N138" s="6"/>
      <c r="O138" s="198"/>
      <c r="P138" s="6"/>
      <c r="Q138" s="6"/>
      <c r="R138" s="6"/>
      <c r="S138" s="6"/>
      <c r="T138" s="6"/>
    </row>
    <row r="139" spans="1:20" s="4" customFormat="1" ht="14.25" customHeight="1" x14ac:dyDescent="0.2">
      <c r="A139" s="335"/>
      <c r="B139" s="336"/>
      <c r="C139" s="336"/>
      <c r="D139" s="337"/>
      <c r="E139" s="786">
        <v>4</v>
      </c>
      <c r="F139" s="1174" t="s">
        <v>160</v>
      </c>
      <c r="G139" s="1175"/>
      <c r="H139" s="206"/>
      <c r="I139" s="140"/>
      <c r="J139" s="141"/>
      <c r="K139" s="43"/>
      <c r="L139" s="865" t="s">
        <v>77</v>
      </c>
      <c r="M139" s="874"/>
      <c r="N139" s="6"/>
      <c r="O139" s="6"/>
      <c r="P139" s="6"/>
      <c r="Q139" s="6"/>
      <c r="R139" s="6"/>
      <c r="S139" s="6"/>
      <c r="T139" s="6"/>
    </row>
    <row r="140" spans="1:20" s="4" customFormat="1" ht="15" customHeight="1" x14ac:dyDescent="0.2">
      <c r="A140" s="338"/>
      <c r="B140" s="339"/>
      <c r="C140" s="340"/>
      <c r="D140" s="341"/>
      <c r="E140" s="53" t="s">
        <v>97</v>
      </c>
      <c r="F140" s="949" t="s">
        <v>161</v>
      </c>
      <c r="G140" s="884"/>
      <c r="H140" s="50">
        <v>1</v>
      </c>
      <c r="I140" s="652">
        <f>IF(AND(OR(A140="x", A140="p"),NOT(OR(B140="n", A141="x", A141="p", A142="x", A142="p", A143="x", A143="p", A144="x", A144="p"))),H140,0)</f>
        <v>0</v>
      </c>
      <c r="J140" s="660">
        <f>IF(AND(OR(D140="m", C140="y"),NOT(D141="m"),NOT(C141="y"),NOT(D142="m"),NOT(C142="y"), NOT(D143="m"), NOT(C143="y"), NOT(D144="m"),NOT(C144="y")),H140,0)</f>
        <v>0</v>
      </c>
      <c r="K140" s="43">
        <f>IF(AND(J140&gt;0,C140="y"),H140,0)</f>
        <v>0</v>
      </c>
      <c r="L140" s="927"/>
      <c r="M140" s="940"/>
      <c r="N140" s="6"/>
      <c r="O140" s="6"/>
      <c r="P140" s="6"/>
      <c r="Q140" s="6"/>
      <c r="R140" s="6"/>
      <c r="S140" s="6"/>
      <c r="T140" s="6"/>
    </row>
    <row r="141" spans="1:20" s="4" customFormat="1" ht="15" customHeight="1" x14ac:dyDescent="0.2">
      <c r="A141" s="305"/>
      <c r="B141" s="306"/>
      <c r="C141" s="307"/>
      <c r="D141" s="308"/>
      <c r="E141" s="53" t="s">
        <v>99</v>
      </c>
      <c r="F141" s="1176" t="s">
        <v>162</v>
      </c>
      <c r="G141" s="858"/>
      <c r="H141" s="50">
        <v>2</v>
      </c>
      <c r="I141" s="652">
        <f>IF(AND(OR(A141="x", A141="p"),NOT(OR(B141="n", A140="x", A140="p", A142="x", A142="p", A143="x", A143="p", A144="x", A144="p"))),H141,0)</f>
        <v>0</v>
      </c>
      <c r="J141" s="660">
        <f>IF(AND(OR(D141="m", C141="y"),NOT(D140="m"),NOT(C140="y"),NOT(D142="m"),NOT(C142="y"), NOT(D143="m"), NOT(C143="y"), NOT(D144="m"),NOT(C144="y")),H141,0)</f>
        <v>0</v>
      </c>
      <c r="K141" s="43">
        <f>IF(AND(J141&gt;0,C141="y"),H141,0)</f>
        <v>0</v>
      </c>
      <c r="L141" s="927"/>
      <c r="M141" s="940"/>
      <c r="N141" s="6"/>
      <c r="O141" s="929"/>
      <c r="P141" s="930"/>
      <c r="Q141" s="930"/>
      <c r="R141" s="930"/>
      <c r="S141" s="6"/>
      <c r="T141" s="6"/>
    </row>
    <row r="142" spans="1:20" s="4" customFormat="1" ht="15" customHeight="1" x14ac:dyDescent="0.2">
      <c r="A142" s="305"/>
      <c r="B142" s="306"/>
      <c r="C142" s="307"/>
      <c r="D142" s="308"/>
      <c r="E142" s="53" t="s">
        <v>101</v>
      </c>
      <c r="F142" s="1039" t="s">
        <v>163</v>
      </c>
      <c r="G142" s="1177"/>
      <c r="H142" s="50">
        <v>3</v>
      </c>
      <c r="I142" s="652">
        <f>IF(AND(OR(A142="x", A142="p"),NOT(OR(B142="n", A140="x", A140="p", A141="x", A141="p", A143="x", A143="p", A144="x", A144="p"))),H142,0)</f>
        <v>0</v>
      </c>
      <c r="J142" s="660">
        <f>IF(AND(OR(D142="m",C142="y"),NOT(D140="m"),NOT(C140="y"),NOT(D141="m"),NOT(C141="y"),NOT(C143="y"),NOT(D143="m"),NOT(D144="m"),NOT(C144="y")),H142,0)</f>
        <v>0</v>
      </c>
      <c r="K142" s="43">
        <f>IF(AND(J142&gt;0,C142="y"),H142,0)</f>
        <v>0</v>
      </c>
      <c r="L142" s="927"/>
      <c r="M142" s="940"/>
      <c r="N142" s="6"/>
      <c r="O142" s="6"/>
      <c r="P142" s="6"/>
      <c r="Q142" s="6"/>
      <c r="R142" s="6"/>
      <c r="S142" s="6"/>
      <c r="T142" s="6"/>
    </row>
    <row r="143" spans="1:20" s="4" customFormat="1" ht="15" customHeight="1" x14ac:dyDescent="0.2">
      <c r="A143" s="305"/>
      <c r="B143" s="306"/>
      <c r="C143" s="307"/>
      <c r="D143" s="308"/>
      <c r="E143" s="53" t="s">
        <v>103</v>
      </c>
      <c r="F143" s="1039" t="s">
        <v>164</v>
      </c>
      <c r="G143" s="1177"/>
      <c r="H143" s="50">
        <v>4</v>
      </c>
      <c r="I143" s="652">
        <f>IF(AND(OR(A143="x", A143="p"),NOT(OR(B143="n", A140="x", A140="p", A141="x", A141="p", A142="x", A142="p", A144="x", A144="p"))),H143,0)</f>
        <v>0</v>
      </c>
      <c r="J143" s="660">
        <f>IF(AND(OR(D143="m",C143="y"),NOT(D141="m"),NOT(C141="y"),NOT(D142="m"),NOT(C142="y"),NOT(C144="y"),NOT(D144="m"),NOT(D145="m"),NOT(C145="y")),H143,0)</f>
        <v>0</v>
      </c>
      <c r="K143" s="43">
        <f>IF(AND(J143&gt;0,C143="y"),H143,0)</f>
        <v>0</v>
      </c>
      <c r="L143" s="927"/>
      <c r="M143" s="940"/>
      <c r="N143" s="6"/>
      <c r="O143" s="242" t="str">
        <f>HYPERLINK("https://files.nc.gov/ncdeq/Energy%20Mineral%20and%20Land%20Resources/Stormwater/C-7%20%20Rainwater%20Harvesting%2020170811.pdf","NC DEQ Rainwater manual")</f>
        <v>NC DEQ Rainwater manual</v>
      </c>
      <c r="P143" s="6"/>
      <c r="Q143" s="6"/>
      <c r="R143" s="6"/>
      <c r="S143" s="6"/>
      <c r="T143" s="6"/>
    </row>
    <row r="144" spans="1:20" s="4" customFormat="1" ht="37.5" customHeight="1" x14ac:dyDescent="0.2">
      <c r="A144" s="342"/>
      <c r="B144" s="343"/>
      <c r="C144" s="344"/>
      <c r="D144" s="345"/>
      <c r="E144" s="54" t="s">
        <v>168</v>
      </c>
      <c r="F144" s="898" t="s">
        <v>652</v>
      </c>
      <c r="G144" s="899"/>
      <c r="H144" s="72">
        <v>10</v>
      </c>
      <c r="I144" s="669">
        <f>IF(AND(OR(A144="x", A144="p"),NOT(OR(B144="n", A141="x", A141="p", A142="x", A142="p", A143="x", A143="p"))),H144,0)</f>
        <v>0</v>
      </c>
      <c r="J144" s="670">
        <f>IF(AND(OR(D144="m",C144="y"),NOT(D142="m"),NOT(C142="y"),NOT(D143="m"),NOT(C143="y"),NOT(C145="y"),NOT(D145="m")),H144,0)</f>
        <v>0</v>
      </c>
      <c r="K144" s="43">
        <f>IF(AND(J144&gt;0,C144="y"),H144,0)</f>
        <v>0</v>
      </c>
      <c r="L144" s="928"/>
      <c r="M144" s="946"/>
      <c r="N144" s="6"/>
      <c r="O144" s="242" t="str">
        <f>HYPERLINK("https://brunswick.ces.ncsu.edu/wp-content/uploads/2013/04/WaterHarvestHome2008.pdf?fwd=no","Rainwater Harvesting: Guidance for Homeowners")</f>
        <v>Rainwater Harvesting: Guidance for Homeowners</v>
      </c>
      <c r="P144" s="6"/>
      <c r="Q144" s="6"/>
      <c r="R144" s="6"/>
      <c r="S144" s="6"/>
      <c r="T144" s="6"/>
    </row>
    <row r="145" spans="1:20" s="4" customFormat="1" ht="14.25" customHeight="1" x14ac:dyDescent="0.2">
      <c r="A145" s="335"/>
      <c r="B145" s="336"/>
      <c r="C145" s="336"/>
      <c r="D145" s="337"/>
      <c r="E145" s="786">
        <v>5</v>
      </c>
      <c r="F145" s="1178" t="s">
        <v>166</v>
      </c>
      <c r="G145" s="884"/>
      <c r="H145" s="206"/>
      <c r="I145" s="140"/>
      <c r="J145" s="141"/>
      <c r="K145" s="43"/>
      <c r="L145" s="865" t="s">
        <v>77</v>
      </c>
      <c r="M145" s="874"/>
      <c r="N145" s="6"/>
      <c r="O145" s="6"/>
      <c r="P145" s="6"/>
      <c r="Q145" s="6"/>
      <c r="R145" s="6"/>
      <c r="S145" s="6"/>
      <c r="T145" s="6"/>
    </row>
    <row r="146" spans="1:20" s="4" customFormat="1" ht="15" customHeight="1" x14ac:dyDescent="0.2">
      <c r="A146" s="338"/>
      <c r="B146" s="339"/>
      <c r="C146" s="340"/>
      <c r="D146" s="341"/>
      <c r="E146" s="53" t="s">
        <v>97</v>
      </c>
      <c r="F146" s="949" t="s">
        <v>546</v>
      </c>
      <c r="G146" s="884"/>
      <c r="H146" s="50">
        <v>3</v>
      </c>
      <c r="I146" s="652">
        <f>IF(AND(OR(A146="x", A146="p"),NOT(OR(B146="n", A147="x", A147="p", A148="x", A148="p"))),H146,0)</f>
        <v>0</v>
      </c>
      <c r="J146" s="660">
        <f>IF(AND(OR(D146="m", C146="y"),NOT(B146="n"),NOT(D147="m"),NOT(C147="y"), NOT(D148="m"), NOT(C148="y")),H146,0)</f>
        <v>0</v>
      </c>
      <c r="K146" s="43">
        <f>IF(AND(J146&gt;0,C146="y"),H146,0)</f>
        <v>0</v>
      </c>
      <c r="L146" s="927"/>
      <c r="M146" s="940"/>
      <c r="N146" s="6"/>
      <c r="O146" s="242" t="str">
        <f>HYPERLINK("https://files.nc.gov/ncdeq/Energy%20Mineral%20and%20Land%20Resources/Stormwater/C-7%20%20Rainwater%20Harvesting%2020170811.pdf","NC DEQ Rainwater manual")</f>
        <v>NC DEQ Rainwater manual</v>
      </c>
      <c r="P146" s="6"/>
      <c r="Q146" s="6"/>
      <c r="R146" s="6"/>
      <c r="S146" s="6"/>
      <c r="T146" s="6"/>
    </row>
    <row r="147" spans="1:20" s="4" customFormat="1" ht="15" customHeight="1" x14ac:dyDescent="0.2">
      <c r="A147" s="313"/>
      <c r="B147" s="314"/>
      <c r="C147" s="315"/>
      <c r="D147" s="316"/>
      <c r="E147" s="161" t="s">
        <v>99</v>
      </c>
      <c r="F147" s="949" t="s">
        <v>547</v>
      </c>
      <c r="G147" s="884"/>
      <c r="H147" s="50">
        <v>5</v>
      </c>
      <c r="I147" s="652">
        <f>IF(AND(OR(A147="x", A147="p"),NOT(OR(B147="n", A146="x", A146="p", A148="x", A148="p"))),H147,0)</f>
        <v>0</v>
      </c>
      <c r="J147" s="660">
        <f>IF(AND(OR(D147="m", C147="y"),NOT(B147="n"),NOT(D146="m"),NOT(C146="y"), NOT(D148="m"), NOT(C148="y")),H147,0)</f>
        <v>0</v>
      </c>
      <c r="K147" s="43">
        <f>IF(AND(J147&gt;0,C147="y"),H147,0)</f>
        <v>0</v>
      </c>
      <c r="L147" s="927"/>
      <c r="M147" s="940"/>
      <c r="N147" s="6"/>
      <c r="O147" s="6"/>
      <c r="P147" s="6"/>
      <c r="Q147" s="6"/>
      <c r="R147" s="6"/>
      <c r="S147" s="6"/>
      <c r="T147" s="6"/>
    </row>
    <row r="148" spans="1:20" s="4" customFormat="1" ht="15" customHeight="1" x14ac:dyDescent="0.2">
      <c r="A148" s="305"/>
      <c r="B148" s="306"/>
      <c r="C148" s="307"/>
      <c r="D148" s="308"/>
      <c r="E148" s="161" t="s">
        <v>101</v>
      </c>
      <c r="F148" s="949" t="s">
        <v>548</v>
      </c>
      <c r="G148" s="884"/>
      <c r="H148" s="72">
        <v>10</v>
      </c>
      <c r="I148" s="652">
        <f>IF(AND(OR(A148="x", A148="p"),NOT(OR(B148="n", A147="x", A147="p", A146="x", A146="p"))),H148,0)</f>
        <v>0</v>
      </c>
      <c r="J148" s="660">
        <f>IF(AND(OR(D148="m", C148="y"),NOT(B148="n"),NOT(D146="m"),NOT(C146="y"), NOT(D147="m"), NOT(C147="y")),H148,0)</f>
        <v>0</v>
      </c>
      <c r="K148" s="43">
        <f>IF(AND(J148&gt;0,C148="y"),H148,0)</f>
        <v>0</v>
      </c>
      <c r="L148" s="928"/>
      <c r="M148" s="946"/>
      <c r="N148" s="6"/>
      <c r="O148" s="977" t="str">
        <f>HYPERLINK("https://www.infiltratorwater.com/Customer-Content/www/CMS/files/case-studies/IWT_CS58_LEEDRainwater_NC.pdf","Case Study: potable use of rainwater")</f>
        <v>Case Study: potable use of rainwater</v>
      </c>
      <c r="P148" s="930"/>
      <c r="Q148" s="930"/>
      <c r="R148" s="930"/>
      <c r="S148" s="6"/>
      <c r="T148" s="6"/>
    </row>
    <row r="149" spans="1:20" s="558" customFormat="1" ht="14.25" customHeight="1" x14ac:dyDescent="0.2">
      <c r="A149" s="551"/>
      <c r="B149" s="552"/>
      <c r="C149" s="552"/>
      <c r="D149" s="553"/>
      <c r="E149" s="787">
        <v>6</v>
      </c>
      <c r="F149" s="1179" t="s">
        <v>573</v>
      </c>
      <c r="G149" s="932"/>
      <c r="H149" s="554"/>
      <c r="I149" s="671">
        <f t="shared" ref="I149:I156" si="6">IF(AND(OR(A149="x", A149="p"),NOT(B149="n")),H149,0)</f>
        <v>0</v>
      </c>
      <c r="J149" s="672"/>
      <c r="K149" s="555"/>
      <c r="L149" s="1171" t="s">
        <v>77</v>
      </c>
      <c r="M149" s="874"/>
      <c r="N149" s="556"/>
      <c r="O149" s="557"/>
      <c r="P149" s="557"/>
      <c r="Q149" s="557"/>
      <c r="R149" s="557"/>
      <c r="S149" s="557"/>
      <c r="T149" s="557"/>
    </row>
    <row r="150" spans="1:20" s="4" customFormat="1" ht="14.25" customHeight="1" x14ac:dyDescent="0.2">
      <c r="A150" s="352"/>
      <c r="B150" s="353"/>
      <c r="C150" s="354"/>
      <c r="D150" s="355"/>
      <c r="E150" s="53" t="s">
        <v>97</v>
      </c>
      <c r="F150" s="949" t="s">
        <v>568</v>
      </c>
      <c r="G150" s="884"/>
      <c r="H150" s="137">
        <v>3</v>
      </c>
      <c r="I150" s="654">
        <f t="shared" si="6"/>
        <v>0</v>
      </c>
      <c r="J150" s="655">
        <f t="shared" ref="J150:J156" si="7">IF(OR(D150="m", C150="y"),H150,0)</f>
        <v>0</v>
      </c>
      <c r="K150" s="43">
        <f t="shared" ref="K150:K156" si="8">IF(AND(J150&gt;0,C150="y"),H150,0)</f>
        <v>0</v>
      </c>
      <c r="L150" s="1172"/>
      <c r="M150" s="940"/>
      <c r="N150" s="5"/>
      <c r="O150" s="5"/>
      <c r="P150" s="5"/>
      <c r="Q150" s="5"/>
      <c r="R150" s="5"/>
      <c r="S150" s="5"/>
      <c r="T150" s="5"/>
    </row>
    <row r="151" spans="1:20" s="4" customFormat="1" ht="14.25" customHeight="1" x14ac:dyDescent="0.2">
      <c r="A151" s="301"/>
      <c r="B151" s="302"/>
      <c r="C151" s="303"/>
      <c r="D151" s="304"/>
      <c r="E151" s="99" t="s">
        <v>99</v>
      </c>
      <c r="F151" s="1170" t="s">
        <v>167</v>
      </c>
      <c r="G151" s="858"/>
      <c r="H151" s="137">
        <v>3</v>
      </c>
      <c r="I151" s="654">
        <f t="shared" si="6"/>
        <v>0</v>
      </c>
      <c r="J151" s="655">
        <f t="shared" si="7"/>
        <v>0</v>
      </c>
      <c r="K151" s="43">
        <f t="shared" si="8"/>
        <v>0</v>
      </c>
      <c r="L151" s="1172"/>
      <c r="M151" s="940"/>
      <c r="N151" s="5"/>
      <c r="O151" s="242" t="str">
        <f>HYPERLINK("https://oasisdesign.net/greywater/stubout.htm","Oasis Design: Stub out for greywater")</f>
        <v>Oasis Design: Stub out for greywater</v>
      </c>
      <c r="P151" s="5"/>
      <c r="Q151" s="5"/>
      <c r="R151" s="5"/>
      <c r="S151" s="5"/>
      <c r="T151" s="5"/>
    </row>
    <row r="152" spans="1:20" s="4" customFormat="1" ht="14.25" x14ac:dyDescent="0.2">
      <c r="A152" s="305"/>
      <c r="B152" s="306"/>
      <c r="C152" s="307"/>
      <c r="D152" s="308"/>
      <c r="E152" s="53" t="s">
        <v>101</v>
      </c>
      <c r="F152" s="949" t="s">
        <v>567</v>
      </c>
      <c r="G152" s="884"/>
      <c r="H152" s="137">
        <v>4</v>
      </c>
      <c r="I152" s="654">
        <f t="shared" si="6"/>
        <v>0</v>
      </c>
      <c r="J152" s="655">
        <f t="shared" si="7"/>
        <v>0</v>
      </c>
      <c r="K152" s="43">
        <f t="shared" si="8"/>
        <v>0</v>
      </c>
      <c r="L152" s="1172"/>
      <c r="M152" s="940"/>
      <c r="N152" s="5"/>
      <c r="O152" s="933" t="str">
        <f>HYPERLINK("https://www.greenbuilt.org/articles/142-plumb-green-with-graywater/","Plumb with Greywater")</f>
        <v>Plumb with Greywater</v>
      </c>
      <c r="P152" s="930"/>
      <c r="Q152" s="930"/>
      <c r="R152" s="5"/>
      <c r="S152" s="5"/>
      <c r="T152" s="5"/>
    </row>
    <row r="153" spans="1:20" s="4" customFormat="1" ht="14.25" customHeight="1" x14ac:dyDescent="0.2">
      <c r="A153" s="301"/>
      <c r="B153" s="302"/>
      <c r="C153" s="303"/>
      <c r="D153" s="304"/>
      <c r="E153" s="161" t="s">
        <v>103</v>
      </c>
      <c r="F153" s="1170" t="s">
        <v>653</v>
      </c>
      <c r="G153" s="858"/>
      <c r="H153" s="137">
        <v>5</v>
      </c>
      <c r="I153" s="654">
        <f t="shared" si="6"/>
        <v>0</v>
      </c>
      <c r="J153" s="655">
        <f t="shared" si="7"/>
        <v>0</v>
      </c>
      <c r="K153" s="43">
        <f t="shared" si="8"/>
        <v>0</v>
      </c>
      <c r="L153" s="1172"/>
      <c r="M153" s="940"/>
      <c r="N153" s="5"/>
      <c r="O153" s="5"/>
      <c r="P153" s="5"/>
      <c r="Q153" s="5"/>
      <c r="R153" s="5"/>
      <c r="S153" s="5"/>
      <c r="T153" s="5"/>
    </row>
    <row r="154" spans="1:20" s="4" customFormat="1" ht="14.25" customHeight="1" x14ac:dyDescent="0.2">
      <c r="A154" s="342"/>
      <c r="B154" s="343"/>
      <c r="C154" s="344"/>
      <c r="D154" s="345"/>
      <c r="E154" s="54" t="s">
        <v>168</v>
      </c>
      <c r="F154" s="898" t="s">
        <v>169</v>
      </c>
      <c r="G154" s="899"/>
      <c r="H154" s="74">
        <v>6</v>
      </c>
      <c r="I154" s="661">
        <f t="shared" si="6"/>
        <v>0</v>
      </c>
      <c r="J154" s="673">
        <f t="shared" si="7"/>
        <v>0</v>
      </c>
      <c r="K154" s="43">
        <f t="shared" si="8"/>
        <v>0</v>
      </c>
      <c r="L154" s="1173"/>
      <c r="M154" s="946"/>
      <c r="N154" s="5"/>
      <c r="O154" s="5"/>
      <c r="P154" s="5"/>
      <c r="Q154" s="5"/>
      <c r="R154" s="5"/>
      <c r="S154" s="5"/>
      <c r="T154" s="5"/>
    </row>
    <row r="155" spans="1:20" s="4" customFormat="1" ht="18.75" customHeight="1" x14ac:dyDescent="0.2">
      <c r="A155" s="348"/>
      <c r="B155" s="349"/>
      <c r="C155" s="350"/>
      <c r="D155" s="351"/>
      <c r="E155" s="788">
        <v>7</v>
      </c>
      <c r="F155" s="1025" t="s">
        <v>170</v>
      </c>
      <c r="G155" s="922"/>
      <c r="H155" s="40">
        <v>1</v>
      </c>
      <c r="I155" s="664">
        <f t="shared" si="6"/>
        <v>0</v>
      </c>
      <c r="J155" s="665">
        <f t="shared" si="7"/>
        <v>0</v>
      </c>
      <c r="K155" s="36">
        <f t="shared" si="8"/>
        <v>0</v>
      </c>
      <c r="L155" s="199" t="s">
        <v>77</v>
      </c>
      <c r="M155" s="725"/>
      <c r="N155" s="5"/>
      <c r="O155" s="5"/>
      <c r="P155" s="5"/>
      <c r="Q155" s="5"/>
      <c r="R155" s="5"/>
      <c r="S155" s="5"/>
      <c r="T155" s="5"/>
    </row>
    <row r="156" spans="1:20" s="4" customFormat="1" ht="30.75" customHeight="1" thickBot="1" x14ac:dyDescent="0.25">
      <c r="A156" s="348"/>
      <c r="B156" s="349"/>
      <c r="C156" s="350"/>
      <c r="D156" s="351"/>
      <c r="E156" s="789">
        <v>8</v>
      </c>
      <c r="F156" s="1195" t="s">
        <v>171</v>
      </c>
      <c r="G156" s="888"/>
      <c r="H156" s="206">
        <v>1</v>
      </c>
      <c r="I156" s="658">
        <f t="shared" si="6"/>
        <v>0</v>
      </c>
      <c r="J156" s="674">
        <f t="shared" si="7"/>
        <v>0</v>
      </c>
      <c r="K156" s="36">
        <f t="shared" si="8"/>
        <v>0</v>
      </c>
      <c r="L156" s="197" t="s">
        <v>77</v>
      </c>
      <c r="M156" s="724"/>
      <c r="N156" s="5"/>
      <c r="O156" s="242" t="str">
        <f>HYPERLINK("https://www.epa.gov/watersense/irrigation-controllers","Water Sense Irrigation Controllers")</f>
        <v>Water Sense Irrigation Controllers</v>
      </c>
      <c r="P156" s="5"/>
      <c r="Q156" s="5"/>
      <c r="R156" s="5"/>
      <c r="S156" s="5"/>
      <c r="T156" s="5"/>
    </row>
    <row r="157" spans="1:20" s="7" customFormat="1" ht="14.25" customHeight="1" thickBot="1" x14ac:dyDescent="0.3">
      <c r="A157" s="476"/>
      <c r="B157" s="478"/>
      <c r="C157" s="478"/>
      <c r="D157" s="481" t="s">
        <v>172</v>
      </c>
      <c r="E157" s="486"/>
      <c r="F157" s="495"/>
      <c r="G157" s="75"/>
      <c r="H157" s="69"/>
      <c r="I157" s="70"/>
      <c r="J157" s="675"/>
      <c r="K157" s="76"/>
      <c r="L157" s="491"/>
      <c r="M157" s="492"/>
      <c r="N157" s="12"/>
      <c r="O157" s="12"/>
      <c r="P157" s="12"/>
      <c r="Q157" s="12"/>
      <c r="R157" s="12"/>
      <c r="S157" s="12"/>
      <c r="T157" s="12"/>
    </row>
    <row r="158" spans="1:20" s="4" customFormat="1" ht="14.25" customHeight="1" x14ac:dyDescent="0.2">
      <c r="A158" s="335"/>
      <c r="B158" s="336"/>
      <c r="C158" s="336"/>
      <c r="D158" s="337"/>
      <c r="E158" s="156">
        <v>9</v>
      </c>
      <c r="F158" s="1196" t="s">
        <v>636</v>
      </c>
      <c r="G158" s="856"/>
      <c r="H158" s="206"/>
      <c r="I158" s="140">
        <f>IF(AND(OR(A158="x", A158="p"),NOT(B158="n")),H158,0)</f>
        <v>0</v>
      </c>
      <c r="J158" s="141">
        <f>IF(OR(D158="m", C158="y"),H158,0)</f>
        <v>0</v>
      </c>
      <c r="K158" s="43"/>
      <c r="L158" s="865" t="s">
        <v>77</v>
      </c>
      <c r="M158" s="874" t="s">
        <v>745</v>
      </c>
      <c r="N158" s="6"/>
      <c r="O158" s="6"/>
      <c r="P158" s="6"/>
      <c r="Q158" s="6"/>
      <c r="R158" s="6"/>
      <c r="S158" s="6"/>
      <c r="T158" s="6"/>
    </row>
    <row r="159" spans="1:20" s="4" customFormat="1" ht="15" customHeight="1" x14ac:dyDescent="0.2">
      <c r="A159" s="338"/>
      <c r="B159" s="339"/>
      <c r="C159" s="340"/>
      <c r="D159" s="341"/>
      <c r="E159" s="52" t="s">
        <v>97</v>
      </c>
      <c r="F159" s="920" t="s">
        <v>637</v>
      </c>
      <c r="G159" s="884"/>
      <c r="H159" s="50">
        <v>1</v>
      </c>
      <c r="I159" s="652">
        <f>IF(AND(OR(A159="x", A159="p"),NOT(OR(B159="n", A160="x", A160="p"))),H159,0)</f>
        <v>0</v>
      </c>
      <c r="J159" s="660">
        <f>IF(AND(OR(D159="m", C159="y"),NOT(D160="m"),NOT(C160="y")),H159,0)</f>
        <v>0</v>
      </c>
      <c r="K159" s="43">
        <f>IF(AND(J159&gt;0,C159="y"),H159,0)</f>
        <v>0</v>
      </c>
      <c r="L159" s="927"/>
      <c r="M159" s="940"/>
      <c r="N159" s="6"/>
      <c r="O159" s="6"/>
      <c r="P159" s="6"/>
      <c r="Q159" s="6"/>
      <c r="R159" s="6"/>
      <c r="S159" s="6"/>
      <c r="T159" s="6"/>
    </row>
    <row r="160" spans="1:20" s="4" customFormat="1" ht="15" customHeight="1" x14ac:dyDescent="0.2">
      <c r="A160" s="342" t="s">
        <v>465</v>
      </c>
      <c r="B160" s="343"/>
      <c r="C160" s="344" t="s">
        <v>787</v>
      </c>
      <c r="D160" s="345"/>
      <c r="E160" s="118" t="s">
        <v>99</v>
      </c>
      <c r="F160" s="898" t="s">
        <v>638</v>
      </c>
      <c r="G160" s="899"/>
      <c r="H160" s="72">
        <v>2</v>
      </c>
      <c r="I160" s="661">
        <f>IF(AND(OR(A160="x", A160="p"),NOT(OR(B160="n", A159="x", A159="p"))),H160,0)</f>
        <v>2</v>
      </c>
      <c r="J160" s="662">
        <f>IF(AND(OR(D160="m", C160="y"),NOT(D159="m"),NOT(C159="y")),H160,0)</f>
        <v>2</v>
      </c>
      <c r="K160" s="43">
        <f>IF(AND(J160&gt;0,C160="y"),H160,0)</f>
        <v>2</v>
      </c>
      <c r="L160" s="928"/>
      <c r="M160" s="946"/>
      <c r="N160" s="6"/>
      <c r="O160" s="6"/>
      <c r="P160" s="6"/>
      <c r="Q160" s="6"/>
      <c r="R160" s="6"/>
      <c r="S160" s="6"/>
      <c r="T160" s="6"/>
    </row>
    <row r="161" spans="1:20" s="4" customFormat="1" ht="14.25" customHeight="1" x14ac:dyDescent="0.2">
      <c r="A161" s="335"/>
      <c r="B161" s="336"/>
      <c r="C161" s="336"/>
      <c r="D161" s="337"/>
      <c r="E161" s="156">
        <v>10</v>
      </c>
      <c r="F161" s="1196" t="s">
        <v>173</v>
      </c>
      <c r="G161" s="856"/>
      <c r="H161" s="206"/>
      <c r="I161" s="140">
        <f>IF(AND(OR(A161="x", A161="p"),NOT(B161="n")),H161,0)</f>
        <v>0</v>
      </c>
      <c r="J161" s="141">
        <f>IF(OR(D161="m", C161="y"),H161,0)</f>
        <v>0</v>
      </c>
      <c r="K161" s="43"/>
      <c r="L161" s="865" t="s">
        <v>77</v>
      </c>
      <c r="M161" s="874" t="s">
        <v>746</v>
      </c>
      <c r="N161" s="6"/>
      <c r="O161" s="6"/>
      <c r="P161" s="6"/>
      <c r="Q161" s="6"/>
      <c r="R161" s="6"/>
      <c r="S161" s="6"/>
      <c r="T161" s="6"/>
    </row>
    <row r="162" spans="1:20" s="4" customFormat="1" ht="15" customHeight="1" x14ac:dyDescent="0.2">
      <c r="A162" s="338"/>
      <c r="B162" s="339"/>
      <c r="C162" s="340"/>
      <c r="D162" s="341"/>
      <c r="E162" s="52" t="s">
        <v>97</v>
      </c>
      <c r="F162" s="920" t="s">
        <v>174</v>
      </c>
      <c r="G162" s="884"/>
      <c r="H162" s="50">
        <v>1</v>
      </c>
      <c r="I162" s="652">
        <f>IF(AND(OR(A162="x", A162="p"),NOT(OR(B162="n", A163="x", A163="p"))),H162,0)</f>
        <v>0</v>
      </c>
      <c r="J162" s="660">
        <f>IF(AND(OR(D162="m", C162="y"),NOT(D163="m"),NOT(C163="y")),H162,0)</f>
        <v>0</v>
      </c>
      <c r="K162" s="43">
        <f>IF(AND(J162&gt;0,C162="y"),H162,0)</f>
        <v>0</v>
      </c>
      <c r="L162" s="927"/>
      <c r="M162" s="940"/>
      <c r="N162" s="6"/>
      <c r="O162" s="6"/>
      <c r="P162" s="6"/>
      <c r="Q162" s="6"/>
      <c r="R162" s="6"/>
      <c r="S162" s="6"/>
      <c r="T162" s="6"/>
    </row>
    <row r="163" spans="1:20" s="4" customFormat="1" ht="15" customHeight="1" x14ac:dyDescent="0.2">
      <c r="A163" s="342" t="s">
        <v>465</v>
      </c>
      <c r="B163" s="343"/>
      <c r="C163" s="344" t="s">
        <v>787</v>
      </c>
      <c r="D163" s="345"/>
      <c r="E163" s="118" t="s">
        <v>99</v>
      </c>
      <c r="F163" s="898" t="s">
        <v>175</v>
      </c>
      <c r="G163" s="899"/>
      <c r="H163" s="72">
        <v>2</v>
      </c>
      <c r="I163" s="661">
        <f>IF(AND(OR(A163="x", A163="p"),NOT(OR(B163="n", A162="x", A162="p"))),H163,0)</f>
        <v>2</v>
      </c>
      <c r="J163" s="662">
        <f>IF(AND(OR(D163="m", C163="y"),NOT(D162="m"),NOT(C162="y")),H163,0)</f>
        <v>2</v>
      </c>
      <c r="K163" s="43">
        <f>IF(AND(J163&gt;0,C163="y"),H163,0)</f>
        <v>2</v>
      </c>
      <c r="L163" s="928"/>
      <c r="M163" s="946"/>
      <c r="N163" s="6"/>
      <c r="O163" s="6"/>
      <c r="P163" s="6"/>
      <c r="Q163" s="6"/>
      <c r="R163" s="6"/>
      <c r="S163" s="6"/>
      <c r="T163" s="6"/>
    </row>
    <row r="164" spans="1:20" s="4" customFormat="1" ht="14.25" customHeight="1" x14ac:dyDescent="0.2">
      <c r="A164" s="335"/>
      <c r="B164" s="336"/>
      <c r="C164" s="336"/>
      <c r="D164" s="337"/>
      <c r="E164" s="156">
        <v>11</v>
      </c>
      <c r="F164" s="1196" t="s">
        <v>176</v>
      </c>
      <c r="G164" s="856"/>
      <c r="H164" s="206"/>
      <c r="I164" s="140"/>
      <c r="J164" s="141"/>
      <c r="K164" s="43"/>
      <c r="L164" s="865" t="s">
        <v>77</v>
      </c>
      <c r="M164" s="874" t="s">
        <v>747</v>
      </c>
      <c r="N164" s="6"/>
      <c r="O164" s="6"/>
      <c r="P164" s="6"/>
      <c r="Q164" s="6"/>
      <c r="R164" s="6"/>
      <c r="S164" s="6"/>
      <c r="T164" s="6"/>
    </row>
    <row r="165" spans="1:20" s="4" customFormat="1" ht="15" customHeight="1" x14ac:dyDescent="0.2">
      <c r="A165" s="338" t="s">
        <v>465</v>
      </c>
      <c r="B165" s="339"/>
      <c r="C165" s="340" t="s">
        <v>787</v>
      </c>
      <c r="D165" s="341"/>
      <c r="E165" s="52" t="s">
        <v>97</v>
      </c>
      <c r="F165" s="920" t="s">
        <v>177</v>
      </c>
      <c r="G165" s="884"/>
      <c r="H165" s="50">
        <v>2</v>
      </c>
      <c r="I165" s="652">
        <f>IF(AND(OR(A165="x", A165="p"),NOT(OR(B165="n", A166="x", A166="p"))),H165,0)</f>
        <v>2</v>
      </c>
      <c r="J165" s="660">
        <f>IF(AND(OR(D165="m", C165="y"),NOT(D166="m"),NOT(C166="y")),H165,0)</f>
        <v>2</v>
      </c>
      <c r="K165" s="43">
        <f>IF(AND(J165&gt;0,C165="y"),H165,0)</f>
        <v>2</v>
      </c>
      <c r="L165" s="927"/>
      <c r="M165" s="940"/>
      <c r="N165" s="6"/>
      <c r="O165" s="6"/>
      <c r="P165" s="6"/>
      <c r="Q165" s="15"/>
      <c r="R165" s="6"/>
      <c r="S165" s="6"/>
      <c r="T165" s="6"/>
    </row>
    <row r="166" spans="1:20" s="4" customFormat="1" ht="15" customHeight="1" x14ac:dyDescent="0.2">
      <c r="A166" s="321"/>
      <c r="B166" s="343"/>
      <c r="C166" s="344"/>
      <c r="D166" s="345"/>
      <c r="E166" s="118" t="s">
        <v>99</v>
      </c>
      <c r="F166" s="898" t="s">
        <v>178</v>
      </c>
      <c r="G166" s="899"/>
      <c r="H166" s="72">
        <v>3</v>
      </c>
      <c r="I166" s="661">
        <f>IF(AND(OR(A166="x", A166="p"),NOT(OR(B166="n", A165="x", A165="p"))),H166,0)</f>
        <v>0</v>
      </c>
      <c r="J166" s="662">
        <f>IF(AND(OR(D166="m", C166="y"),NOT(D165="m"),NOT(C165="y")),H166,0)</f>
        <v>0</v>
      </c>
      <c r="K166" s="43">
        <f>IF(AND(J166&gt;0,C166="y"),H166,0)</f>
        <v>0</v>
      </c>
      <c r="L166" s="928"/>
      <c r="M166" s="946"/>
      <c r="N166" s="6"/>
      <c r="O166" s="6"/>
      <c r="P166" s="6"/>
      <c r="Q166" s="6"/>
      <c r="R166" s="6"/>
      <c r="S166" s="6"/>
      <c r="T166" s="6"/>
    </row>
    <row r="167" spans="1:20" s="4" customFormat="1" ht="14.25" customHeight="1" x14ac:dyDescent="0.2">
      <c r="A167" s="335"/>
      <c r="B167" s="336"/>
      <c r="C167" s="336"/>
      <c r="D167" s="337"/>
      <c r="E167" s="156">
        <v>12</v>
      </c>
      <c r="F167" s="887" t="s">
        <v>179</v>
      </c>
      <c r="G167" s="888"/>
      <c r="H167" s="206"/>
      <c r="I167" s="140"/>
      <c r="J167" s="141"/>
      <c r="K167" s="43"/>
      <c r="L167" s="865" t="s">
        <v>77</v>
      </c>
      <c r="M167" s="874" t="s">
        <v>748</v>
      </c>
      <c r="N167" s="6"/>
      <c r="O167" s="6"/>
      <c r="P167" s="6"/>
      <c r="Q167" s="6"/>
      <c r="R167" s="6"/>
      <c r="S167" s="6"/>
      <c r="T167" s="6"/>
    </row>
    <row r="168" spans="1:20" s="4" customFormat="1" ht="14.25" customHeight="1" thickBot="1" x14ac:dyDescent="0.25">
      <c r="A168" s="910" t="s">
        <v>465</v>
      </c>
      <c r="B168" s="891"/>
      <c r="C168" s="893" t="s">
        <v>787</v>
      </c>
      <c r="D168" s="894"/>
      <c r="E168" s="168"/>
      <c r="F168" s="886" t="s">
        <v>180</v>
      </c>
      <c r="G168" s="858"/>
      <c r="H168" s="62"/>
      <c r="I168" s="1204">
        <f>IF(AND(A168="p",ISNUMBER(F169),NOT(B168="n")),IF(F169=1,F169,IF(F169&gt;1,2,0)),0)</f>
        <v>2</v>
      </c>
      <c r="J168" s="1194">
        <f>IF(AND(OR(C168="y",D168="m"),ISNUMBER(F169)),IF(F169=1,F169,IF(F169&gt;1,2,0)),0)</f>
        <v>2</v>
      </c>
      <c r="K168" s="1026">
        <f>IF(AND(OR(C168="y"),ISNUMBER(F169)),IF(F169=1,F169,IF(F169&gt;1,2,0)),0)</f>
        <v>2</v>
      </c>
      <c r="L168" s="927"/>
      <c r="M168" s="940"/>
      <c r="N168" s="6"/>
      <c r="O168" s="6"/>
      <c r="P168" s="6"/>
      <c r="Q168" s="6"/>
      <c r="R168" s="6"/>
      <c r="S168" s="6"/>
      <c r="T168" s="6"/>
    </row>
    <row r="169" spans="1:20" s="4" customFormat="1" ht="14.25" customHeight="1" x14ac:dyDescent="0.2">
      <c r="A169" s="911"/>
      <c r="B169" s="912"/>
      <c r="C169" s="912"/>
      <c r="D169" s="913"/>
      <c r="E169" s="77"/>
      <c r="F169" s="534">
        <v>2</v>
      </c>
      <c r="G169" s="78" t="s">
        <v>181</v>
      </c>
      <c r="H169" s="363" t="s">
        <v>182</v>
      </c>
      <c r="I169" s="1207"/>
      <c r="J169" s="1236"/>
      <c r="K169" s="928"/>
      <c r="L169" s="927"/>
      <c r="M169" s="940"/>
      <c r="N169" s="6"/>
      <c r="O169" s="6"/>
      <c r="P169" s="6"/>
      <c r="Q169" s="6"/>
      <c r="R169" s="6"/>
      <c r="S169" s="6"/>
      <c r="T169" s="6"/>
    </row>
    <row r="170" spans="1:20" s="4" customFormat="1" ht="14.25" customHeight="1" thickBot="1" x14ac:dyDescent="0.25">
      <c r="A170" s="905"/>
      <c r="B170" s="907"/>
      <c r="C170" s="908"/>
      <c r="D170" s="909"/>
      <c r="E170" s="79"/>
      <c r="F170" s="947" t="s">
        <v>183</v>
      </c>
      <c r="G170" s="948"/>
      <c r="H170" s="62"/>
      <c r="I170" s="1204">
        <f>IF(AND(A170="p",ISNUMBER(F171),NOT(B170="n")),IF(F171=1,2,IF(F171&gt;1,4-I168,0)),0)</f>
        <v>0</v>
      </c>
      <c r="J170" s="1194">
        <f>IF(AND(OR(C170="y",D170="m"),ISNUMBER(F171)),IF(F171=1,2,IF(F171&gt;1,4-I168,0)),0)</f>
        <v>0</v>
      </c>
      <c r="K170" s="1026">
        <f>IF(AND(OR(C170="y"),ISNUMBER(F171)),IF(F171=1,2,IF(F171&gt;1,4-I168,0)),0)</f>
        <v>0</v>
      </c>
      <c r="L170" s="927"/>
      <c r="M170" s="940"/>
      <c r="N170" s="6"/>
      <c r="O170" s="6"/>
      <c r="P170" s="6"/>
      <c r="Q170" s="6"/>
      <c r="R170" s="6"/>
      <c r="S170" s="6"/>
      <c r="T170" s="6"/>
    </row>
    <row r="171" spans="1:20" s="4" customFormat="1" ht="14.25" customHeight="1" x14ac:dyDescent="0.2">
      <c r="A171" s="906"/>
      <c r="B171" s="892"/>
      <c r="C171" s="892"/>
      <c r="D171" s="895"/>
      <c r="E171" s="80"/>
      <c r="F171" s="534">
        <v>0</v>
      </c>
      <c r="G171" s="81" t="s">
        <v>184</v>
      </c>
      <c r="H171" s="363" t="s">
        <v>185</v>
      </c>
      <c r="I171" s="952"/>
      <c r="J171" s="1161"/>
      <c r="K171" s="928"/>
      <c r="L171" s="927"/>
      <c r="M171" s="940"/>
      <c r="N171" s="6"/>
      <c r="O171" s="6"/>
      <c r="P171" s="6"/>
      <c r="Q171" s="6"/>
      <c r="R171" s="6"/>
      <c r="S171" s="6"/>
      <c r="T171" s="6"/>
    </row>
    <row r="172" spans="1:20" s="4" customFormat="1" ht="24.75" customHeight="1" thickBot="1" x14ac:dyDescent="0.25">
      <c r="A172" s="910" t="s">
        <v>465</v>
      </c>
      <c r="B172" s="891"/>
      <c r="C172" s="893" t="s">
        <v>787</v>
      </c>
      <c r="D172" s="894"/>
      <c r="E172" s="792">
        <v>13</v>
      </c>
      <c r="F172" s="1039" t="s">
        <v>186</v>
      </c>
      <c r="G172" s="888"/>
      <c r="H172" s="206"/>
      <c r="I172" s="1010">
        <f>IF(AND(A172="p",ISNUMBER(F173),NOT(B172="n")),IF(F173=1,1,IF(F173&gt;1,2,0)),0)</f>
        <v>2</v>
      </c>
      <c r="J172" s="1245">
        <f>IF(AND(OR(C172="y",D172="m"),ISNUMBER(F173)),IF(F173=1,1,IF(F173&gt;1,2,0)),0)</f>
        <v>2</v>
      </c>
      <c r="K172" s="1026">
        <f>IF(AND(OR(C172="y"),ISNUMBER(F173)),IF(F173=1,1,IF(F173&gt;1,2,0)),0)</f>
        <v>2</v>
      </c>
      <c r="L172" s="1246" t="s">
        <v>569</v>
      </c>
      <c r="M172" s="874" t="s">
        <v>749</v>
      </c>
      <c r="N172" s="6"/>
      <c r="O172" s="198" t="str">
        <f>HYPERLINK("https://www.allianceforwaterefficiency.org/resources/topic/toilets-tank-type-and-flush-valve","Explanation of UNAR MaP - Alliance for Water Efficiency")</f>
        <v>Explanation of UNAR MaP - Alliance for Water Efficiency</v>
      </c>
      <c r="P172" s="6"/>
      <c r="Q172" s="6"/>
      <c r="R172" s="6"/>
      <c r="S172" s="6"/>
      <c r="T172" s="6"/>
    </row>
    <row r="173" spans="1:20" s="4" customFormat="1" ht="14.25" customHeight="1" x14ac:dyDescent="0.2">
      <c r="A173" s="906"/>
      <c r="B173" s="892"/>
      <c r="C173" s="892"/>
      <c r="D173" s="895"/>
      <c r="E173" s="82"/>
      <c r="F173" s="534">
        <v>2</v>
      </c>
      <c r="G173" s="83" t="s">
        <v>184</v>
      </c>
      <c r="H173" s="84" t="s">
        <v>182</v>
      </c>
      <c r="I173" s="952"/>
      <c r="J173" s="1161"/>
      <c r="K173" s="928"/>
      <c r="L173" s="1247"/>
      <c r="M173" s="946"/>
      <c r="N173" s="6"/>
      <c r="O173" s="6"/>
      <c r="P173" s="6"/>
      <c r="Q173" s="6"/>
      <c r="R173" s="6"/>
      <c r="S173" s="6"/>
      <c r="T173" s="6"/>
    </row>
    <row r="174" spans="1:20" s="4" customFormat="1" ht="13.5" customHeight="1" x14ac:dyDescent="0.2">
      <c r="A174" s="317"/>
      <c r="B174" s="318"/>
      <c r="C174" s="319"/>
      <c r="D174" s="320"/>
      <c r="E174" s="796">
        <v>14</v>
      </c>
      <c r="F174" s="1248" t="s">
        <v>187</v>
      </c>
      <c r="G174" s="919"/>
      <c r="H174" s="148">
        <v>3</v>
      </c>
      <c r="I174" s="44">
        <f>IF(AND(OR(A174="x", A174="p"),NOT(B174="n")),H174,0)</f>
        <v>0</v>
      </c>
      <c r="J174" s="45">
        <f>IF(OR(D174="m", C174="y"),H174,0)</f>
        <v>0</v>
      </c>
      <c r="K174" s="43">
        <f>IF(AND(J174&gt;0,C174="y"),H174,0)</f>
        <v>0</v>
      </c>
      <c r="L174" s="25" t="s">
        <v>77</v>
      </c>
      <c r="M174" s="284"/>
      <c r="N174" s="6"/>
      <c r="O174" s="242" t="str">
        <f>HYPERLINK("https://www.epa.gov/sites/production/files/2015-06/documents/comp.pdf","EPA: Composting Toilets")</f>
        <v>EPA: Composting Toilets</v>
      </c>
      <c r="P174" s="5"/>
      <c r="Q174" s="5"/>
      <c r="R174" s="5"/>
      <c r="S174" s="5"/>
      <c r="T174" s="5"/>
    </row>
    <row r="175" spans="1:20" s="4" customFormat="1" ht="14.25" customHeight="1" x14ac:dyDescent="0.2">
      <c r="A175" s="335"/>
      <c r="B175" s="336"/>
      <c r="C175" s="336"/>
      <c r="D175" s="337"/>
      <c r="E175" s="156">
        <v>15</v>
      </c>
      <c r="F175" s="887" t="s">
        <v>188</v>
      </c>
      <c r="G175" s="888"/>
      <c r="H175" s="206"/>
      <c r="I175" s="140"/>
      <c r="J175" s="141"/>
      <c r="K175" s="43"/>
      <c r="L175" s="865" t="s">
        <v>569</v>
      </c>
      <c r="M175" s="874" t="s">
        <v>750</v>
      </c>
      <c r="N175" s="5"/>
      <c r="O175" s="977" t="s">
        <v>189</v>
      </c>
      <c r="P175" s="930"/>
      <c r="Q175" s="930"/>
      <c r="R175" s="930"/>
      <c r="S175" s="930"/>
      <c r="T175" s="6"/>
    </row>
    <row r="176" spans="1:20" s="4" customFormat="1" ht="12" customHeight="1" x14ac:dyDescent="0.2">
      <c r="A176" s="338"/>
      <c r="B176" s="339"/>
      <c r="C176" s="340"/>
      <c r="D176" s="341"/>
      <c r="E176" s="52" t="s">
        <v>97</v>
      </c>
      <c r="F176" s="920" t="s">
        <v>190</v>
      </c>
      <c r="G176" s="884"/>
      <c r="H176" s="50">
        <v>1</v>
      </c>
      <c r="I176" s="652">
        <f>IF(AND(OR(A176="x", A176="p"),NOT(OR(B176="n", A177="x", A177="p"))),H176,0)</f>
        <v>0</v>
      </c>
      <c r="J176" s="660">
        <f>IF(AND(OR(D176="m", C176="y"),NOT(D177="m"),NOT(C177="y")),H176,0)</f>
        <v>0</v>
      </c>
      <c r="K176" s="43">
        <f>IF(AND(J176&gt;0,C176="y"),H176,0)</f>
        <v>0</v>
      </c>
      <c r="L176" s="927"/>
      <c r="M176" s="940"/>
      <c r="N176" s="6"/>
      <c r="O176" s="6"/>
      <c r="P176" s="6"/>
      <c r="Q176" s="6"/>
      <c r="R176" s="6"/>
      <c r="S176" s="6"/>
      <c r="T176" s="6"/>
    </row>
    <row r="177" spans="1:20" s="4" customFormat="1" ht="15" customHeight="1" x14ac:dyDescent="0.2">
      <c r="A177" s="342"/>
      <c r="B177" s="343"/>
      <c r="C177" s="344"/>
      <c r="D177" s="345"/>
      <c r="E177" s="118" t="s">
        <v>99</v>
      </c>
      <c r="F177" s="898" t="s">
        <v>191</v>
      </c>
      <c r="G177" s="899"/>
      <c r="H177" s="72">
        <v>2</v>
      </c>
      <c r="I177" s="661">
        <f>IF(AND(OR(A177="x", A177="p"),NOT(OR(B177="n", A176="x", A176="p"))),H177,0)</f>
        <v>0</v>
      </c>
      <c r="J177" s="662">
        <f>IF(AND(OR(D177="m", C177="y"),NOT(D176="m"),NOT(C176="y")),H177,0)</f>
        <v>0</v>
      </c>
      <c r="K177" s="43">
        <f>IF(AND(J177&gt;0,C177="y"),H177,0)</f>
        <v>0</v>
      </c>
      <c r="L177" s="928"/>
      <c r="M177" s="946"/>
      <c r="N177" s="6"/>
      <c r="O177" s="6"/>
      <c r="P177" s="6"/>
      <c r="Q177" s="6"/>
      <c r="R177" s="6"/>
      <c r="S177" s="6"/>
      <c r="T177" s="6"/>
    </row>
    <row r="178" spans="1:20" s="4" customFormat="1" ht="14.25" customHeight="1" x14ac:dyDescent="0.2">
      <c r="A178" s="335"/>
      <c r="B178" s="336"/>
      <c r="C178" s="336"/>
      <c r="D178" s="337"/>
      <c r="E178" s="156">
        <v>16</v>
      </c>
      <c r="F178" s="887" t="s">
        <v>192</v>
      </c>
      <c r="G178" s="888"/>
      <c r="H178" s="206"/>
      <c r="I178" s="140"/>
      <c r="J178" s="141"/>
      <c r="K178" s="43"/>
      <c r="L178" s="1244" t="s">
        <v>77</v>
      </c>
      <c r="M178" s="874" t="s">
        <v>782</v>
      </c>
      <c r="N178" s="6"/>
      <c r="O178" s="6"/>
      <c r="P178" s="6"/>
      <c r="Q178" s="6"/>
      <c r="R178" s="6"/>
      <c r="S178" s="6"/>
      <c r="T178" s="6"/>
    </row>
    <row r="179" spans="1:20" s="4" customFormat="1" ht="15" customHeight="1" x14ac:dyDescent="0.2">
      <c r="A179" s="338"/>
      <c r="B179" s="339"/>
      <c r="C179" s="340"/>
      <c r="D179" s="341"/>
      <c r="E179" s="52" t="s">
        <v>97</v>
      </c>
      <c r="F179" s="920" t="s">
        <v>193</v>
      </c>
      <c r="G179" s="884"/>
      <c r="H179" s="50">
        <v>1</v>
      </c>
      <c r="I179" s="652">
        <f>IF(AND(OR(A179="x", A179="p"),NOT(OR(B179="n", A180="x", A180="p"))),H179,0)</f>
        <v>0</v>
      </c>
      <c r="J179" s="660">
        <f>IF(AND(OR(D179="m", C179="y"),NOT(D180="m"),NOT(C180="y")),H179,0)</f>
        <v>0</v>
      </c>
      <c r="K179" s="43">
        <f>IF(AND(J179&gt;0,C179="y"),H179,0)</f>
        <v>0</v>
      </c>
      <c r="L179" s="927"/>
      <c r="M179" s="940"/>
      <c r="N179" s="6"/>
      <c r="O179" s="198" t="s">
        <v>189</v>
      </c>
      <c r="P179" s="6"/>
      <c r="Q179" s="6"/>
      <c r="R179" s="6"/>
      <c r="S179" s="6"/>
      <c r="T179" s="6"/>
    </row>
    <row r="180" spans="1:20" s="4" customFormat="1" ht="14.25" customHeight="1" x14ac:dyDescent="0.2">
      <c r="A180" s="342" t="s">
        <v>465</v>
      </c>
      <c r="B180" s="343"/>
      <c r="C180" s="344" t="s">
        <v>787</v>
      </c>
      <c r="D180" s="345"/>
      <c r="E180" s="118" t="s">
        <v>99</v>
      </c>
      <c r="F180" s="898" t="s">
        <v>194</v>
      </c>
      <c r="G180" s="899"/>
      <c r="H180" s="72">
        <v>2</v>
      </c>
      <c r="I180" s="661">
        <f>IF(AND(OR(A180="x", A180="p"),NOT(OR(B180="n", A179="x", A179="p"))),H180,0)</f>
        <v>2</v>
      </c>
      <c r="J180" s="662">
        <f>IF(AND(OR(D180="m", C180="y"),NOT(D179="m"),NOT(C179="y")),H180,0)</f>
        <v>2</v>
      </c>
      <c r="K180" s="43">
        <f>IF(AND(J180&gt;0,C180="y"),H180,0)</f>
        <v>2</v>
      </c>
      <c r="L180" s="928"/>
      <c r="M180" s="946"/>
      <c r="N180" s="6"/>
      <c r="O180" s="6"/>
      <c r="P180" s="6"/>
      <c r="Q180" s="6"/>
      <c r="R180" s="6"/>
      <c r="S180" s="6"/>
      <c r="T180" s="6"/>
    </row>
    <row r="181" spans="1:20" s="4" customFormat="1" ht="30.75" customHeight="1" thickBot="1" x14ac:dyDescent="0.25">
      <c r="A181" s="356"/>
      <c r="B181" s="357"/>
      <c r="C181" s="358"/>
      <c r="D181" s="359"/>
      <c r="E181" s="841">
        <v>17</v>
      </c>
      <c r="F181" s="1192" t="s">
        <v>151</v>
      </c>
      <c r="G181" s="1193"/>
      <c r="H181" s="364" t="s">
        <v>152</v>
      </c>
      <c r="I181" s="676">
        <f>IF(AND(OR(A181="x", A181="p"),NOT(B181="n"), H181&lt;=7),H181,0)</f>
        <v>0</v>
      </c>
      <c r="J181" s="677">
        <f>IF(AND(OR(D181="m", C181="y"), H181&lt;=7),H181,0)</f>
        <v>0</v>
      </c>
      <c r="K181" s="43">
        <f>IF(AND(J181&gt;0,C181="y"),H181,0)</f>
        <v>0</v>
      </c>
      <c r="L181" s="85" t="s">
        <v>195</v>
      </c>
      <c r="M181" s="361"/>
      <c r="N181" s="6"/>
      <c r="O181" s="5"/>
      <c r="P181" s="6"/>
      <c r="Q181" s="6"/>
      <c r="R181" s="6"/>
      <c r="S181" s="6"/>
      <c r="T181" s="6"/>
    </row>
    <row r="182" spans="1:20" s="4" customFormat="1" ht="16.5" thickTop="1" thickBot="1" x14ac:dyDescent="0.3">
      <c r="A182" s="900" t="s">
        <v>196</v>
      </c>
      <c r="B182" s="901"/>
      <c r="C182" s="901"/>
      <c r="D182" s="901"/>
      <c r="E182" s="901"/>
      <c r="F182" s="901"/>
      <c r="G182" s="901"/>
      <c r="H182" s="902"/>
      <c r="I182" s="666">
        <f>SUM(I134:I181)</f>
        <v>21</v>
      </c>
      <c r="J182" s="666">
        <f>SUM(J134:J181)</f>
        <v>21</v>
      </c>
      <c r="K182" s="64">
        <f>SUM(K137:K181)</f>
        <v>21</v>
      </c>
      <c r="L182" s="86"/>
      <c r="M182" s="87"/>
      <c r="N182" s="6"/>
      <c r="O182" s="5"/>
      <c r="P182" s="5"/>
      <c r="Q182" s="5"/>
      <c r="R182" s="5"/>
      <c r="S182" s="5"/>
      <c r="T182" s="5"/>
    </row>
    <row r="183" spans="1:20" s="4" customFormat="1" ht="35.1" customHeight="1" thickTop="1" thickBot="1" x14ac:dyDescent="0.25">
      <c r="A183" s="1239" t="s">
        <v>58</v>
      </c>
      <c r="B183" s="1239"/>
      <c r="C183" s="1239"/>
      <c r="D183" s="1239"/>
      <c r="E183" s="1239"/>
      <c r="F183" s="1239"/>
      <c r="G183" s="1239"/>
      <c r="H183" s="1239"/>
      <c r="I183" s="1239"/>
      <c r="J183" s="1239"/>
      <c r="K183" s="1239"/>
      <c r="L183" s="1239"/>
      <c r="M183" s="1239"/>
      <c r="O183" s="5"/>
      <c r="P183" s="5"/>
      <c r="Q183" s="5"/>
      <c r="R183" s="5"/>
      <c r="S183" s="5"/>
      <c r="T183" s="5"/>
    </row>
    <row r="184" spans="1:20" s="4" customFormat="1" ht="12.75" customHeight="1" thickBot="1" x14ac:dyDescent="0.3">
      <c r="A184" s="26"/>
      <c r="B184" s="27"/>
      <c r="C184" s="28"/>
      <c r="D184" s="88"/>
      <c r="E184" s="1273" t="s">
        <v>591</v>
      </c>
      <c r="F184" s="1217"/>
      <c r="G184" s="1218"/>
      <c r="H184" s="878" t="s">
        <v>87</v>
      </c>
      <c r="I184" s="1005" t="s">
        <v>88</v>
      </c>
      <c r="J184" s="1006"/>
      <c r="K184" s="569"/>
      <c r="L184" s="1007" t="s">
        <v>89</v>
      </c>
      <c r="M184" s="1008" t="s">
        <v>197</v>
      </c>
      <c r="O184" s="5"/>
      <c r="P184" s="5"/>
      <c r="Q184" s="5"/>
      <c r="R184" s="5"/>
      <c r="S184" s="5"/>
      <c r="T184" s="5"/>
    </row>
    <row r="185" spans="1:20" s="4" customFormat="1" ht="14.25" customHeight="1" thickBot="1" x14ac:dyDescent="0.25">
      <c r="A185" s="30" t="s">
        <v>0</v>
      </c>
      <c r="B185" s="31" t="s">
        <v>1</v>
      </c>
      <c r="C185" s="32" t="s">
        <v>91</v>
      </c>
      <c r="D185" s="89" t="s">
        <v>92</v>
      </c>
      <c r="E185" s="1274"/>
      <c r="F185" s="1220"/>
      <c r="G185" s="1201"/>
      <c r="H185" s="1203"/>
      <c r="I185" s="649" t="s">
        <v>93</v>
      </c>
      <c r="J185" s="650" t="s">
        <v>94</v>
      </c>
      <c r="K185" s="570"/>
      <c r="L185" s="915"/>
      <c r="M185" s="1009"/>
      <c r="O185" s="5"/>
      <c r="P185" s="5"/>
      <c r="Q185" s="5"/>
      <c r="R185" s="5"/>
      <c r="S185" s="5"/>
      <c r="T185" s="5"/>
    </row>
    <row r="186" spans="1:20" s="4" customFormat="1" ht="42" customHeight="1" thickBot="1" x14ac:dyDescent="0.25">
      <c r="A186" s="1242" t="s">
        <v>465</v>
      </c>
      <c r="B186" s="1237"/>
      <c r="C186" s="1238" t="s">
        <v>787</v>
      </c>
      <c r="D186" s="1243"/>
      <c r="E186" s="790">
        <v>1</v>
      </c>
      <c r="F186" s="947" t="s">
        <v>198</v>
      </c>
      <c r="G186" s="948"/>
      <c r="H186" s="1234" t="s">
        <v>199</v>
      </c>
      <c r="I186" s="1235">
        <f>IF(AND(A186="p",NOT(B186="n"),NOT(F187=""),F187&lt;70),MIN(35,ROUNDDOWN(((70-F187)/2),0)),0)</f>
        <v>28</v>
      </c>
      <c r="J186" s="1240">
        <f>IF(AND(OR(C186="y",D186="m"),NOT(F187=""),F187&lt;77),MIN(38,ROUNDDOWN(((70-F187)/2),0)),0)</f>
        <v>28</v>
      </c>
      <c r="K186" s="1241">
        <f>IF(AND(OR(C186="y"),NOT(F187=""),F187&lt;77),MIN(38,ROUNDDOWN(((70-F187)/2),0)),0)</f>
        <v>28</v>
      </c>
      <c r="L186" s="1432" t="s">
        <v>200</v>
      </c>
      <c r="M186" s="1210" t="s">
        <v>788</v>
      </c>
      <c r="N186" s="5"/>
      <c r="O186" s="977" t="s">
        <v>201</v>
      </c>
      <c r="P186" s="930"/>
      <c r="Q186" s="930"/>
      <c r="R186" s="930"/>
      <c r="S186" s="930"/>
      <c r="T186" s="6"/>
    </row>
    <row r="187" spans="1:20" s="4" customFormat="1" ht="14.25" customHeight="1" x14ac:dyDescent="0.2">
      <c r="A187" s="906"/>
      <c r="B187" s="892"/>
      <c r="C187" s="892"/>
      <c r="D187" s="895"/>
      <c r="E187" s="82"/>
      <c r="F187" s="534">
        <v>13</v>
      </c>
      <c r="G187" s="90"/>
      <c r="H187" s="976"/>
      <c r="I187" s="952"/>
      <c r="J187" s="1161"/>
      <c r="K187" s="928"/>
      <c r="L187" s="1407"/>
      <c r="M187" s="946"/>
      <c r="N187" s="6"/>
      <c r="O187" s="6"/>
      <c r="P187" s="6"/>
      <c r="Q187" s="6"/>
      <c r="R187" s="6"/>
      <c r="S187" s="6"/>
      <c r="T187" s="6"/>
    </row>
    <row r="188" spans="1:20" s="4" customFormat="1" ht="27" customHeight="1" x14ac:dyDescent="0.2">
      <c r="A188" s="757"/>
      <c r="B188" s="758"/>
      <c r="C188" s="759"/>
      <c r="D188" s="760"/>
      <c r="E188" s="791">
        <v>2</v>
      </c>
      <c r="F188" s="1259" t="s">
        <v>709</v>
      </c>
      <c r="G188" s="856"/>
      <c r="H188" s="761"/>
      <c r="I188" s="658"/>
      <c r="J188" s="753"/>
      <c r="K188" s="43">
        <f>IF(AND(J188&gt;0,C188="y"),H188,0)</f>
        <v>0</v>
      </c>
      <c r="L188" s="865" t="s">
        <v>202</v>
      </c>
      <c r="M188" s="874" t="s">
        <v>733</v>
      </c>
      <c r="N188" s="6"/>
      <c r="O188" s="977" t="str">
        <f>HYPERLINK("https://www.energystar.gov/partner_resources/residential_new/homes_prog_reqs/national_page","ENERGY STAR New Homes Requirements")</f>
        <v>ENERGY STAR New Homes Requirements</v>
      </c>
      <c r="P188" s="930"/>
      <c r="Q188" s="930"/>
      <c r="R188" s="930"/>
      <c r="S188" s="930"/>
      <c r="T188" s="5"/>
    </row>
    <row r="189" spans="1:20" s="4" customFormat="1" ht="17.45" customHeight="1" x14ac:dyDescent="0.2">
      <c r="A189" s="352" t="s">
        <v>465</v>
      </c>
      <c r="B189" s="353"/>
      <c r="C189" s="769" t="s">
        <v>787</v>
      </c>
      <c r="D189" s="770"/>
      <c r="E189" s="765" t="s">
        <v>97</v>
      </c>
      <c r="F189" s="763" t="s">
        <v>703</v>
      </c>
      <c r="G189" s="752"/>
      <c r="H189" s="143">
        <v>5</v>
      </c>
      <c r="I189" s="652">
        <f>IF(AND(OR(A189="x", A189="p"),NOT(OR(B189="n",A190="x",A190="p"))),H189,0)</f>
        <v>5</v>
      </c>
      <c r="J189" s="653">
        <f>IF(AND(OR(D189="m", C189="y"),NOT(D190="m"),NOT(C190="y")),H189,0)</f>
        <v>5</v>
      </c>
      <c r="K189" s="754"/>
      <c r="L189" s="866"/>
      <c r="M189" s="875"/>
      <c r="N189" s="6"/>
      <c r="O189" s="198"/>
      <c r="T189" s="5"/>
    </row>
    <row r="190" spans="1:20" s="4" customFormat="1" x14ac:dyDescent="0.2">
      <c r="A190" s="369"/>
      <c r="B190" s="370"/>
      <c r="C190" s="767"/>
      <c r="D190" s="768"/>
      <c r="E190" s="764" t="s">
        <v>99</v>
      </c>
      <c r="F190" s="755" t="s">
        <v>700</v>
      </c>
      <c r="G190" s="756"/>
      <c r="H190" s="222">
        <v>8</v>
      </c>
      <c r="I190" s="667">
        <f>IF(AND(OR(A190="x", A190="p"),NOT(OR(B190="n",B189="x",B189="p"))),H190,0)</f>
        <v>0</v>
      </c>
      <c r="J190" s="766">
        <f>IF(AND(OR(D190="m", C190="y"),NOT(D189="m"),NOT(C189="y")),H190,0)</f>
        <v>0</v>
      </c>
      <c r="K190" s="754"/>
      <c r="L190" s="867"/>
      <c r="M190" s="876"/>
      <c r="N190" s="6"/>
      <c r="O190" s="750"/>
      <c r="T190" s="5"/>
    </row>
    <row r="191" spans="1:20" s="4" customFormat="1" ht="25.5" customHeight="1" x14ac:dyDescent="0.2">
      <c r="A191" s="335"/>
      <c r="B191" s="336"/>
      <c r="C191" s="336"/>
      <c r="D191" s="337"/>
      <c r="E191" s="156">
        <v>3</v>
      </c>
      <c r="F191" s="887" t="s">
        <v>203</v>
      </c>
      <c r="G191" s="888"/>
      <c r="H191" s="206"/>
      <c r="I191" s="140"/>
      <c r="J191" s="141"/>
      <c r="K191" s="43"/>
      <c r="L191" s="865" t="s">
        <v>77</v>
      </c>
      <c r="M191" s="874" t="s">
        <v>751</v>
      </c>
      <c r="N191" s="5"/>
      <c r="O191" s="6"/>
      <c r="P191" s="201"/>
      <c r="Q191" s="6"/>
      <c r="R191" s="6"/>
      <c r="S191" s="6"/>
      <c r="T191" s="6"/>
    </row>
    <row r="192" spans="1:20" s="4" customFormat="1" ht="15" customHeight="1" x14ac:dyDescent="0.2">
      <c r="A192" s="338"/>
      <c r="B192" s="339"/>
      <c r="C192" s="340"/>
      <c r="D192" s="341"/>
      <c r="E192" s="52" t="s">
        <v>97</v>
      </c>
      <c r="F192" s="920" t="s">
        <v>204</v>
      </c>
      <c r="G192" s="884"/>
      <c r="H192" s="50">
        <v>3</v>
      </c>
      <c r="I192" s="652">
        <f>IF(AND(OR(A192="x", A192="p"),NOT(OR(B192="n", A193="x", A193="p", A194="x", A194="p"))),H192,0)</f>
        <v>0</v>
      </c>
      <c r="J192" s="660">
        <f>IF(AND(OR(D192="m", C192="y"),NOT(D193="m"),NOT(C193="y"),NOT(D194="m"),NOT(C194="y")),H192,0)</f>
        <v>0</v>
      </c>
      <c r="K192" s="43">
        <f>IF(AND(J192&gt;0,C192="y"),H192,0)</f>
        <v>0</v>
      </c>
      <c r="L192" s="927"/>
      <c r="M192" s="940"/>
      <c r="N192" s="6"/>
      <c r="O192" s="977" t="s">
        <v>69</v>
      </c>
      <c r="P192" s="930"/>
      <c r="Q192" s="930"/>
      <c r="R192" s="930"/>
      <c r="S192" s="6"/>
      <c r="T192" s="6"/>
    </row>
    <row r="193" spans="1:20" s="4" customFormat="1" ht="15" customHeight="1" x14ac:dyDescent="0.2">
      <c r="A193" s="305"/>
      <c r="B193" s="306"/>
      <c r="C193" s="307"/>
      <c r="D193" s="308"/>
      <c r="E193" s="52" t="s">
        <v>99</v>
      </c>
      <c r="F193" s="920" t="s">
        <v>205</v>
      </c>
      <c r="G193" s="884"/>
      <c r="H193" s="50">
        <v>4</v>
      </c>
      <c r="I193" s="652">
        <f>IF(AND(OR(A193="x", A193="p"),NOT(OR(B193="n", A192="x", A192="p", A194="x", A194="p"))),H193,0)</f>
        <v>0</v>
      </c>
      <c r="J193" s="660">
        <f>IF(AND(OR(D193="m", C193="y"),NOT(D194="m"),NOT(C194="y"),NOT(D192="m"),NOT(C192="y")),H193,0)</f>
        <v>0</v>
      </c>
      <c r="K193" s="43">
        <f>IF(AND(J193&gt;0,C193="y"),H193,0)</f>
        <v>0</v>
      </c>
      <c r="L193" s="927"/>
      <c r="M193" s="940"/>
      <c r="N193" s="6"/>
      <c r="O193" s="6"/>
      <c r="P193" s="6"/>
      <c r="Q193" s="6"/>
      <c r="R193" s="6"/>
      <c r="S193" s="6"/>
      <c r="T193" s="6"/>
    </row>
    <row r="194" spans="1:20" s="4" customFormat="1" ht="14.25" customHeight="1" thickBot="1" x14ac:dyDescent="0.25">
      <c r="A194" s="365" t="s">
        <v>465</v>
      </c>
      <c r="B194" s="366"/>
      <c r="C194" s="367" t="s">
        <v>787</v>
      </c>
      <c r="D194" s="368"/>
      <c r="E194" s="91" t="s">
        <v>101</v>
      </c>
      <c r="F194" s="1263" t="s">
        <v>206</v>
      </c>
      <c r="G194" s="1222"/>
      <c r="H194" s="207">
        <v>5</v>
      </c>
      <c r="I194" s="678">
        <f>IF(AND(OR(A194="x", A194="p"),NOT(OR(B194="n", A192="x", A192="p", A193="x", A193="p"))),H194,0)</f>
        <v>5</v>
      </c>
      <c r="J194" s="657">
        <f>IF(AND(OR(D194="m", C194="y"),NOT(D192="m"),NOT(C192="y"),NOT(D193="m"),NOT(C193="y")),H194,0)</f>
        <v>5</v>
      </c>
      <c r="K194" s="36">
        <f>IF(AND(J194&gt;0,C194="y"),H194,0)</f>
        <v>5</v>
      </c>
      <c r="L194" s="928"/>
      <c r="M194" s="946"/>
      <c r="N194" s="6"/>
      <c r="O194" s="6"/>
      <c r="P194" s="6"/>
      <c r="Q194" s="6"/>
      <c r="R194" s="6"/>
      <c r="S194" s="6"/>
      <c r="T194" s="6"/>
    </row>
    <row r="195" spans="1:20" s="4" customFormat="1" ht="15" customHeight="1" thickBot="1" x14ac:dyDescent="0.25">
      <c r="A195" s="92"/>
      <c r="B195" s="93"/>
      <c r="C195" s="93"/>
      <c r="D195" s="1260" t="s">
        <v>207</v>
      </c>
      <c r="E195" s="1261"/>
      <c r="F195" s="1261"/>
      <c r="G195" s="1261"/>
      <c r="H195" s="1261"/>
      <c r="I195" s="1261"/>
      <c r="J195" s="1261"/>
      <c r="K195" s="1261"/>
      <c r="L195" s="1262"/>
      <c r="M195" s="48"/>
      <c r="N195" s="6"/>
      <c r="O195" s="5"/>
      <c r="P195" s="5"/>
      <c r="Q195" s="5"/>
      <c r="R195" s="5"/>
      <c r="S195" s="5"/>
      <c r="T195" s="5"/>
    </row>
    <row r="196" spans="1:20" s="4" customFormat="1" ht="21.75" customHeight="1" x14ac:dyDescent="0.2">
      <c r="A196" s="94"/>
      <c r="B196" s="95"/>
      <c r="C196" s="95"/>
      <c r="D196" s="96"/>
      <c r="E196" s="1264" t="s">
        <v>208</v>
      </c>
      <c r="F196" s="1265"/>
      <c r="G196" s="1266"/>
      <c r="H196" s="574"/>
      <c r="I196" s="679"/>
      <c r="J196" s="680"/>
      <c r="K196" s="575"/>
      <c r="L196" s="576"/>
      <c r="M196" s="577"/>
      <c r="N196" s="5"/>
      <c r="O196" s="6"/>
      <c r="P196" s="6"/>
      <c r="Q196" s="6"/>
      <c r="R196" s="6"/>
      <c r="S196" s="6"/>
      <c r="T196" s="6"/>
    </row>
    <row r="197" spans="1:20" s="4" customFormat="1" ht="15" customHeight="1" x14ac:dyDescent="0.2">
      <c r="A197" s="135"/>
      <c r="B197" s="159"/>
      <c r="C197" s="159"/>
      <c r="D197" s="49"/>
      <c r="E197" s="792">
        <v>4</v>
      </c>
      <c r="F197" s="1250" t="s">
        <v>711</v>
      </c>
      <c r="G197" s="856"/>
      <c r="H197" s="207"/>
      <c r="I197" s="681"/>
      <c r="J197" s="657">
        <f>IF(AND(OR(D197="m", C197="y"),NOT(D198="m"),NOT(C198="y"),NOT(D199="m"),NOT(C199="y")),H197,0)</f>
        <v>0</v>
      </c>
      <c r="K197" s="97"/>
      <c r="L197" s="865" t="s">
        <v>80</v>
      </c>
      <c r="M197" s="868"/>
      <c r="N197" s="6"/>
      <c r="O197" s="977" t="s">
        <v>209</v>
      </c>
      <c r="P197" s="930"/>
      <c r="Q197" s="930"/>
      <c r="R197" s="930"/>
      <c r="S197" s="930"/>
      <c r="T197" s="6"/>
    </row>
    <row r="198" spans="1:20" s="4" customFormat="1" ht="14.25" customHeight="1" x14ac:dyDescent="0.2">
      <c r="A198" s="352"/>
      <c r="B198" s="353"/>
      <c r="C198" s="354"/>
      <c r="D198" s="355"/>
      <c r="E198" s="52" t="s">
        <v>97</v>
      </c>
      <c r="F198" s="857" t="s">
        <v>210</v>
      </c>
      <c r="G198" s="858"/>
      <c r="H198" s="50">
        <v>1</v>
      </c>
      <c r="I198" s="652">
        <f>IF(AND(OR(A198="x", A198="p"),NOT(OR(B198="n", A199="x", A199="p"))),H198,0)</f>
        <v>0</v>
      </c>
      <c r="J198" s="660">
        <f>IF(AND(OR(D198="m", C198="y"),NOT(D199="m"),NOT(C199="y")),H198,0)</f>
        <v>0</v>
      </c>
      <c r="K198" s="37">
        <f>IF(AND(J198&gt;0,C198="y"),H198,0)</f>
        <v>0</v>
      </c>
      <c r="L198" s="1267"/>
      <c r="M198" s="1257"/>
      <c r="N198" s="6"/>
      <c r="O198" s="929"/>
      <c r="P198" s="930"/>
      <c r="Q198" s="930"/>
      <c r="R198" s="930"/>
      <c r="S198" s="6"/>
      <c r="T198" s="6"/>
    </row>
    <row r="199" spans="1:20" s="4" customFormat="1" ht="15" customHeight="1" x14ac:dyDescent="0.2">
      <c r="A199" s="365"/>
      <c r="B199" s="366"/>
      <c r="C199" s="367"/>
      <c r="D199" s="368"/>
      <c r="E199" s="98" t="s">
        <v>99</v>
      </c>
      <c r="F199" s="857" t="s">
        <v>211</v>
      </c>
      <c r="G199" s="858"/>
      <c r="H199" s="50">
        <v>3</v>
      </c>
      <c r="I199" s="652">
        <f>IF(AND(OR(A199="x", A199="p"),NOT(OR(B199="n", A198="x", A198="p"))),H199,0)</f>
        <v>0</v>
      </c>
      <c r="J199" s="660">
        <f>IF(AND(OR(D199="m", C199="y"),NOT(D198="m"),NOT(C198="y")),H199,0)</f>
        <v>0</v>
      </c>
      <c r="K199" s="37">
        <f>IF(AND(J199&gt;0,C199="y"),H199,0)</f>
        <v>0</v>
      </c>
      <c r="L199" s="1267"/>
      <c r="M199" s="1257"/>
      <c r="N199" s="6"/>
      <c r="O199" s="977" t="s">
        <v>212</v>
      </c>
      <c r="P199" s="930"/>
      <c r="Q199" s="930"/>
      <c r="R199" s="930"/>
      <c r="S199" s="930"/>
      <c r="T199" s="6"/>
    </row>
    <row r="200" spans="1:20" s="4" customFormat="1" ht="15" customHeight="1" x14ac:dyDescent="0.2">
      <c r="A200" s="342"/>
      <c r="B200" s="343"/>
      <c r="C200" s="344"/>
      <c r="D200" s="345"/>
      <c r="E200" s="99" t="s">
        <v>101</v>
      </c>
      <c r="F200" s="1278" t="s">
        <v>213</v>
      </c>
      <c r="G200" s="858"/>
      <c r="H200" s="62">
        <v>5</v>
      </c>
      <c r="I200" s="661">
        <f>IF(AND(OR(A200="x", A200="p"),NOT(OR(B200="n", A199="x", A199="p"))),H200,0)</f>
        <v>0</v>
      </c>
      <c r="J200" s="662">
        <f>IF(AND(OR(D200="m", C200="y"),NOT(D199="m"),NOT(C199="y")),H200,0)</f>
        <v>0</v>
      </c>
      <c r="K200" s="37">
        <f>IF(AND(J200&gt;0,C200="y"),H200,0)</f>
        <v>0</v>
      </c>
      <c r="L200" s="1268"/>
      <c r="M200" s="1258"/>
      <c r="N200" s="6"/>
      <c r="O200" s="929"/>
      <c r="P200" s="930"/>
      <c r="Q200" s="930"/>
      <c r="R200" s="930"/>
      <c r="S200" s="6"/>
      <c r="T200" s="6"/>
    </row>
    <row r="201" spans="1:20" s="4" customFormat="1" ht="14.25" customHeight="1" x14ac:dyDescent="0.2">
      <c r="A201" s="317"/>
      <c r="B201" s="318"/>
      <c r="C201" s="319"/>
      <c r="D201" s="320"/>
      <c r="E201" s="793">
        <v>5</v>
      </c>
      <c r="F201" s="1228" t="s">
        <v>214</v>
      </c>
      <c r="G201" s="922"/>
      <c r="H201" s="40">
        <v>2</v>
      </c>
      <c r="I201" s="44">
        <f>IF(AND(OR(A201="x", A201="p"),NOT(B201="n")),H201,0)</f>
        <v>0</v>
      </c>
      <c r="J201" s="45">
        <f>IF(OR(D201="m", C201="y"),H201,0)</f>
        <v>0</v>
      </c>
      <c r="K201" s="39">
        <f>IF(AND(J201&gt;0,C201="y"),H201,0)</f>
        <v>0</v>
      </c>
      <c r="L201" s="25" t="s">
        <v>80</v>
      </c>
      <c r="M201" s="283"/>
      <c r="N201" s="6"/>
      <c r="O201" s="6"/>
      <c r="P201" s="6"/>
      <c r="Q201" s="6"/>
      <c r="R201" s="6"/>
      <c r="S201" s="6"/>
      <c r="T201" s="6"/>
    </row>
    <row r="202" spans="1:20" s="4" customFormat="1" ht="14.25" customHeight="1" x14ac:dyDescent="0.2">
      <c r="A202" s="369"/>
      <c r="B202" s="370"/>
      <c r="C202" s="371"/>
      <c r="D202" s="372"/>
      <c r="E202" s="794">
        <v>6</v>
      </c>
      <c r="F202" s="1279" t="s">
        <v>215</v>
      </c>
      <c r="G202" s="919"/>
      <c r="H202" s="100">
        <v>1</v>
      </c>
      <c r="I202" s="44">
        <f>IF(AND(OR(A202="x", A202="p"),NOT(B202="n")),H202,0)</f>
        <v>0</v>
      </c>
      <c r="J202" s="45">
        <f>IF(OR(D202="m", C202="y"),H202,0)</f>
        <v>0</v>
      </c>
      <c r="K202" s="97">
        <f>IF(AND(J202&gt;0,C202="y"),H202,0)</f>
        <v>0</v>
      </c>
      <c r="L202" s="90" t="s">
        <v>77</v>
      </c>
      <c r="M202" s="399"/>
      <c r="N202" s="6"/>
      <c r="O202" s="6"/>
      <c r="P202" s="6"/>
      <c r="Q202" s="6"/>
      <c r="R202" s="6"/>
      <c r="S202" s="6"/>
      <c r="T202" s="6"/>
    </row>
    <row r="203" spans="1:20" s="4" customFormat="1" ht="21.75" customHeight="1" x14ac:dyDescent="0.2">
      <c r="A203" s="373"/>
      <c r="B203" s="374"/>
      <c r="C203" s="374"/>
      <c r="D203" s="375"/>
      <c r="E203" s="1271" t="s">
        <v>216</v>
      </c>
      <c r="F203" s="1253"/>
      <c r="G203" s="1272"/>
      <c r="H203" s="578"/>
      <c r="I203" s="682"/>
      <c r="J203" s="683"/>
      <c r="K203" s="579"/>
      <c r="L203" s="580"/>
      <c r="M203" s="581"/>
      <c r="N203" s="6"/>
      <c r="O203" s="933" t="str">
        <f>HYPERLINK("https://foundationhandbook.ornl.gov/handbook/toc.shtml","Oak Ridge/DOE Foundation Wall Handbook")</f>
        <v>Oak Ridge/DOE Foundation Wall Handbook</v>
      </c>
      <c r="P203" s="930"/>
      <c r="Q203" s="930"/>
      <c r="R203" s="930"/>
      <c r="S203" s="930"/>
      <c r="T203" s="6"/>
    </row>
    <row r="204" spans="1:20" s="4" customFormat="1" ht="14.25" customHeight="1" x14ac:dyDescent="0.2">
      <c r="A204" s="335"/>
      <c r="B204" s="336"/>
      <c r="C204" s="336"/>
      <c r="D204" s="337"/>
      <c r="E204" s="790">
        <v>7</v>
      </c>
      <c r="F204" s="1250" t="s">
        <v>578</v>
      </c>
      <c r="G204" s="856"/>
      <c r="H204" s="207"/>
      <c r="I204" s="681"/>
      <c r="J204" s="657"/>
      <c r="K204" s="97"/>
      <c r="L204" s="972" t="s">
        <v>77</v>
      </c>
      <c r="M204" s="1208" t="s">
        <v>753</v>
      </c>
      <c r="N204" s="6"/>
      <c r="O204" s="6"/>
      <c r="P204" s="6"/>
      <c r="Q204" s="6"/>
      <c r="R204" s="6"/>
      <c r="S204" s="6"/>
      <c r="T204" s="6"/>
    </row>
    <row r="205" spans="1:20" s="4" customFormat="1" ht="14.25" customHeight="1" x14ac:dyDescent="0.2">
      <c r="A205" s="376"/>
      <c r="B205" s="377"/>
      <c r="C205" s="378"/>
      <c r="D205" s="379"/>
      <c r="E205" s="52" t="s">
        <v>97</v>
      </c>
      <c r="F205" s="883" t="s">
        <v>217</v>
      </c>
      <c r="G205" s="884"/>
      <c r="H205" s="50">
        <v>2</v>
      </c>
      <c r="I205" s="652">
        <f>IF(AND(OR(A205="x", A205="p"),NOT(OR(B205="n", A206="x", A206="p"))),H205,0)</f>
        <v>0</v>
      </c>
      <c r="J205" s="660">
        <f>IF(AND(OR(D205="m", C205="y"),NOT(D206="m"),NOT(C206="y")),H205,0)</f>
        <v>0</v>
      </c>
      <c r="K205" s="37">
        <f>IF(AND(J205&gt;0,C205="y"),H205,0)</f>
        <v>0</v>
      </c>
      <c r="L205" s="927"/>
      <c r="M205" s="940"/>
      <c r="N205" s="6"/>
      <c r="O205" s="6"/>
      <c r="P205" s="6"/>
      <c r="Q205" s="6"/>
      <c r="R205" s="6"/>
      <c r="S205" s="6"/>
      <c r="T205" s="6"/>
    </row>
    <row r="206" spans="1:20" s="4" customFormat="1" ht="15" customHeight="1" x14ac:dyDescent="0.2">
      <c r="A206" s="342"/>
      <c r="B206" s="343"/>
      <c r="C206" s="344"/>
      <c r="D206" s="345"/>
      <c r="E206" s="98" t="s">
        <v>99</v>
      </c>
      <c r="F206" s="857" t="s">
        <v>218</v>
      </c>
      <c r="G206" s="858"/>
      <c r="H206" s="62">
        <v>3</v>
      </c>
      <c r="I206" s="661">
        <f>IF(AND(OR(A206="x", A206="p"),NOT(OR(B206="n", A205="x", A205="p", A204="x", A204="p"))),H206,0)</f>
        <v>0</v>
      </c>
      <c r="J206" s="662">
        <f>IF(AND(OR(D206="m", C206="y"),NOT(D204="m"),NOT(C204="y"),NOT(D205="m"),NOT(C205="y")),H206,0)</f>
        <v>0</v>
      </c>
      <c r="K206" s="37">
        <f>IF(AND(J206&gt;0,C206="y"),H206,0)</f>
        <v>0</v>
      </c>
      <c r="L206" s="927"/>
      <c r="M206" s="1209"/>
      <c r="N206" s="6"/>
      <c r="O206" s="6"/>
      <c r="P206" s="6"/>
      <c r="Q206" s="6"/>
      <c r="R206" s="6"/>
      <c r="S206" s="6"/>
      <c r="T206" s="6"/>
    </row>
    <row r="207" spans="1:20" s="4" customFormat="1" ht="30.75" customHeight="1" x14ac:dyDescent="0.2">
      <c r="A207" s="317" t="s">
        <v>465</v>
      </c>
      <c r="B207" s="318"/>
      <c r="C207" s="319" t="s">
        <v>787</v>
      </c>
      <c r="D207" s="320"/>
      <c r="E207" s="793">
        <v>8</v>
      </c>
      <c r="F207" s="1228" t="s">
        <v>219</v>
      </c>
      <c r="G207" s="922"/>
      <c r="H207" s="40">
        <v>1</v>
      </c>
      <c r="I207" s="44">
        <f>IF(AND(OR(A207="x", A207="p"),NOT(B207="n")),H207,0)</f>
        <v>1</v>
      </c>
      <c r="J207" s="45">
        <f>IF(OR(D207="m", C207="y"),H207,0)</f>
        <v>1</v>
      </c>
      <c r="K207" s="39">
        <f>IF(AND(J207&gt;0,C207="y"),H207,0)</f>
        <v>1</v>
      </c>
      <c r="L207" s="25" t="s">
        <v>77</v>
      </c>
      <c r="M207" s="283" t="s">
        <v>752</v>
      </c>
      <c r="N207" s="6"/>
      <c r="O207" s="6"/>
      <c r="P207" s="6"/>
      <c r="Q207" s="6"/>
      <c r="R207" s="6"/>
      <c r="S207" s="6"/>
      <c r="T207" s="6"/>
    </row>
    <row r="208" spans="1:20" s="4" customFormat="1" ht="21.75" customHeight="1" x14ac:dyDescent="0.2">
      <c r="A208" s="373"/>
      <c r="B208" s="374"/>
      <c r="C208" s="374"/>
      <c r="D208" s="374"/>
      <c r="E208" s="1275" t="s">
        <v>220</v>
      </c>
      <c r="F208" s="1253"/>
      <c r="G208" s="1272"/>
      <c r="H208" s="578"/>
      <c r="I208" s="682"/>
      <c r="J208" s="683"/>
      <c r="K208" s="579"/>
      <c r="L208" s="580"/>
      <c r="M208" s="581"/>
      <c r="N208" s="6"/>
      <c r="O208" s="750"/>
      <c r="P208" s="6"/>
      <c r="Q208" s="6"/>
      <c r="R208" s="6"/>
      <c r="S208" s="6"/>
      <c r="T208" s="6"/>
    </row>
    <row r="209" spans="1:20" s="4" customFormat="1" ht="14.25" customHeight="1" x14ac:dyDescent="0.2">
      <c r="A209" s="335"/>
      <c r="B209" s="336"/>
      <c r="C209" s="336"/>
      <c r="D209" s="337"/>
      <c r="E209" s="792">
        <v>9</v>
      </c>
      <c r="F209" s="1250" t="s">
        <v>579</v>
      </c>
      <c r="G209" s="856"/>
      <c r="H209" s="207"/>
      <c r="I209" s="681"/>
      <c r="J209" s="657"/>
      <c r="K209" s="97"/>
      <c r="L209" s="972" t="s">
        <v>77</v>
      </c>
      <c r="M209" s="1208"/>
      <c r="N209" s="6"/>
      <c r="O209" s="751"/>
      <c r="P209" s="201"/>
      <c r="Q209" s="201"/>
      <c r="R209" s="201"/>
      <c r="S209" s="201"/>
      <c r="T209" s="201"/>
    </row>
    <row r="210" spans="1:20" s="4" customFormat="1" ht="14.25" customHeight="1" x14ac:dyDescent="0.2">
      <c r="A210" s="376"/>
      <c r="B210" s="377"/>
      <c r="C210" s="378"/>
      <c r="D210" s="379"/>
      <c r="E210" s="52" t="s">
        <v>97</v>
      </c>
      <c r="F210" s="883" t="s">
        <v>221</v>
      </c>
      <c r="G210" s="884"/>
      <c r="H210" s="50">
        <v>2</v>
      </c>
      <c r="I210" s="652">
        <f>IF(AND(OR(A210="x", A210="p"),NOT(OR(B210="n", A211="x", A211="p"))),H210,0)</f>
        <v>0</v>
      </c>
      <c r="J210" s="660">
        <f>IF(AND(OR(D210="m", C210="y"),NOT(D211="m"),NOT(C211="y")),H210,0)</f>
        <v>0</v>
      </c>
      <c r="K210" s="37">
        <f>IF(AND(J210&gt;0,C210="y"),H210,0)</f>
        <v>0</v>
      </c>
      <c r="L210" s="927"/>
      <c r="M210" s="940"/>
      <c r="N210" s="6"/>
      <c r="O210" s="6"/>
      <c r="P210" s="6"/>
      <c r="Q210" s="6"/>
      <c r="R210" s="6"/>
      <c r="S210" s="6"/>
      <c r="T210" s="6"/>
    </row>
    <row r="211" spans="1:20" s="4" customFormat="1" ht="15" customHeight="1" x14ac:dyDescent="0.2">
      <c r="A211" s="342"/>
      <c r="B211" s="343"/>
      <c r="C211" s="344"/>
      <c r="D211" s="345"/>
      <c r="E211" s="98" t="s">
        <v>99</v>
      </c>
      <c r="F211" s="1282" t="s">
        <v>222</v>
      </c>
      <c r="G211" s="948"/>
      <c r="H211" s="72">
        <v>3</v>
      </c>
      <c r="I211" s="661">
        <f>IF(AND(OR(A211="x", A211="p"),NOT(OR(B211="n", A210="x", A210="p", A209="x", A209="p"))),H211,0)</f>
        <v>0</v>
      </c>
      <c r="J211" s="662">
        <f>IF(AND(OR(D211="m", C211="y"),NOT(D209="m"),NOT(C209="y"),NOT(D210="m"),NOT(C210="y")),H211,0)</f>
        <v>0</v>
      </c>
      <c r="K211" s="37">
        <f>IF(AND(J211&gt;0,C211="y"),H211,0)</f>
        <v>0</v>
      </c>
      <c r="L211" s="927"/>
      <c r="M211" s="1209"/>
      <c r="N211" s="6"/>
      <c r="O211" s="977" t="str">
        <f>HYPERLINK("https://www1.eere.energy.gov/buildings/publications/pdfs/building_america/29238.pdf","Crawlspace Insulation DOE Factsheet")</f>
        <v>Crawlspace Insulation DOE Factsheet</v>
      </c>
      <c r="P211" s="930"/>
      <c r="Q211" s="930"/>
      <c r="R211" s="930"/>
      <c r="S211" s="930"/>
      <c r="T211" s="6"/>
    </row>
    <row r="212" spans="1:20" s="4" customFormat="1" ht="24.75" customHeight="1" x14ac:dyDescent="0.2">
      <c r="A212" s="317"/>
      <c r="B212" s="318"/>
      <c r="C212" s="319"/>
      <c r="D212" s="320"/>
      <c r="E212" s="793">
        <v>10</v>
      </c>
      <c r="F212" s="1228" t="s">
        <v>219</v>
      </c>
      <c r="G212" s="922"/>
      <c r="H212" s="40">
        <v>1</v>
      </c>
      <c r="I212" s="44">
        <f>IF(AND(OR(A212="x", A212="p"),NOT(B212="n")),H212,0)</f>
        <v>0</v>
      </c>
      <c r="J212" s="45">
        <f>IF(OR(D212="m", C212="y"),H212,0)</f>
        <v>0</v>
      </c>
      <c r="K212" s="39">
        <f>IF(AND(J212&gt;0,C212="y"),H212,0)</f>
        <v>0</v>
      </c>
      <c r="L212" s="25" t="s">
        <v>77</v>
      </c>
      <c r="M212" s="283"/>
      <c r="N212" s="6"/>
      <c r="O212" s="6"/>
      <c r="P212" s="6"/>
      <c r="Q212" s="6"/>
      <c r="R212" s="6"/>
      <c r="S212" s="6"/>
      <c r="T212" s="6"/>
    </row>
    <row r="213" spans="1:20" s="4" customFormat="1" ht="21.75" customHeight="1" x14ac:dyDescent="0.2">
      <c r="A213" s="373"/>
      <c r="B213" s="374"/>
      <c r="C213" s="374"/>
      <c r="D213" s="375"/>
      <c r="E213" s="1252" t="s">
        <v>223</v>
      </c>
      <c r="F213" s="1253"/>
      <c r="G213" s="1272"/>
      <c r="H213" s="578"/>
      <c r="I213" s="682"/>
      <c r="J213" s="683"/>
      <c r="K213" s="579"/>
      <c r="L213" s="580"/>
      <c r="M213" s="581"/>
      <c r="N213" s="6"/>
      <c r="O213" s="242" t="str">
        <f>HYPERLINK("https://foundationhandbook.ornl.gov/handbook/toc.shtml","Oak Ridge/DOE Foundation Wall Handbook")</f>
        <v>Oak Ridge/DOE Foundation Wall Handbook</v>
      </c>
      <c r="P213" s="5"/>
      <c r="Q213" s="5"/>
      <c r="R213" s="5"/>
      <c r="S213" s="5"/>
      <c r="T213" s="5"/>
    </row>
    <row r="214" spans="1:20" s="4" customFormat="1" ht="14.25" customHeight="1" x14ac:dyDescent="0.2">
      <c r="A214" s="335"/>
      <c r="B214" s="336"/>
      <c r="C214" s="336"/>
      <c r="D214" s="337"/>
      <c r="E214" s="792">
        <v>11</v>
      </c>
      <c r="F214" s="1021" t="s">
        <v>584</v>
      </c>
      <c r="G214" s="888"/>
      <c r="H214" s="207"/>
      <c r="I214" s="681"/>
      <c r="J214" s="657"/>
      <c r="K214" s="97"/>
      <c r="L214" s="865" t="s">
        <v>77</v>
      </c>
      <c r="M214" s="868" t="s">
        <v>754</v>
      </c>
      <c r="N214" s="6"/>
      <c r="O214" s="6"/>
      <c r="P214" s="6"/>
      <c r="Q214" s="6"/>
      <c r="R214" s="6"/>
      <c r="S214" s="6"/>
      <c r="T214" s="6"/>
    </row>
    <row r="215" spans="1:20" s="4" customFormat="1" ht="14.25" customHeight="1" x14ac:dyDescent="0.2">
      <c r="A215" s="352" t="s">
        <v>465</v>
      </c>
      <c r="B215" s="353"/>
      <c r="C215" s="354" t="s">
        <v>787</v>
      </c>
      <c r="D215" s="355"/>
      <c r="E215" s="52" t="s">
        <v>97</v>
      </c>
      <c r="F215" s="920" t="s">
        <v>224</v>
      </c>
      <c r="G215" s="884"/>
      <c r="H215" s="50">
        <v>3</v>
      </c>
      <c r="I215" s="652">
        <f>IF(AND(OR(A215="x", A215="p"),NOT(OR(B215="n", A216="x", A216="p", A217="x", A217="p"))),H215,0)</f>
        <v>3</v>
      </c>
      <c r="J215" s="660">
        <f>IF(AND(OR(D215="m", C215="y"),NOT(D216="m"),NOT(C216="y"),NOT(D217="m"),NOT(C217="y")),H215,0)</f>
        <v>3</v>
      </c>
      <c r="K215" s="39">
        <f>IF(AND(J215&gt;0,C215="y"),H215,0)</f>
        <v>3</v>
      </c>
      <c r="L215" s="927"/>
      <c r="M215" s="940"/>
      <c r="N215" s="6"/>
      <c r="O215" s="977" t="s">
        <v>225</v>
      </c>
      <c r="P215" s="930"/>
      <c r="Q215" s="930"/>
      <c r="R215" s="930"/>
      <c r="S215" s="930"/>
      <c r="T215" s="6"/>
    </row>
    <row r="216" spans="1:20" s="4" customFormat="1" ht="14.25" x14ac:dyDescent="0.2">
      <c r="A216" s="305"/>
      <c r="B216" s="306"/>
      <c r="C216" s="307"/>
      <c r="D216" s="308"/>
      <c r="E216" s="110" t="s">
        <v>99</v>
      </c>
      <c r="F216" s="883" t="s">
        <v>226</v>
      </c>
      <c r="G216" s="884"/>
      <c r="H216" s="50">
        <v>4</v>
      </c>
      <c r="I216" s="652">
        <f>IF(AND(OR(A216="x", A216="p"),NOT(OR(B216="n", A215="x", A215="p", A217="x", A217="p"))),H216,0)</f>
        <v>0</v>
      </c>
      <c r="J216" s="660">
        <f>IF(AND(OR(D216="m", C216="y"),NOT(D217="m"),NOT(C217="y"),NOT(D215="m"),NOT(C215="y")),H216,0)</f>
        <v>0</v>
      </c>
      <c r="K216" s="39">
        <f>IF(AND(J216&gt;0,C216="y"),H216,0)</f>
        <v>0</v>
      </c>
      <c r="L216" s="927"/>
      <c r="M216" s="940"/>
      <c r="N216" s="6"/>
      <c r="O216" s="6"/>
      <c r="P216" s="6"/>
      <c r="Q216" s="6"/>
      <c r="R216" s="6"/>
      <c r="S216" s="6"/>
      <c r="T216" s="6"/>
    </row>
    <row r="217" spans="1:20" s="4" customFormat="1" ht="14.25" customHeight="1" thickBot="1" x14ac:dyDescent="0.25">
      <c r="A217" s="380"/>
      <c r="B217" s="381"/>
      <c r="C217" s="382"/>
      <c r="D217" s="383"/>
      <c r="E217" s="91" t="s">
        <v>101</v>
      </c>
      <c r="F217" s="1283" t="s">
        <v>227</v>
      </c>
      <c r="G217" s="1222"/>
      <c r="H217" s="101">
        <v>5</v>
      </c>
      <c r="I217" s="664">
        <f>IF(AND(OR(A217="x", A217="p"),NOT(OR(B217="n", A215="x", A215="p", A216="x", A216="p"))),H217,0)</f>
        <v>0</v>
      </c>
      <c r="J217" s="665">
        <f>IF(AND(OR(D217="m", C217="y"),NOT(D215="m"),NOT(C215="y"),NOT(D216="m"),NOT(C216="y")),H217,0)</f>
        <v>0</v>
      </c>
      <c r="K217" s="39">
        <f>IF(AND(J217&gt;0,C217="y"),H217,0)</f>
        <v>0</v>
      </c>
      <c r="L217" s="1269"/>
      <c r="M217" s="1270"/>
      <c r="N217" s="6"/>
      <c r="O217" s="6"/>
      <c r="P217" s="6"/>
      <c r="Q217" s="6"/>
      <c r="R217" s="6"/>
      <c r="S217" s="6"/>
      <c r="T217" s="6"/>
    </row>
    <row r="218" spans="1:20" s="7" customFormat="1" ht="14.25" customHeight="1" thickBot="1" x14ac:dyDescent="0.3">
      <c r="A218" s="477"/>
      <c r="B218" s="479"/>
      <c r="C218" s="479"/>
      <c r="D218" s="384" t="s">
        <v>228</v>
      </c>
      <c r="E218" s="102"/>
      <c r="F218" s="103"/>
      <c r="G218" s="104"/>
      <c r="H218" s="105"/>
      <c r="I218" s="684"/>
      <c r="J218" s="675"/>
      <c r="K218" s="106"/>
      <c r="L218" s="496"/>
      <c r="M218" s="492"/>
      <c r="N218" s="17"/>
      <c r="O218" s="17"/>
      <c r="P218" s="17"/>
      <c r="Q218" s="17"/>
      <c r="R218" s="17"/>
      <c r="S218" s="17"/>
      <c r="T218" s="17"/>
    </row>
    <row r="219" spans="1:20" s="4" customFormat="1" ht="23.25" customHeight="1" x14ac:dyDescent="0.2">
      <c r="A219" s="373"/>
      <c r="B219" s="374"/>
      <c r="C219" s="374"/>
      <c r="D219" s="375"/>
      <c r="E219" s="1252" t="s">
        <v>229</v>
      </c>
      <c r="F219" s="1253"/>
      <c r="G219" s="1254"/>
      <c r="H219" s="582"/>
      <c r="I219" s="685"/>
      <c r="J219" s="686"/>
      <c r="K219" s="583"/>
      <c r="L219" s="584"/>
      <c r="M219" s="585"/>
      <c r="N219" s="6"/>
      <c r="O219" s="6"/>
      <c r="P219" s="6"/>
      <c r="Q219" s="6"/>
      <c r="R219" s="6"/>
      <c r="S219" s="6"/>
      <c r="T219" s="6"/>
    </row>
    <row r="220" spans="1:20" s="4" customFormat="1" ht="14.25" customHeight="1" x14ac:dyDescent="0.2">
      <c r="A220" s="335"/>
      <c r="B220" s="336"/>
      <c r="C220" s="336"/>
      <c r="D220" s="337"/>
      <c r="E220" s="792">
        <v>12</v>
      </c>
      <c r="F220" s="1195" t="s">
        <v>230</v>
      </c>
      <c r="G220" s="888"/>
      <c r="H220" s="207"/>
      <c r="I220" s="681"/>
      <c r="J220" s="657"/>
      <c r="K220" s="97"/>
      <c r="L220" s="972" t="s">
        <v>77</v>
      </c>
      <c r="M220" s="1208" t="s">
        <v>755</v>
      </c>
      <c r="N220" s="6"/>
      <c r="O220" s="6"/>
      <c r="P220" s="6"/>
      <c r="Q220" s="6"/>
      <c r="R220" s="6"/>
      <c r="S220" s="6"/>
      <c r="T220" s="6"/>
    </row>
    <row r="221" spans="1:20" s="4" customFormat="1" ht="14.25" customHeight="1" x14ac:dyDescent="0.2">
      <c r="A221" s="352" t="s">
        <v>465</v>
      </c>
      <c r="B221" s="353"/>
      <c r="C221" s="354" t="s">
        <v>787</v>
      </c>
      <c r="D221" s="355"/>
      <c r="E221" s="52" t="s">
        <v>97</v>
      </c>
      <c r="F221" s="920" t="s">
        <v>231</v>
      </c>
      <c r="G221" s="884"/>
      <c r="H221" s="50">
        <v>2</v>
      </c>
      <c r="I221" s="652">
        <f>IF(AND(OR(A221="x", A221="p"),NOT(OR(B221="n", A222="x", A222="p", A223="x", A223="p"))),H221,0)</f>
        <v>2</v>
      </c>
      <c r="J221" s="660">
        <f>IF(AND(OR(D221="m", C221="y"),NOT(D222="m"),NOT(C222="y")),H221,0)</f>
        <v>2</v>
      </c>
      <c r="K221" s="97">
        <f t="shared" ref="K221:K229" si="9">IF(AND(J221&gt;0,C221="y"),H221,0)</f>
        <v>2</v>
      </c>
      <c r="L221" s="927"/>
      <c r="M221" s="940"/>
      <c r="N221" s="6"/>
      <c r="O221" s="977" t="str">
        <f>HYPERLINK("https://www.greenbuilt.org/wp-content/uploads/2017/08/WallInsulation.pdf","Insulation Factsheet")</f>
        <v>Insulation Factsheet</v>
      </c>
      <c r="P221" s="930"/>
      <c r="Q221" s="930"/>
      <c r="R221" s="930"/>
      <c r="S221" s="6"/>
      <c r="T221" s="6"/>
    </row>
    <row r="222" spans="1:20" s="4" customFormat="1" ht="15" customHeight="1" x14ac:dyDescent="0.2">
      <c r="A222" s="321"/>
      <c r="B222" s="322"/>
      <c r="C222" s="323"/>
      <c r="D222" s="324"/>
      <c r="E222" s="110" t="s">
        <v>99</v>
      </c>
      <c r="F222" s="857" t="s">
        <v>232</v>
      </c>
      <c r="G222" s="858"/>
      <c r="H222" s="62">
        <v>3</v>
      </c>
      <c r="I222" s="661">
        <f>IF(AND(OR(A222="x", A222="p"),NOT(OR(B222="n", A221="x", A221="p"))),H222,0)</f>
        <v>0</v>
      </c>
      <c r="J222" s="662">
        <f>IF(AND(OR(D222="m", C222="y"),NOT(D221="m"),NOT(C221="y")),H222,0)</f>
        <v>0</v>
      </c>
      <c r="K222" s="37">
        <f t="shared" si="9"/>
        <v>0</v>
      </c>
      <c r="L222" s="927"/>
      <c r="M222" s="1209"/>
      <c r="N222" s="6"/>
      <c r="O222" s="977" t="str">
        <f>HYPERLINK("https://www.greenbuilt.org/wp-content/uploads/2017/08/Insulation-1.pdf","Advanced Energy's Insulation Tech Tips")</f>
        <v>Advanced Energy's Insulation Tech Tips</v>
      </c>
      <c r="P222" s="930"/>
      <c r="Q222" s="930"/>
      <c r="R222" s="930"/>
      <c r="S222" s="930"/>
      <c r="T222" s="6"/>
    </row>
    <row r="223" spans="1:20" s="4" customFormat="1" ht="14.25" customHeight="1" x14ac:dyDescent="0.2">
      <c r="A223" s="317"/>
      <c r="B223" s="318"/>
      <c r="C223" s="385"/>
      <c r="D223" s="320"/>
      <c r="E223" s="796">
        <v>13</v>
      </c>
      <c r="F223" s="1251" t="s">
        <v>233</v>
      </c>
      <c r="G223" s="922"/>
      <c r="H223" s="40">
        <v>2</v>
      </c>
      <c r="I223" s="44">
        <f>IF(AND(OR(A223="x", A223="p"),NOT(B223="n")),H223,0)</f>
        <v>0</v>
      </c>
      <c r="J223" s="45">
        <f>IF(OR(D223="m", C223="y"),H223,0)</f>
        <v>0</v>
      </c>
      <c r="K223" s="43">
        <f t="shared" si="9"/>
        <v>0</v>
      </c>
      <c r="L223" s="25" t="s">
        <v>77</v>
      </c>
      <c r="M223" s="400"/>
      <c r="N223" s="6"/>
      <c r="O223" s="6"/>
      <c r="P223" s="6"/>
      <c r="Q223" s="6"/>
      <c r="R223" s="6"/>
      <c r="S223" s="6"/>
      <c r="T223" s="6"/>
    </row>
    <row r="224" spans="1:20" s="4" customFormat="1" ht="15" customHeight="1" x14ac:dyDescent="0.2">
      <c r="A224" s="386"/>
      <c r="B224" s="387"/>
      <c r="C224" s="388"/>
      <c r="D224" s="389"/>
      <c r="E224" s="789">
        <v>14</v>
      </c>
      <c r="F224" s="1195" t="s">
        <v>583</v>
      </c>
      <c r="G224" s="888"/>
      <c r="H224" s="206"/>
      <c r="I224" s="140"/>
      <c r="J224" s="141"/>
      <c r="K224" s="43">
        <f t="shared" si="9"/>
        <v>0</v>
      </c>
      <c r="L224" s="865" t="s">
        <v>80</v>
      </c>
      <c r="M224" s="874" t="s">
        <v>733</v>
      </c>
      <c r="N224" s="6"/>
      <c r="O224" s="929"/>
      <c r="P224" s="930"/>
      <c r="Q224" s="930"/>
      <c r="R224" s="930"/>
      <c r="S224" s="6"/>
      <c r="T224" s="6"/>
    </row>
    <row r="225" spans="1:20" s="4" customFormat="1" ht="15" customHeight="1" x14ac:dyDescent="0.2">
      <c r="A225" s="305"/>
      <c r="B225" s="306"/>
      <c r="C225" s="307"/>
      <c r="D225" s="308"/>
      <c r="E225" s="53" t="s">
        <v>97</v>
      </c>
      <c r="F225" s="1276" t="s">
        <v>234</v>
      </c>
      <c r="G225" s="1277"/>
      <c r="H225" s="50">
        <v>1</v>
      </c>
      <c r="I225" s="687">
        <f>IF(AND(OR(A225="x", A225="p"),NOT(OR(B226="n", A226="x", A226="p"))),H225,0)</f>
        <v>0</v>
      </c>
      <c r="J225" s="762">
        <f>IF(AND(OR(D225="m", C225="y"),NOT(D226="m"),NOT(C226="y")),H225,0)</f>
        <v>0</v>
      </c>
      <c r="K225" s="43">
        <f t="shared" si="9"/>
        <v>0</v>
      </c>
      <c r="L225" s="927"/>
      <c r="M225" s="1257"/>
      <c r="N225" s="6"/>
      <c r="O225" s="977" t="s">
        <v>235</v>
      </c>
      <c r="P225" s="930"/>
      <c r="Q225" s="930"/>
      <c r="R225" s="930"/>
      <c r="S225" s="6"/>
      <c r="T225" s="6"/>
    </row>
    <row r="226" spans="1:20" s="4" customFormat="1" ht="14.25" x14ac:dyDescent="0.2">
      <c r="A226" s="390" t="s">
        <v>465</v>
      </c>
      <c r="B226" s="391"/>
      <c r="C226" s="392" t="s">
        <v>787</v>
      </c>
      <c r="D226" s="393"/>
      <c r="E226" s="107" t="s">
        <v>99</v>
      </c>
      <c r="F226" s="1229" t="s">
        <v>236</v>
      </c>
      <c r="G226" s="919"/>
      <c r="H226" s="100">
        <v>2</v>
      </c>
      <c r="I226" s="664">
        <f>IF(AND(OR(A226="x", A226="p"),NOT(OR(B225="n", A225="x", A225="p"))),H226,0)</f>
        <v>2</v>
      </c>
      <c r="J226" s="688">
        <f>IF(AND(OR(D226="m", C226="y"),NOT(D225="m"),NOT(C225="y")),H226,0)</f>
        <v>2</v>
      </c>
      <c r="K226" s="43">
        <f t="shared" si="9"/>
        <v>2</v>
      </c>
      <c r="L226" s="928"/>
      <c r="M226" s="1258"/>
      <c r="N226" s="6"/>
      <c r="O226" s="929"/>
      <c r="P226" s="930"/>
      <c r="Q226" s="930"/>
      <c r="R226" s="930"/>
      <c r="S226" s="6"/>
      <c r="T226" s="6"/>
    </row>
    <row r="227" spans="1:20" s="4" customFormat="1" ht="15" customHeight="1" x14ac:dyDescent="0.2">
      <c r="A227" s="317" t="s">
        <v>465</v>
      </c>
      <c r="B227" s="318"/>
      <c r="C227" s="319" t="s">
        <v>787</v>
      </c>
      <c r="D227" s="320"/>
      <c r="E227" s="796">
        <v>15</v>
      </c>
      <c r="F227" s="1251" t="s">
        <v>237</v>
      </c>
      <c r="G227" s="922"/>
      <c r="H227" s="40">
        <v>1</v>
      </c>
      <c r="I227" s="44">
        <f>IF(AND(OR(A227="x", A227="p"),NOT(B227="n")),H227,0)</f>
        <v>1</v>
      </c>
      <c r="J227" s="45">
        <f>IF(OR(D227="m", C227="y"),H227,0)</f>
        <v>1</v>
      </c>
      <c r="K227" s="43">
        <f t="shared" si="9"/>
        <v>1</v>
      </c>
      <c r="L227" s="25" t="s">
        <v>77</v>
      </c>
      <c r="M227" s="400" t="s">
        <v>733</v>
      </c>
      <c r="N227" s="6"/>
      <c r="O227" s="977" t="s">
        <v>238</v>
      </c>
      <c r="P227" s="930"/>
      <c r="Q227" s="930"/>
      <c r="R227" s="930"/>
      <c r="S227" s="930"/>
      <c r="T227" s="6"/>
    </row>
    <row r="228" spans="1:20" s="4" customFormat="1" ht="15" customHeight="1" x14ac:dyDescent="0.2">
      <c r="A228" s="317" t="s">
        <v>465</v>
      </c>
      <c r="B228" s="318"/>
      <c r="C228" s="385" t="s">
        <v>787</v>
      </c>
      <c r="D228" s="320"/>
      <c r="E228" s="796">
        <v>16</v>
      </c>
      <c r="F228" s="1025" t="s">
        <v>239</v>
      </c>
      <c r="G228" s="922"/>
      <c r="H228" s="40">
        <v>1</v>
      </c>
      <c r="I228" s="44">
        <f>IF(AND(OR(A228="x", A228="p"),NOT(B228="n")),H228,0)</f>
        <v>1</v>
      </c>
      <c r="J228" s="45">
        <f>IF(OR(D228="m", C228="y"),H228,0)</f>
        <v>1</v>
      </c>
      <c r="K228" s="43">
        <f t="shared" si="9"/>
        <v>1</v>
      </c>
      <c r="L228" s="25" t="s">
        <v>77</v>
      </c>
      <c r="M228" s="400" t="s">
        <v>733</v>
      </c>
      <c r="N228" s="6"/>
      <c r="O228" s="6"/>
      <c r="P228" s="6"/>
      <c r="Q228" s="6"/>
      <c r="R228" s="6"/>
      <c r="S228" s="6"/>
      <c r="T228" s="6"/>
    </row>
    <row r="229" spans="1:20" s="4" customFormat="1" ht="14.25" customHeight="1" x14ac:dyDescent="0.2">
      <c r="A229" s="317"/>
      <c r="B229" s="318"/>
      <c r="C229" s="385"/>
      <c r="D229" s="320"/>
      <c r="E229" s="796">
        <v>17</v>
      </c>
      <c r="F229" s="1251" t="s">
        <v>240</v>
      </c>
      <c r="G229" s="922"/>
      <c r="H229" s="40">
        <v>2</v>
      </c>
      <c r="I229" s="44">
        <f>IF(AND(OR(A229="x", A229="p"),NOT(B229="n")),H229,0)</f>
        <v>0</v>
      </c>
      <c r="J229" s="45">
        <f>IF(OR(D229="m", C229="y"),H229,0)</f>
        <v>0</v>
      </c>
      <c r="K229" s="43">
        <f t="shared" si="9"/>
        <v>0</v>
      </c>
      <c r="L229" s="25" t="s">
        <v>77</v>
      </c>
      <c r="M229" s="400"/>
      <c r="N229" s="6"/>
      <c r="O229" s="6"/>
      <c r="P229" s="6"/>
      <c r="Q229" s="6"/>
      <c r="R229" s="6"/>
      <c r="S229" s="6"/>
      <c r="T229" s="6"/>
    </row>
    <row r="230" spans="1:20" s="4" customFormat="1" ht="22.5" customHeight="1" x14ac:dyDescent="0.2">
      <c r="A230" s="373"/>
      <c r="B230" s="374"/>
      <c r="C230" s="374"/>
      <c r="D230" s="375"/>
      <c r="E230" s="1252" t="s">
        <v>241</v>
      </c>
      <c r="F230" s="1253"/>
      <c r="G230" s="1254"/>
      <c r="H230" s="582"/>
      <c r="I230" s="685"/>
      <c r="J230" s="686"/>
      <c r="K230" s="583"/>
      <c r="L230" s="584"/>
      <c r="M230" s="585"/>
      <c r="N230" s="6"/>
      <c r="O230" s="6"/>
      <c r="P230" s="6"/>
      <c r="Q230" s="6"/>
      <c r="R230" s="6"/>
      <c r="S230" s="6"/>
      <c r="T230" s="6"/>
    </row>
    <row r="231" spans="1:20" s="4" customFormat="1" ht="14.25" customHeight="1" x14ac:dyDescent="0.2">
      <c r="A231" s="335"/>
      <c r="B231" s="336"/>
      <c r="C231" s="336"/>
      <c r="D231" s="337"/>
      <c r="E231" s="792">
        <v>18</v>
      </c>
      <c r="F231" s="1195" t="s">
        <v>242</v>
      </c>
      <c r="G231" s="888"/>
      <c r="H231" s="207"/>
      <c r="I231" s="681"/>
      <c r="J231" s="657"/>
      <c r="K231" s="97"/>
      <c r="L231" s="972" t="s">
        <v>77</v>
      </c>
      <c r="M231" s="1208"/>
      <c r="N231" s="6"/>
      <c r="O231" s="6"/>
      <c r="P231" s="6"/>
      <c r="Q231" s="6"/>
      <c r="R231" s="6"/>
      <c r="S231" s="6"/>
      <c r="T231" s="6"/>
    </row>
    <row r="232" spans="1:20" s="4" customFormat="1" ht="14.25" customHeight="1" x14ac:dyDescent="0.2">
      <c r="A232" s="352"/>
      <c r="B232" s="353"/>
      <c r="C232" s="354"/>
      <c r="D232" s="355"/>
      <c r="E232" s="52" t="s">
        <v>97</v>
      </c>
      <c r="F232" s="883" t="s">
        <v>243</v>
      </c>
      <c r="G232" s="884"/>
      <c r="H232" s="50">
        <v>4</v>
      </c>
      <c r="I232" s="652">
        <f>IF(AND(OR(A232="x", A232="p"),NOT(OR(B232="n", A233="x", A233="p", A234="x", A234="p"))),H232,0)</f>
        <v>0</v>
      </c>
      <c r="J232" s="660">
        <f>IF(AND(OR(D232="m", C232="y"),NOT(D233="m"),NOT(C233="y"),NOT(D234="m"),NOT(C234="y")),H232,0)</f>
        <v>0</v>
      </c>
      <c r="K232" s="97">
        <f>IF(AND(J232&gt;0,C232="y"),H232,0)</f>
        <v>0</v>
      </c>
      <c r="L232" s="927"/>
      <c r="M232" s="940"/>
      <c r="N232" s="6"/>
      <c r="O232" s="6"/>
      <c r="P232" s="6"/>
      <c r="Q232" s="6"/>
      <c r="R232" s="6"/>
      <c r="S232" s="6"/>
      <c r="T232" s="6"/>
    </row>
    <row r="233" spans="1:20" s="4" customFormat="1" ht="15" customHeight="1" x14ac:dyDescent="0.2">
      <c r="A233" s="321"/>
      <c r="B233" s="322"/>
      <c r="C233" s="323"/>
      <c r="D233" s="324"/>
      <c r="E233" s="110" t="s">
        <v>99</v>
      </c>
      <c r="F233" s="857" t="s">
        <v>244</v>
      </c>
      <c r="G233" s="858"/>
      <c r="H233" s="62">
        <v>7</v>
      </c>
      <c r="I233" s="661">
        <f>IF(AND(OR(A233="x", A233="p"),NOT(OR(B233="n", A232="x", A232="p", A231="x", A231="p"))),H233,0)</f>
        <v>0</v>
      </c>
      <c r="J233" s="662">
        <f>IF(AND(OR(D233="m", C233="y"),NOT(D231="m"),NOT(C231="y"),NOT(D232="m"),NOT(C232="y")),H233,0)</f>
        <v>0</v>
      </c>
      <c r="K233" s="37">
        <f>IF(AND(J233&gt;0,C233="y"),H233,0)</f>
        <v>0</v>
      </c>
      <c r="L233" s="927"/>
      <c r="M233" s="1209"/>
      <c r="N233" s="6"/>
      <c r="O233" s="6"/>
      <c r="P233" s="6"/>
      <c r="Q233" s="6"/>
      <c r="R233" s="6"/>
      <c r="S233" s="6"/>
      <c r="T233" s="6"/>
    </row>
    <row r="234" spans="1:20" s="4" customFormat="1" ht="15" customHeight="1" thickBot="1" x14ac:dyDescent="0.25">
      <c r="A234" s="352"/>
      <c r="B234" s="353"/>
      <c r="C234" s="354"/>
      <c r="D234" s="355"/>
      <c r="E234" s="842">
        <v>19</v>
      </c>
      <c r="F234" s="1255" t="s">
        <v>245</v>
      </c>
      <c r="G234" s="1256"/>
      <c r="H234" s="108">
        <v>5</v>
      </c>
      <c r="I234" s="689">
        <f>IF(AND(OR(A234="x", A234="p"),NOT(B234="n")),H234,0)</f>
        <v>0</v>
      </c>
      <c r="J234" s="690">
        <f>IF(OR(D234="m", C234="y"),H234,0)</f>
        <v>0</v>
      </c>
      <c r="K234" s="73">
        <f>IF(AND(J234&gt;0,C234="y"),H234,0)</f>
        <v>0</v>
      </c>
      <c r="L234" s="109"/>
      <c r="M234" s="401"/>
      <c r="N234" s="6"/>
      <c r="O234" s="5"/>
      <c r="P234" s="5"/>
      <c r="Q234" s="5"/>
      <c r="R234" s="5"/>
      <c r="S234" s="5"/>
      <c r="T234" s="5"/>
    </row>
    <row r="235" spans="1:20" s="7" customFormat="1" ht="15" customHeight="1" thickBot="1" x14ac:dyDescent="0.3">
      <c r="A235" s="477"/>
      <c r="B235" s="479"/>
      <c r="C235" s="479"/>
      <c r="D235" s="384" t="s">
        <v>246</v>
      </c>
      <c r="E235" s="102"/>
      <c r="F235" s="103"/>
      <c r="G235" s="104"/>
      <c r="H235" s="105"/>
      <c r="I235" s="684"/>
      <c r="J235" s="675"/>
      <c r="K235" s="106"/>
      <c r="L235" s="496"/>
      <c r="M235" s="492"/>
      <c r="N235" s="12"/>
      <c r="O235" s="17"/>
      <c r="P235" s="17"/>
      <c r="Q235" s="17"/>
      <c r="R235" s="17"/>
      <c r="S235" s="17"/>
      <c r="T235" s="17"/>
    </row>
    <row r="236" spans="1:20" s="4" customFormat="1" ht="14.25" customHeight="1" x14ac:dyDescent="0.2">
      <c r="A236" s="335"/>
      <c r="B236" s="336"/>
      <c r="C236" s="336"/>
      <c r="D236" s="337"/>
      <c r="E236" s="792">
        <v>20</v>
      </c>
      <c r="F236" s="1195" t="s">
        <v>570</v>
      </c>
      <c r="G236" s="888"/>
      <c r="H236" s="207"/>
      <c r="I236" s="681"/>
      <c r="J236" s="657"/>
      <c r="K236" s="97"/>
      <c r="L236" s="972" t="s">
        <v>77</v>
      </c>
      <c r="M236" s="1208" t="s">
        <v>733</v>
      </c>
      <c r="N236" s="6"/>
      <c r="O236" s="977" t="s">
        <v>247</v>
      </c>
      <c r="P236" s="930"/>
      <c r="Q236" s="930"/>
      <c r="R236" s="930"/>
      <c r="S236" s="6"/>
      <c r="T236" s="6"/>
    </row>
    <row r="237" spans="1:20" s="4" customFormat="1" ht="15" customHeight="1" x14ac:dyDescent="0.2">
      <c r="A237" s="352" t="s">
        <v>465</v>
      </c>
      <c r="B237" s="353"/>
      <c r="C237" s="354" t="s">
        <v>787</v>
      </c>
      <c r="D237" s="355"/>
      <c r="E237" s="52" t="s">
        <v>97</v>
      </c>
      <c r="F237" s="883" t="s">
        <v>248</v>
      </c>
      <c r="G237" s="884"/>
      <c r="H237" s="50">
        <v>2</v>
      </c>
      <c r="I237" s="652">
        <f>IF(AND(OR(A237="x", A237="p"),NOT(OR(B237="n", A238="x", A238="p", A240="x", A240="p"))),H237,0)</f>
        <v>2</v>
      </c>
      <c r="J237" s="660">
        <f>IF(AND(OR(D237="m", C237="y"),NOT(D238="m"),NOT(C238="y"),NOT(D240="m"),NOT(C240="y")),H237,0)</f>
        <v>2</v>
      </c>
      <c r="K237" s="97">
        <f>IF(AND(J237&gt;0,C237="y"),H237,0)</f>
        <v>2</v>
      </c>
      <c r="L237" s="927"/>
      <c r="M237" s="940"/>
      <c r="N237" s="6"/>
      <c r="O237" s="198" t="s">
        <v>249</v>
      </c>
      <c r="P237" s="6"/>
      <c r="Q237" s="6"/>
      <c r="R237" s="6"/>
      <c r="S237" s="6"/>
      <c r="T237" s="6"/>
    </row>
    <row r="238" spans="1:20" s="4" customFormat="1" ht="14.25" customHeight="1" x14ac:dyDescent="0.2">
      <c r="A238" s="365"/>
      <c r="B238" s="366"/>
      <c r="C238" s="367"/>
      <c r="D238" s="368"/>
      <c r="E238" s="110" t="s">
        <v>99</v>
      </c>
      <c r="F238" s="857" t="s">
        <v>250</v>
      </c>
      <c r="G238" s="858"/>
      <c r="H238" s="50">
        <v>1</v>
      </c>
      <c r="I238" s="652">
        <f>IF(AND(OR(A238="x", A238="p"),NOT(OR(B238="n", A239="x", A239="p", A240="x", A240="p"))),H238,0)</f>
        <v>0</v>
      </c>
      <c r="J238" s="660">
        <f>IF(AND(OR(D238="m", C238="y"),NOT(D236="m"),NOT(C236="y"),NOT(D237="m"),NOT(C237="y")),H238,0)</f>
        <v>0</v>
      </c>
      <c r="K238" s="37">
        <f>IF(AND(J238&gt;0,C238="y"),H238,0)</f>
        <v>0</v>
      </c>
      <c r="L238" s="927"/>
      <c r="M238" s="940"/>
      <c r="N238" s="6"/>
      <c r="O238" s="198" t="s">
        <v>251</v>
      </c>
      <c r="P238" s="6"/>
      <c r="Q238" s="6"/>
      <c r="R238" s="6"/>
      <c r="S238" s="6"/>
      <c r="T238" s="6"/>
    </row>
    <row r="239" spans="1:20" s="4" customFormat="1" ht="28.5" customHeight="1" x14ac:dyDescent="0.2">
      <c r="A239" s="365"/>
      <c r="B239" s="366"/>
      <c r="C239" s="367"/>
      <c r="D239" s="368"/>
      <c r="E239" s="110" t="s">
        <v>101</v>
      </c>
      <c r="F239" s="978" t="s">
        <v>669</v>
      </c>
      <c r="G239" s="899"/>
      <c r="H239" s="62">
        <v>1</v>
      </c>
      <c r="I239" s="678">
        <f>IF(AND(OR(A239="x", A239="p"),NOT(OR(B239="n", A238="x", A238="p", A237="x", A237="p"))),H239,0)</f>
        <v>0</v>
      </c>
      <c r="J239" s="691">
        <f>IF(AND(OR(D239="m", C239="y"),NOT(D237="m"),NOT(C237="y"),NOT(D238="m"),NOT(C238="y")),H239,0)</f>
        <v>0</v>
      </c>
      <c r="K239" s="37">
        <f>IF(AND(J239&gt;0,C239="y"),H239,0)</f>
        <v>0</v>
      </c>
      <c r="L239" s="927"/>
      <c r="M239" s="1209"/>
      <c r="N239" s="6"/>
      <c r="O239" s="6"/>
      <c r="P239" s="6"/>
      <c r="Q239" s="6"/>
      <c r="R239" s="6"/>
      <c r="S239" s="6"/>
      <c r="T239" s="6"/>
    </row>
    <row r="240" spans="1:20" s="4" customFormat="1" ht="14.25" customHeight="1" x14ac:dyDescent="0.2">
      <c r="A240" s="335"/>
      <c r="B240" s="336"/>
      <c r="C240" s="336"/>
      <c r="D240" s="337"/>
      <c r="E240" s="792">
        <v>21</v>
      </c>
      <c r="F240" s="1195" t="s">
        <v>572</v>
      </c>
      <c r="G240" s="888"/>
      <c r="H240" s="206"/>
      <c r="I240" s="140"/>
      <c r="J240" s="674"/>
      <c r="K240" s="39"/>
      <c r="L240" s="865" t="s">
        <v>77</v>
      </c>
      <c r="M240" s="868" t="s">
        <v>733</v>
      </c>
      <c r="N240" s="6"/>
      <c r="O240" s="198" t="str">
        <f>HYPERLINK("https://web.ornl.gov/sci/buildings/docs/factSheets/attic%20floors.pdf","Ceiling and Vented Attic Insulation Fact Sheet")</f>
        <v>Ceiling and Vented Attic Insulation Fact Sheet</v>
      </c>
      <c r="P240" s="6"/>
      <c r="Q240" s="6"/>
      <c r="R240" s="6"/>
      <c r="S240" s="6"/>
      <c r="T240" s="6"/>
    </row>
    <row r="241" spans="1:20" s="4" customFormat="1" ht="14.25" customHeight="1" x14ac:dyDescent="0.2">
      <c r="A241" s="386"/>
      <c r="B241" s="387"/>
      <c r="C241" s="388"/>
      <c r="D241" s="389"/>
      <c r="E241" s="52" t="s">
        <v>97</v>
      </c>
      <c r="F241" s="883" t="s">
        <v>549</v>
      </c>
      <c r="G241" s="884"/>
      <c r="H241" s="50">
        <v>2</v>
      </c>
      <c r="I241" s="652">
        <f>IF(AND(OR(A241="x", A241="p"),NOT(OR(B241="n", A242="x", A242="p", A243="x", A243="p"))),H241,0)</f>
        <v>0</v>
      </c>
      <c r="J241" s="660">
        <f>IF(AND(OR(D241="m", C241="y"),NOT(D242="m"),NOT(C242="y"),NOT(D243="m"),NOT(C243="y")),H241,0)</f>
        <v>0</v>
      </c>
      <c r="K241" s="39">
        <f>IF(AND(J241&gt;0,C241="y"),H241,0)</f>
        <v>0</v>
      </c>
      <c r="L241" s="927"/>
      <c r="M241" s="940"/>
      <c r="N241" s="6"/>
      <c r="O241" s="1249"/>
      <c r="P241" s="930"/>
      <c r="Q241" s="930"/>
      <c r="R241" s="930"/>
      <c r="S241" s="6"/>
      <c r="T241" s="6"/>
    </row>
    <row r="242" spans="1:20" s="4" customFormat="1" ht="14.25" customHeight="1" x14ac:dyDescent="0.2">
      <c r="A242" s="305" t="s">
        <v>465</v>
      </c>
      <c r="B242" s="306"/>
      <c r="C242" s="307" t="s">
        <v>787</v>
      </c>
      <c r="D242" s="308"/>
      <c r="E242" s="52" t="s">
        <v>99</v>
      </c>
      <c r="F242" s="857" t="s">
        <v>252</v>
      </c>
      <c r="G242" s="858"/>
      <c r="H242" s="50">
        <v>2</v>
      </c>
      <c r="I242" s="652">
        <f>IF(AND(OR(A242="x", A242="p"),NOT(OR(B242="n", A241="x", A241="p", A243="x", A243="p"))),H242,0)</f>
        <v>2</v>
      </c>
      <c r="J242" s="660">
        <f>IF(AND(OR(D242="m", C242="y"),NOT(D243="m"),NOT(C243="y"),NOT(D241="m"),NOT(C241="y")),H242,0)</f>
        <v>2</v>
      </c>
      <c r="K242" s="39">
        <f>IF(AND(J242&gt;0,C242="y"),H242,0)</f>
        <v>2</v>
      </c>
      <c r="L242" s="927"/>
      <c r="M242" s="940"/>
      <c r="N242" s="6"/>
      <c r="O242" s="929"/>
      <c r="P242" s="930"/>
      <c r="Q242" s="930"/>
      <c r="R242" s="6"/>
      <c r="S242" s="6"/>
      <c r="T242" s="6"/>
    </row>
    <row r="243" spans="1:20" s="4" customFormat="1" ht="14.25" customHeight="1" x14ac:dyDescent="0.2">
      <c r="A243" s="305"/>
      <c r="B243" s="306"/>
      <c r="C243" s="307"/>
      <c r="D243" s="308"/>
      <c r="E243" s="118" t="s">
        <v>101</v>
      </c>
      <c r="F243" s="1227" t="s">
        <v>712</v>
      </c>
      <c r="G243" s="899"/>
      <c r="H243" s="72">
        <v>2</v>
      </c>
      <c r="I243" s="664">
        <f>IF(AND(OR(A243="x", A243="p"),NOT(OR(B243="n", A241="x", A241="p", A242="x", A242="p"))),H243,0)</f>
        <v>0</v>
      </c>
      <c r="J243" s="665">
        <f>IF(AND(OR(D243="m", C243="y"),NOT(D241="m"),NOT(C241="y"),NOT(D242="m"),NOT(C242="y")),H243,0)</f>
        <v>0</v>
      </c>
      <c r="K243" s="39">
        <f>IF(AND(J243&gt;0,C243="y"),H243,0)</f>
        <v>0</v>
      </c>
      <c r="L243" s="928"/>
      <c r="M243" s="946"/>
      <c r="N243" s="6"/>
      <c r="O243" s="6"/>
      <c r="P243" s="6"/>
      <c r="Q243" s="6"/>
      <c r="R243" s="6"/>
      <c r="S243" s="6"/>
      <c r="T243" s="6"/>
    </row>
    <row r="244" spans="1:20" s="4" customFormat="1" ht="24.75" customHeight="1" thickBot="1" x14ac:dyDescent="0.25">
      <c r="A244" s="317"/>
      <c r="B244" s="318"/>
      <c r="C244" s="319"/>
      <c r="D244" s="320"/>
      <c r="E244" s="843">
        <v>22</v>
      </c>
      <c r="F244" s="1228" t="s">
        <v>253</v>
      </c>
      <c r="G244" s="922"/>
      <c r="H244" s="40">
        <v>1</v>
      </c>
      <c r="I244" s="44">
        <f>IF(AND(OR(A244="x", A244="p"),NOT(B244="n")),H244,0)</f>
        <v>0</v>
      </c>
      <c r="J244" s="45">
        <f>IF(OR(D244="m", C244="y"),H244,0)</f>
        <v>0</v>
      </c>
      <c r="K244" s="43">
        <f>IF(AND(J244&gt;0,C244="y"),H244,0)</f>
        <v>0</v>
      </c>
      <c r="L244" s="25" t="s">
        <v>254</v>
      </c>
      <c r="M244" s="284"/>
      <c r="N244" s="6"/>
      <c r="O244" s="1182" t="s">
        <v>255</v>
      </c>
      <c r="P244" s="930"/>
      <c r="Q244" s="930"/>
      <c r="R244" s="930"/>
      <c r="S244" s="930"/>
      <c r="T244" s="5"/>
    </row>
    <row r="245" spans="1:20" s="7" customFormat="1" ht="14.25" customHeight="1" thickBot="1" x14ac:dyDescent="0.3">
      <c r="A245" s="477"/>
      <c r="B245" s="479"/>
      <c r="C245" s="479"/>
      <c r="D245" s="384" t="s">
        <v>256</v>
      </c>
      <c r="E245" s="102"/>
      <c r="F245" s="103"/>
      <c r="G245" s="104"/>
      <c r="H245" s="105"/>
      <c r="I245" s="684"/>
      <c r="J245" s="675"/>
      <c r="K245" s="106"/>
      <c r="L245" s="496"/>
      <c r="M245" s="492"/>
      <c r="N245" s="17"/>
      <c r="O245" s="17"/>
      <c r="P245" s="17"/>
      <c r="Q245" s="17"/>
      <c r="R245" s="17"/>
      <c r="S245" s="17"/>
      <c r="T245" s="17"/>
    </row>
    <row r="246" spans="1:20" s="4" customFormat="1" ht="14.25" customHeight="1" x14ac:dyDescent="0.2">
      <c r="A246" s="394"/>
      <c r="B246" s="395"/>
      <c r="C246" s="395"/>
      <c r="D246" s="395"/>
      <c r="E246" s="844">
        <v>23</v>
      </c>
      <c r="F246" s="881" t="s">
        <v>580</v>
      </c>
      <c r="G246" s="882"/>
      <c r="H246" s="111"/>
      <c r="I246" s="692"/>
      <c r="J246" s="693"/>
      <c r="K246" s="112"/>
      <c r="L246" s="204"/>
      <c r="M246" s="1210" t="s">
        <v>756</v>
      </c>
      <c r="N246" s="6"/>
      <c r="O246" s="977" t="s">
        <v>257</v>
      </c>
      <c r="P246" s="930"/>
      <c r="Q246" s="930"/>
      <c r="R246" s="930"/>
      <c r="S246" s="6"/>
      <c r="T246" s="6"/>
    </row>
    <row r="247" spans="1:20" s="4" customFormat="1" ht="14.25" customHeight="1" x14ac:dyDescent="0.2">
      <c r="A247" s="338"/>
      <c r="B247" s="339"/>
      <c r="C247" s="396"/>
      <c r="D247" s="396"/>
      <c r="E247" s="113" t="s">
        <v>97</v>
      </c>
      <c r="F247" s="883" t="s">
        <v>258</v>
      </c>
      <c r="G247" s="884"/>
      <c r="H247" s="56">
        <v>1</v>
      </c>
      <c r="I247" s="652">
        <f>IF(AND(OR(A247="x", A247="p"),NOT(OR(B247="n", A248="x", A248="p", A249="x", A249="p"))),H247,0)</f>
        <v>0</v>
      </c>
      <c r="J247" s="660">
        <f>IF(AND(OR(D247="m", C247="y"),NOT(D248="m"),NOT(C248="y"),NOT(D249="m"),NOT(C249="y")),H247,0)</f>
        <v>0</v>
      </c>
      <c r="K247" s="39">
        <f>IF(AND(J247&gt;0,C247="y"),H247,0)</f>
        <v>0</v>
      </c>
      <c r="L247" s="972" t="s">
        <v>77</v>
      </c>
      <c r="M247" s="940"/>
      <c r="N247" s="6"/>
      <c r="O247" s="6"/>
      <c r="P247" s="6"/>
      <c r="Q247" s="6"/>
      <c r="R247" s="6"/>
      <c r="S247" s="6"/>
      <c r="T247" s="6"/>
    </row>
    <row r="248" spans="1:20" s="4" customFormat="1" ht="14.25" customHeight="1" x14ac:dyDescent="0.2">
      <c r="A248" s="305" t="s">
        <v>465</v>
      </c>
      <c r="B248" s="306"/>
      <c r="C248" s="397" t="s">
        <v>787</v>
      </c>
      <c r="D248" s="397"/>
      <c r="E248" s="114" t="s">
        <v>99</v>
      </c>
      <c r="F248" s="857" t="s">
        <v>629</v>
      </c>
      <c r="G248" s="858"/>
      <c r="H248" s="56">
        <v>2</v>
      </c>
      <c r="I248" s="652">
        <f>IF(AND(OR(A248="x", A248="p"),NOT(OR(B248="n", A247="x", A247="p", A249="x", A249="p"))),H248,0)</f>
        <v>2</v>
      </c>
      <c r="J248" s="660">
        <f>IF(AND(OR(D248="m", C248="y"),NOT(D249="m"),NOT(C249="y"),NOT(D247="m"),NOT(C247="y")),H248,0)</f>
        <v>2</v>
      </c>
      <c r="K248" s="39">
        <f>IF(AND(J248&gt;0,C248="y"),H248,0)</f>
        <v>2</v>
      </c>
      <c r="L248" s="927"/>
      <c r="M248" s="940"/>
      <c r="N248" s="6"/>
      <c r="O248" s="6"/>
      <c r="P248" s="6"/>
      <c r="Q248" s="6"/>
      <c r="R248" s="6"/>
      <c r="S248" s="6"/>
      <c r="T248" s="6"/>
    </row>
    <row r="249" spans="1:20" s="4" customFormat="1" ht="14.25" customHeight="1" x14ac:dyDescent="0.2">
      <c r="A249" s="342"/>
      <c r="B249" s="343"/>
      <c r="C249" s="398"/>
      <c r="D249" s="398"/>
      <c r="E249" s="114" t="s">
        <v>101</v>
      </c>
      <c r="F249" s="857" t="s">
        <v>259</v>
      </c>
      <c r="G249" s="858"/>
      <c r="H249" s="115">
        <v>3</v>
      </c>
      <c r="I249" s="664">
        <f>IF(AND(OR(A249="x", A249="p"),NOT(OR(B249="n", A247="x", A247="p", A248="x", A248="p"))),H249,0)</f>
        <v>0</v>
      </c>
      <c r="J249" s="665">
        <f>IF(AND(OR(D249="m", C249="y"),NOT(D247="m"),NOT(C247="y"),NOT(D248="m"),NOT(C248="y")),H249,0)</f>
        <v>0</v>
      </c>
      <c r="K249" s="39">
        <f>IF(AND(J249&gt;0,C249="y"),H249,0)</f>
        <v>0</v>
      </c>
      <c r="L249" s="928"/>
      <c r="M249" s="946"/>
      <c r="N249" s="6"/>
      <c r="O249" s="6"/>
      <c r="P249" s="6"/>
      <c r="Q249" s="6"/>
      <c r="R249" s="6"/>
      <c r="S249" s="6"/>
      <c r="T249" s="6"/>
    </row>
    <row r="250" spans="1:20" s="4" customFormat="1" ht="15" customHeight="1" x14ac:dyDescent="0.2">
      <c r="A250" s="335"/>
      <c r="B250" s="336"/>
      <c r="C250" s="336"/>
      <c r="D250" s="337"/>
      <c r="E250" s="845">
        <v>24</v>
      </c>
      <c r="F250" s="855" t="s">
        <v>581</v>
      </c>
      <c r="G250" s="856"/>
      <c r="H250" s="55"/>
      <c r="I250" s="694"/>
      <c r="J250" s="693"/>
      <c r="K250" s="200"/>
      <c r="L250" s="197"/>
      <c r="M250" s="874" t="s">
        <v>757</v>
      </c>
      <c r="N250" s="6"/>
      <c r="O250" s="751" t="str">
        <f>HYPERLINK("https://www.energystar.gov/products/res_windows_doors_skylights","Find Energy Star Certified Windows")</f>
        <v>Find Energy Star Certified Windows</v>
      </c>
      <c r="P250" s="201"/>
      <c r="Q250" s="201"/>
      <c r="R250" s="201"/>
      <c r="S250" s="201"/>
      <c r="T250" s="201"/>
    </row>
    <row r="251" spans="1:20" s="4" customFormat="1" ht="14.25" customHeight="1" x14ac:dyDescent="0.2">
      <c r="A251" s="376"/>
      <c r="B251" s="377"/>
      <c r="C251" s="378"/>
      <c r="D251" s="379"/>
      <c r="E251" s="52" t="s">
        <v>97</v>
      </c>
      <c r="F251" s="883" t="s">
        <v>259</v>
      </c>
      <c r="G251" s="884"/>
      <c r="H251" s="56">
        <v>2</v>
      </c>
      <c r="I251" s="652">
        <f>IF(AND(OR(A251="x", A251="p"),NOT(OR(B251="n", A252="x", A252="p", A253="x", A253="p"))),H251,0)</f>
        <v>0</v>
      </c>
      <c r="J251" s="660">
        <f>IF(AND(OR(D251="m", C251="y"),NOT(D252="m"),NOT(C252="y"),NOT(D253="m"),NOT(C253="y")),H251,0)</f>
        <v>0</v>
      </c>
      <c r="K251" s="97">
        <f>IF(AND(J251&gt;0,C251="y"),H251,0)</f>
        <v>0</v>
      </c>
      <c r="L251" s="972" t="s">
        <v>77</v>
      </c>
      <c r="M251" s="940"/>
      <c r="N251" s="6"/>
      <c r="O251" s="6"/>
      <c r="P251" s="6"/>
      <c r="Q251" s="6"/>
      <c r="R251" s="6"/>
      <c r="S251" s="6"/>
      <c r="T251" s="6"/>
    </row>
    <row r="252" spans="1:20" s="4" customFormat="1" ht="15" customHeight="1" x14ac:dyDescent="0.2">
      <c r="A252" s="321" t="s">
        <v>465</v>
      </c>
      <c r="B252" s="322"/>
      <c r="C252" s="323" t="s">
        <v>787</v>
      </c>
      <c r="D252" s="324"/>
      <c r="E252" s="110" t="s">
        <v>99</v>
      </c>
      <c r="F252" s="857" t="s">
        <v>260</v>
      </c>
      <c r="G252" s="858"/>
      <c r="H252" s="116">
        <v>3</v>
      </c>
      <c r="I252" s="661">
        <f>IF(AND(OR(A252="x", A252="p"),NOT(OR(B252="n", A251="x", A251="p", A250="x", A250="p"))),H252,0)</f>
        <v>3</v>
      </c>
      <c r="J252" s="662">
        <f>IF(AND(OR(D252="m", C252="y"),NOT(D250="m"),NOT(C250="y"),NOT(D251="m"),NOT(C251="y")),H252,0)</f>
        <v>3</v>
      </c>
      <c r="K252" s="37">
        <f>IF(AND(J252&gt;0,C252="y"),H252,0)</f>
        <v>3</v>
      </c>
      <c r="L252" s="927"/>
      <c r="M252" s="946"/>
      <c r="N252" s="6"/>
      <c r="O252" s="6"/>
      <c r="P252" s="6"/>
      <c r="Q252" s="6"/>
      <c r="R252" s="6"/>
      <c r="S252" s="6"/>
      <c r="T252" s="6"/>
    </row>
    <row r="253" spans="1:20" s="4" customFormat="1" ht="14.25" customHeight="1" x14ac:dyDescent="0.2">
      <c r="A253" s="317"/>
      <c r="B253" s="318"/>
      <c r="C253" s="319"/>
      <c r="D253" s="320"/>
      <c r="E253" s="843">
        <v>25</v>
      </c>
      <c r="F253" s="1228" t="s">
        <v>261</v>
      </c>
      <c r="G253" s="922"/>
      <c r="H253" s="55">
        <v>2</v>
      </c>
      <c r="I253" s="44">
        <f>IF(AND(OR(A253="x", A253="p"),NOT(B253="n")),H253,0)</f>
        <v>0</v>
      </c>
      <c r="J253" s="45">
        <f>IF(OR(D253="m", C253="y"),H253,0)</f>
        <v>0</v>
      </c>
      <c r="K253" s="43">
        <f>IF(AND(J253&gt;0,C253="y"),H253,0)</f>
        <v>0</v>
      </c>
      <c r="L253" s="25" t="s">
        <v>77</v>
      </c>
      <c r="M253" s="284"/>
      <c r="N253" s="6"/>
      <c r="O253" s="6"/>
      <c r="P253" s="6"/>
      <c r="Q253" s="6"/>
      <c r="R253" s="6"/>
      <c r="S253" s="6"/>
      <c r="T253" s="6"/>
    </row>
    <row r="254" spans="1:20" s="4" customFormat="1" ht="18" customHeight="1" x14ac:dyDescent="0.2">
      <c r="A254" s="373"/>
      <c r="B254" s="374"/>
      <c r="C254" s="374"/>
      <c r="D254" s="375"/>
      <c r="E254" s="846">
        <v>26</v>
      </c>
      <c r="F254" s="855" t="s">
        <v>582</v>
      </c>
      <c r="G254" s="856"/>
      <c r="H254" s="206"/>
      <c r="I254" s="692"/>
      <c r="J254" s="141"/>
      <c r="K254" s="117"/>
      <c r="L254" s="1211" t="s">
        <v>654</v>
      </c>
      <c r="M254" s="1214"/>
      <c r="N254" s="6"/>
      <c r="O254" s="6"/>
      <c r="P254" s="6"/>
      <c r="Q254" s="6"/>
      <c r="R254" s="6"/>
      <c r="S254" s="6"/>
      <c r="T254" s="6"/>
    </row>
    <row r="255" spans="1:20" s="4" customFormat="1" ht="14.25" customHeight="1" x14ac:dyDescent="0.2">
      <c r="A255" s="352"/>
      <c r="B255" s="353"/>
      <c r="C255" s="354"/>
      <c r="D255" s="355"/>
      <c r="E255" s="52" t="s">
        <v>97</v>
      </c>
      <c r="F255" s="857" t="s">
        <v>550</v>
      </c>
      <c r="G255" s="858"/>
      <c r="H255" s="50">
        <v>1</v>
      </c>
      <c r="I255" s="652">
        <f>IF(AND(OR(A255="x", A255="p"),NOT(B255="n")),H255,0)</f>
        <v>0</v>
      </c>
      <c r="J255" s="653">
        <f>IF(OR(D255="m", C255="y"),H255,0)</f>
        <v>0</v>
      </c>
      <c r="K255" s="97">
        <f>IF(AND(J255&gt;0,C255="y"),H255,0)</f>
        <v>0</v>
      </c>
      <c r="L255" s="1212"/>
      <c r="M255" s="1215"/>
      <c r="N255" s="6"/>
      <c r="O255" s="6"/>
      <c r="P255" s="6"/>
      <c r="Q255" s="6"/>
      <c r="R255" s="6"/>
      <c r="S255" s="6"/>
      <c r="T255" s="6"/>
    </row>
    <row r="256" spans="1:20" s="4" customFormat="1" ht="14.25" customHeight="1" x14ac:dyDescent="0.2">
      <c r="A256" s="301"/>
      <c r="B256" s="302"/>
      <c r="C256" s="303"/>
      <c r="D256" s="304"/>
      <c r="E256" s="110" t="s">
        <v>99</v>
      </c>
      <c r="F256" s="1226" t="s">
        <v>551</v>
      </c>
      <c r="G256" s="858"/>
      <c r="H256" s="62">
        <v>2</v>
      </c>
      <c r="I256" s="652">
        <f>IF(AND(OR(A256="x", A256="p"),NOT(B256="n")),H256,0)</f>
        <v>0</v>
      </c>
      <c r="J256" s="653">
        <f>IF(OR(D256="m", C256="y"),H256,0)</f>
        <v>0</v>
      </c>
      <c r="K256" s="97">
        <f>IF(AND(J256&gt;0,C256="y"),H256,0)</f>
        <v>0</v>
      </c>
      <c r="L256" s="1212"/>
      <c r="M256" s="1215"/>
      <c r="N256" s="6"/>
      <c r="O256" s="6"/>
      <c r="P256" s="6"/>
      <c r="Q256" s="6"/>
      <c r="R256" s="6"/>
      <c r="S256" s="6"/>
      <c r="T256" s="6"/>
    </row>
    <row r="257" spans="1:20" s="4" customFormat="1" ht="14.25" customHeight="1" x14ac:dyDescent="0.2">
      <c r="A257" s="342"/>
      <c r="B257" s="343"/>
      <c r="C257" s="344"/>
      <c r="D257" s="345"/>
      <c r="E257" s="118" t="s">
        <v>101</v>
      </c>
      <c r="F257" s="978" t="s">
        <v>552</v>
      </c>
      <c r="G257" s="899"/>
      <c r="H257" s="72">
        <v>1</v>
      </c>
      <c r="I257" s="664">
        <f>IF(AND(OR(A257="x", A257="p"),NOT(B257="n")),H257,0)</f>
        <v>0</v>
      </c>
      <c r="J257" s="688">
        <f>IF(OR(D257="m", C257="y"),H257,0)</f>
        <v>0</v>
      </c>
      <c r="K257" s="97">
        <f>IF(AND(J257&gt;0,C257="y"),H257,0)</f>
        <v>0</v>
      </c>
      <c r="L257" s="1213"/>
      <c r="M257" s="913"/>
      <c r="N257" s="6"/>
      <c r="O257" s="6"/>
      <c r="P257" s="6"/>
      <c r="Q257" s="6"/>
      <c r="R257" s="6"/>
      <c r="S257" s="6"/>
      <c r="T257" s="6"/>
    </row>
    <row r="258" spans="1:20" s="4" customFormat="1" ht="33" customHeight="1" x14ac:dyDescent="0.2">
      <c r="A258" s="317" t="s">
        <v>465</v>
      </c>
      <c r="B258" s="318"/>
      <c r="C258" s="319" t="s">
        <v>787</v>
      </c>
      <c r="D258" s="320"/>
      <c r="E258" s="843">
        <v>27</v>
      </c>
      <c r="F258" s="1228" t="s">
        <v>262</v>
      </c>
      <c r="G258" s="922"/>
      <c r="H258" s="40">
        <v>1</v>
      </c>
      <c r="I258" s="44">
        <f>IF(AND(OR(A258="x", A258="p"),NOT(B258="n")),H258,0)</f>
        <v>1</v>
      </c>
      <c r="J258" s="45">
        <f>IF(OR(D258="m", C258="y"),H258,0)</f>
        <v>1</v>
      </c>
      <c r="K258" s="43">
        <f>IF(AND(J258&gt;0,C258="y"),H258,0)</f>
        <v>1</v>
      </c>
      <c r="L258" s="25" t="s">
        <v>77</v>
      </c>
      <c r="M258" s="284" t="s">
        <v>752</v>
      </c>
      <c r="N258" s="6"/>
      <c r="O258" s="6"/>
      <c r="P258" s="6"/>
      <c r="Q258" s="6"/>
      <c r="R258" s="6"/>
      <c r="S258" s="6"/>
      <c r="T258" s="6"/>
    </row>
    <row r="259" spans="1:20" s="4" customFormat="1" ht="30.75" customHeight="1" thickBot="1" x14ac:dyDescent="0.25">
      <c r="A259" s="356"/>
      <c r="B259" s="357"/>
      <c r="C259" s="358"/>
      <c r="D259" s="359"/>
      <c r="E259" s="841">
        <v>28</v>
      </c>
      <c r="F259" s="1192" t="s">
        <v>151</v>
      </c>
      <c r="G259" s="1193"/>
      <c r="H259" s="364" t="s">
        <v>152</v>
      </c>
      <c r="I259" s="676">
        <f>IF(AND(OR(A259="x", A259="p"),NOT(B259="n"), H259&lt;=7),H259,0)</f>
        <v>0</v>
      </c>
      <c r="J259" s="677">
        <f>IF(AND(OR(D259="m", C259="y"), H259&lt;=7),H259,0)</f>
        <v>0</v>
      </c>
      <c r="K259" s="43">
        <f>IF(AND(J259&gt;0,C259="y"),H259,0)</f>
        <v>0</v>
      </c>
      <c r="L259" s="85" t="s">
        <v>195</v>
      </c>
      <c r="M259" s="361"/>
      <c r="N259" s="6"/>
      <c r="O259" s="5"/>
      <c r="P259" s="5"/>
      <c r="Q259" s="5"/>
      <c r="R259" s="5"/>
      <c r="S259" s="5"/>
      <c r="T259" s="5"/>
    </row>
    <row r="260" spans="1:20" s="4" customFormat="1" ht="14.25" customHeight="1" thickTop="1" thickBot="1" x14ac:dyDescent="0.3">
      <c r="A260" s="1183" t="s">
        <v>263</v>
      </c>
      <c r="B260" s="1184"/>
      <c r="C260" s="1184"/>
      <c r="D260" s="1184"/>
      <c r="E260" s="1184"/>
      <c r="F260" s="1184"/>
      <c r="G260" s="1184"/>
      <c r="H260" s="1185"/>
      <c r="I260" s="666">
        <f>SUM(I186:I259)</f>
        <v>58</v>
      </c>
      <c r="J260" s="666">
        <f>SUM(J186:J259)</f>
        <v>58</v>
      </c>
      <c r="K260" s="64">
        <f>SUM(K186:K259)</f>
        <v>53</v>
      </c>
      <c r="L260" s="119"/>
      <c r="M260" s="120"/>
      <c r="N260" s="5"/>
      <c r="O260" s="5"/>
      <c r="P260" s="5"/>
      <c r="Q260" s="5"/>
      <c r="R260" s="5"/>
      <c r="S260" s="5"/>
      <c r="T260" s="5"/>
    </row>
    <row r="261" spans="1:20" s="456" customFormat="1" ht="35.1" customHeight="1" thickTop="1" thickBot="1" x14ac:dyDescent="0.25">
      <c r="A261" s="862" t="s">
        <v>58</v>
      </c>
      <c r="B261" s="862"/>
      <c r="C261" s="862"/>
      <c r="D261" s="862"/>
      <c r="E261" s="862"/>
      <c r="F261" s="862"/>
      <c r="G261" s="862"/>
      <c r="H261" s="862"/>
      <c r="I261" s="862"/>
      <c r="J261" s="862"/>
      <c r="K261" s="862"/>
      <c r="L261" s="862"/>
      <c r="M261" s="862"/>
      <c r="O261" s="290"/>
      <c r="P261" s="290"/>
      <c r="Q261" s="290"/>
      <c r="R261" s="290"/>
      <c r="S261" s="290"/>
      <c r="T261" s="290"/>
    </row>
    <row r="262" spans="1:20" s="4" customFormat="1" ht="14.25" customHeight="1" thickBot="1" x14ac:dyDescent="0.3">
      <c r="A262" s="26"/>
      <c r="B262" s="27"/>
      <c r="C262" s="28"/>
      <c r="D262" s="29"/>
      <c r="E262" s="1216" t="s">
        <v>590</v>
      </c>
      <c r="F262" s="1217"/>
      <c r="G262" s="1218"/>
      <c r="H262" s="879" t="s">
        <v>87</v>
      </c>
      <c r="I262" s="1005" t="s">
        <v>88</v>
      </c>
      <c r="J262" s="1006"/>
      <c r="K262" s="569"/>
      <c r="L262" s="1007" t="s">
        <v>89</v>
      </c>
      <c r="M262" s="1008" t="s">
        <v>197</v>
      </c>
      <c r="O262" s="5"/>
      <c r="P262" s="5"/>
      <c r="Q262" s="5"/>
      <c r="R262" s="5"/>
      <c r="S262" s="5"/>
      <c r="T262" s="5"/>
    </row>
    <row r="263" spans="1:20" s="4" customFormat="1" ht="12.75" customHeight="1" thickBot="1" x14ac:dyDescent="0.25">
      <c r="A263" s="30" t="s">
        <v>0</v>
      </c>
      <c r="B263" s="31" t="s">
        <v>1</v>
      </c>
      <c r="C263" s="32" t="s">
        <v>91</v>
      </c>
      <c r="D263" s="33" t="s">
        <v>92</v>
      </c>
      <c r="E263" s="1219"/>
      <c r="F263" s="1220"/>
      <c r="G263" s="1201"/>
      <c r="H263" s="880"/>
      <c r="I263" s="649" t="s">
        <v>93</v>
      </c>
      <c r="J263" s="650" t="s">
        <v>94</v>
      </c>
      <c r="K263" s="570"/>
      <c r="L263" s="915"/>
      <c r="M263" s="1009"/>
      <c r="O263" s="5"/>
      <c r="P263" s="5"/>
      <c r="Q263" s="5"/>
      <c r="R263" s="5"/>
      <c r="S263" s="5"/>
      <c r="T263" s="5"/>
    </row>
    <row r="264" spans="1:20" s="7" customFormat="1" ht="15" customHeight="1" thickBot="1" x14ac:dyDescent="0.3">
      <c r="A264" s="475"/>
      <c r="B264" s="35"/>
      <c r="C264" s="35"/>
      <c r="D264" s="480" t="s">
        <v>264</v>
      </c>
      <c r="E264" s="121"/>
      <c r="F264" s="122"/>
      <c r="G264" s="123"/>
      <c r="H264" s="69"/>
      <c r="I264" s="573"/>
      <c r="J264" s="695"/>
      <c r="K264" s="71"/>
      <c r="L264" s="859"/>
      <c r="M264" s="860"/>
      <c r="N264" s="12"/>
      <c r="O264" s="12"/>
      <c r="P264" s="12"/>
      <c r="Q264" s="12"/>
      <c r="R264" s="12"/>
      <c r="S264" s="12"/>
      <c r="T264" s="12"/>
    </row>
    <row r="265" spans="1:20" s="4" customFormat="1" ht="30.75" customHeight="1" x14ac:dyDescent="0.2">
      <c r="A265" s="402"/>
      <c r="B265" s="403"/>
      <c r="C265" s="404"/>
      <c r="D265" s="405"/>
      <c r="E265" s="795">
        <v>1</v>
      </c>
      <c r="F265" s="1280" t="s">
        <v>265</v>
      </c>
      <c r="G265" s="1281"/>
      <c r="H265" s="124">
        <v>1</v>
      </c>
      <c r="I265" s="696">
        <f t="shared" ref="I265:I272" si="10">IF(AND(OR(A265="x", A265="p"),NOT(B265="n")),H265,0)</f>
        <v>0</v>
      </c>
      <c r="J265" s="697">
        <f t="shared" ref="J265:J272" si="11">IF(OR(D265="m", C265="y"),H265,0)</f>
        <v>0</v>
      </c>
      <c r="K265" s="43">
        <f t="shared" ref="K265:K271" si="12">IF(AND(J265&gt;0,C265="y"),H265,0)</f>
        <v>0</v>
      </c>
      <c r="L265" s="125" t="s">
        <v>77</v>
      </c>
      <c r="M265" s="282"/>
      <c r="N265" s="5"/>
      <c r="O265" s="1397"/>
      <c r="P265" s="930"/>
      <c r="Q265" s="930"/>
      <c r="R265" s="930"/>
      <c r="S265" s="5"/>
      <c r="T265" s="5"/>
    </row>
    <row r="266" spans="1:20" s="4" customFormat="1" ht="26.25" customHeight="1" x14ac:dyDescent="0.2">
      <c r="A266" s="317"/>
      <c r="B266" s="318"/>
      <c r="C266" s="319"/>
      <c r="D266" s="320"/>
      <c r="E266" s="796">
        <v>2</v>
      </c>
      <c r="F266" s="1251" t="s">
        <v>266</v>
      </c>
      <c r="G266" s="922"/>
      <c r="H266" s="127">
        <v>4</v>
      </c>
      <c r="I266" s="44">
        <f t="shared" si="10"/>
        <v>0</v>
      </c>
      <c r="J266" s="45">
        <f t="shared" si="11"/>
        <v>0</v>
      </c>
      <c r="K266" s="43">
        <f t="shared" si="12"/>
        <v>0</v>
      </c>
      <c r="L266" s="25" t="s">
        <v>77</v>
      </c>
      <c r="M266" s="284"/>
      <c r="N266" s="5"/>
      <c r="O266" s="1182" t="str">
        <f>HYPERLINK("https://www.greenbuilt.org/articles/146-checklist-a-primer-for-passive-solar/","Passive Solar Primer")</f>
        <v>Passive Solar Primer</v>
      </c>
      <c r="P266" s="930"/>
      <c r="Q266" s="930"/>
      <c r="R266" s="5"/>
      <c r="S266" s="5"/>
      <c r="T266" s="5"/>
    </row>
    <row r="267" spans="1:20" s="4" customFormat="1" ht="26.25" customHeight="1" x14ac:dyDescent="0.2">
      <c r="A267" s="317"/>
      <c r="B267" s="318"/>
      <c r="C267" s="319"/>
      <c r="D267" s="320"/>
      <c r="E267" s="797">
        <v>3</v>
      </c>
      <c r="F267" s="1025" t="s">
        <v>267</v>
      </c>
      <c r="G267" s="922"/>
      <c r="H267" s="126">
        <v>3</v>
      </c>
      <c r="I267" s="658">
        <f t="shared" si="10"/>
        <v>0</v>
      </c>
      <c r="J267" s="141">
        <f t="shared" si="11"/>
        <v>0</v>
      </c>
      <c r="K267" s="43">
        <f t="shared" si="12"/>
        <v>0</v>
      </c>
      <c r="L267" s="197" t="s">
        <v>77</v>
      </c>
      <c r="M267" s="284"/>
      <c r="N267" s="5"/>
      <c r="O267" s="1341" t="s">
        <v>268</v>
      </c>
      <c r="P267" s="930"/>
      <c r="Q267" s="930"/>
      <c r="R267" s="930"/>
      <c r="S267" s="5"/>
      <c r="T267" s="5"/>
    </row>
    <row r="268" spans="1:20" s="4" customFormat="1" ht="55.5" customHeight="1" x14ac:dyDescent="0.2">
      <c r="A268" s="317"/>
      <c r="B268" s="318"/>
      <c r="C268" s="319"/>
      <c r="D268" s="320"/>
      <c r="E268" s="793">
        <v>4</v>
      </c>
      <c r="F268" s="1025" t="s">
        <v>269</v>
      </c>
      <c r="G268" s="922"/>
      <c r="H268" s="127">
        <v>5</v>
      </c>
      <c r="I268" s="44">
        <f t="shared" si="10"/>
        <v>0</v>
      </c>
      <c r="J268" s="45">
        <f t="shared" si="11"/>
        <v>0</v>
      </c>
      <c r="K268" s="43">
        <f t="shared" si="12"/>
        <v>0</v>
      </c>
      <c r="L268" s="25" t="s">
        <v>77</v>
      </c>
      <c r="M268" s="284"/>
      <c r="N268" s="5"/>
      <c r="O268" s="977" t="s">
        <v>270</v>
      </c>
      <c r="P268" s="930"/>
      <c r="Q268" s="930"/>
      <c r="R268" s="930"/>
      <c r="S268" s="5"/>
      <c r="T268" s="5"/>
    </row>
    <row r="269" spans="1:20" s="4" customFormat="1" ht="42" customHeight="1" x14ac:dyDescent="0.2">
      <c r="A269" s="317"/>
      <c r="B269" s="318"/>
      <c r="C269" s="319"/>
      <c r="D269" s="320"/>
      <c r="E269" s="793">
        <v>5</v>
      </c>
      <c r="F269" s="1025" t="s">
        <v>271</v>
      </c>
      <c r="G269" s="922"/>
      <c r="H269" s="127">
        <v>1</v>
      </c>
      <c r="I269" s="44">
        <f t="shared" si="10"/>
        <v>0</v>
      </c>
      <c r="J269" s="45">
        <f t="shared" si="11"/>
        <v>0</v>
      </c>
      <c r="K269" s="43">
        <f t="shared" si="12"/>
        <v>0</v>
      </c>
      <c r="L269" s="25" t="s">
        <v>77</v>
      </c>
      <c r="M269" s="284"/>
      <c r="N269" s="5"/>
      <c r="P269" s="5"/>
      <c r="Q269" s="5"/>
      <c r="R269" s="5"/>
      <c r="S269" s="5"/>
      <c r="T269" s="5"/>
    </row>
    <row r="270" spans="1:20" s="4" customFormat="1" ht="37.5" customHeight="1" x14ac:dyDescent="0.2">
      <c r="A270" s="317"/>
      <c r="B270" s="318"/>
      <c r="C270" s="319"/>
      <c r="D270" s="320"/>
      <c r="E270" s="793">
        <v>6</v>
      </c>
      <c r="F270" s="1025" t="s">
        <v>272</v>
      </c>
      <c r="G270" s="922"/>
      <c r="H270" s="127">
        <v>2</v>
      </c>
      <c r="I270" s="44">
        <f t="shared" si="10"/>
        <v>0</v>
      </c>
      <c r="J270" s="45">
        <f t="shared" si="11"/>
        <v>0</v>
      </c>
      <c r="K270" s="43">
        <f t="shared" si="12"/>
        <v>0</v>
      </c>
      <c r="L270" s="25" t="s">
        <v>273</v>
      </c>
      <c r="M270" s="852">
        <v>0.1</v>
      </c>
      <c r="N270" s="5"/>
      <c r="O270" s="242"/>
      <c r="P270" s="242"/>
      <c r="Q270" s="242"/>
      <c r="R270" s="242"/>
      <c r="S270" s="242"/>
      <c r="T270" s="242"/>
    </row>
    <row r="271" spans="1:20" s="4" customFormat="1" ht="39" customHeight="1" x14ac:dyDescent="0.2">
      <c r="A271" s="317"/>
      <c r="B271" s="318"/>
      <c r="C271" s="319"/>
      <c r="D271" s="320"/>
      <c r="E271" s="793">
        <v>7</v>
      </c>
      <c r="F271" s="1025" t="s">
        <v>274</v>
      </c>
      <c r="G271" s="922"/>
      <c r="H271" s="127">
        <v>2</v>
      </c>
      <c r="I271" s="44">
        <f t="shared" si="10"/>
        <v>0</v>
      </c>
      <c r="J271" s="45">
        <f t="shared" si="11"/>
        <v>0</v>
      </c>
      <c r="K271" s="43">
        <f t="shared" si="12"/>
        <v>0</v>
      </c>
      <c r="L271" s="25" t="s">
        <v>273</v>
      </c>
      <c r="M271" s="853">
        <v>4.2000000000000003E-2</v>
      </c>
      <c r="N271" s="5"/>
      <c r="O271" s="5"/>
      <c r="P271" s="5"/>
      <c r="Q271" s="5"/>
      <c r="R271" s="5"/>
      <c r="S271" s="5"/>
      <c r="T271" s="5"/>
    </row>
    <row r="272" spans="1:20" s="4" customFormat="1" ht="14.25" customHeight="1" x14ac:dyDescent="0.2">
      <c r="A272" s="373"/>
      <c r="B272" s="374"/>
      <c r="C272" s="374"/>
      <c r="D272" s="375"/>
      <c r="E272" s="792">
        <v>8</v>
      </c>
      <c r="F272" s="1195" t="s">
        <v>275</v>
      </c>
      <c r="G272" s="888"/>
      <c r="H272" s="202"/>
      <c r="I272" s="140">
        <f t="shared" si="10"/>
        <v>0</v>
      </c>
      <c r="J272" s="674">
        <f t="shared" si="11"/>
        <v>0</v>
      </c>
      <c r="K272" s="36"/>
      <c r="L272" s="865" t="s">
        <v>273</v>
      </c>
      <c r="M272" s="874" t="s">
        <v>758</v>
      </c>
      <c r="N272" s="5"/>
      <c r="O272" s="5"/>
      <c r="P272" s="5"/>
      <c r="Q272" s="5"/>
      <c r="R272" s="5"/>
      <c r="S272" s="5"/>
      <c r="T272" s="5"/>
    </row>
    <row r="273" spans="1:20" s="4" customFormat="1" ht="38.25" customHeight="1" x14ac:dyDescent="0.25">
      <c r="A273" s="352"/>
      <c r="B273" s="353"/>
      <c r="C273" s="354"/>
      <c r="D273" s="355"/>
      <c r="E273" s="52" t="s">
        <v>97</v>
      </c>
      <c r="F273" s="883" t="s">
        <v>276</v>
      </c>
      <c r="G273" s="884"/>
      <c r="H273" s="50">
        <v>4</v>
      </c>
      <c r="I273" s="652">
        <f>IF(AND(OR(A273="x", A273="p"),NOT(OR(B273="n", A274="x", A274="p", A275="x", A275="p"))),H273,0)</f>
        <v>0</v>
      </c>
      <c r="J273" s="660">
        <f>IF(AND(OR(D273="m", C273="y"),NOT(D274="m"),NOT(C274="y"),NOT(D275="m"),NOT(C275="y")),H273,0)</f>
        <v>0</v>
      </c>
      <c r="K273" s="97">
        <f>IF(AND(J273&gt;0,C273="y"),H273,0)</f>
        <v>0</v>
      </c>
      <c r="L273" s="927"/>
      <c r="M273" s="940"/>
      <c r="N273" s="5"/>
      <c r="O273" s="748" t="str">
        <f>HYPERLINK("https://www.google.com/url?sa=t&amp;rct=j&amp;q=&amp;esrc=s&amp;source=web&amp;cd=&amp;ved=2ahUKEwjsnqOPhYP6AhXoomoFHWuAB2UQFnoECAcQAQ&amp;url=https%3A%2F%2Fwww.nrel.gov%2Fdocs%2Flegosti%2Fold%2F17242.pdf&amp;usg=AOvVaw2E4JPPUsegrbU6zt7sIgX3","NREL Passive Solar Design Guide for WNC")</f>
        <v>NREL Passive Solar Design Guide for WNC</v>
      </c>
      <c r="S273" s="6"/>
      <c r="T273" s="6"/>
    </row>
    <row r="274" spans="1:20" s="4" customFormat="1" ht="39" customHeight="1" thickBot="1" x14ac:dyDescent="0.25">
      <c r="A274" s="380"/>
      <c r="B274" s="381"/>
      <c r="C274" s="382"/>
      <c r="D274" s="383"/>
      <c r="E274" s="128" t="s">
        <v>99</v>
      </c>
      <c r="F274" s="1221" t="s">
        <v>277</v>
      </c>
      <c r="G274" s="1222"/>
      <c r="H274" s="129">
        <v>6</v>
      </c>
      <c r="I274" s="698">
        <f>IF(AND(OR(A274="x", A274="p"),NOT(OR(B274="n", A273="x", A273="p", A272="x", A272="p"))),H274,0)</f>
        <v>0</v>
      </c>
      <c r="J274" s="699">
        <f>IF(AND(OR(D274="m", C274="y"),NOT(D272="m"),NOT(C272="y"),NOT(D273="m"),NOT(C273="y")),H274,0)</f>
        <v>0</v>
      </c>
      <c r="K274" s="37">
        <f>IF(AND(J274&gt;0,C274="y"),H274,0)</f>
        <v>0</v>
      </c>
      <c r="L274" s="1269"/>
      <c r="M274" s="1270"/>
      <c r="N274" s="6"/>
      <c r="O274" s="929"/>
      <c r="P274" s="930"/>
      <c r="Q274" s="930"/>
      <c r="R274" s="930"/>
      <c r="S274" s="5"/>
      <c r="T274" s="5"/>
    </row>
    <row r="275" spans="1:20" s="7" customFormat="1" ht="16.5" customHeight="1" thickBot="1" x14ac:dyDescent="0.3">
      <c r="A275" s="476"/>
      <c r="B275" s="478"/>
      <c r="C275" s="478"/>
      <c r="D275" s="482" t="s">
        <v>278</v>
      </c>
      <c r="E275" s="130"/>
      <c r="F275" s="131"/>
      <c r="G275" s="132"/>
      <c r="H275" s="69"/>
      <c r="I275" s="70"/>
      <c r="J275" s="675"/>
      <c r="K275" s="69"/>
      <c r="L275" s="491"/>
      <c r="M275" s="492"/>
      <c r="N275" s="12"/>
      <c r="O275" s="17"/>
      <c r="P275" s="17"/>
      <c r="Q275" s="17"/>
      <c r="R275" s="17"/>
      <c r="S275" s="17"/>
      <c r="T275" s="17"/>
    </row>
    <row r="276" spans="1:20" s="4" customFormat="1" ht="21.75" customHeight="1" x14ac:dyDescent="0.2">
      <c r="A276" s="406"/>
      <c r="B276" s="407"/>
      <c r="C276" s="407"/>
      <c r="D276" s="408"/>
      <c r="E276" s="1223" t="s">
        <v>279</v>
      </c>
      <c r="F276" s="1224"/>
      <c r="G276" s="1225"/>
      <c r="H276" s="586"/>
      <c r="I276" s="700"/>
      <c r="J276" s="701"/>
      <c r="K276" s="587"/>
      <c r="L276" s="588"/>
      <c r="M276" s="589"/>
      <c r="N276" s="6"/>
      <c r="O276" s="5"/>
      <c r="P276" s="42"/>
      <c r="Q276" s="42"/>
      <c r="R276" s="42"/>
      <c r="S276" s="42"/>
      <c r="T276" s="42"/>
    </row>
    <row r="277" spans="1:20" s="4" customFormat="1" ht="26.25" customHeight="1" x14ac:dyDescent="0.2">
      <c r="A277" s="409"/>
      <c r="B277" s="410"/>
      <c r="C277" s="410"/>
      <c r="D277" s="411"/>
      <c r="E277" s="798">
        <v>9</v>
      </c>
      <c r="F277" s="947" t="s">
        <v>280</v>
      </c>
      <c r="G277" s="948"/>
      <c r="H277" s="207"/>
      <c r="I277" s="681"/>
      <c r="J277" s="651"/>
      <c r="K277" s="51"/>
      <c r="L277" s="972" t="s">
        <v>281</v>
      </c>
      <c r="M277" s="975" t="s">
        <v>759</v>
      </c>
      <c r="N277" s="6"/>
      <c r="O277" s="281" t="s">
        <v>565</v>
      </c>
      <c r="P277" s="42"/>
      <c r="Q277" s="42"/>
      <c r="R277" s="42"/>
      <c r="S277" s="42"/>
      <c r="T277" s="42"/>
    </row>
    <row r="278" spans="1:20" s="4" customFormat="1" ht="23.25" customHeight="1" x14ac:dyDescent="0.2">
      <c r="A278" s="338"/>
      <c r="B278" s="339"/>
      <c r="C278" s="340"/>
      <c r="D278" s="341"/>
      <c r="E278" s="52" t="s">
        <v>97</v>
      </c>
      <c r="F278" s="883" t="s">
        <v>282</v>
      </c>
      <c r="G278" s="884"/>
      <c r="H278" s="50">
        <v>3</v>
      </c>
      <c r="I278" s="652">
        <f>IF(AND(OR(A278="x", A278="p"),NOT(OR(B278="n", A279="x", A279="p"))),H278,0)</f>
        <v>0</v>
      </c>
      <c r="J278" s="660">
        <f>IF(AND(OR(D278="m", C278="y"),NOT(D279="m"),NOT(C279="y")),H278,0)</f>
        <v>0</v>
      </c>
      <c r="K278" s="43">
        <f t="shared" ref="K278:K283" si="13">IF(AND(J278&gt;0,C278="y"),H278,0)</f>
        <v>0</v>
      </c>
      <c r="L278" s="927"/>
      <c r="M278" s="940"/>
      <c r="N278" s="6"/>
      <c r="O278" s="198" t="str">
        <f>HYPERLINK("https://www.greenbuilt.org/wp-content/uploads/2017/08/DuctSealing.pdf","Advanced Energy: Duct Sealing")</f>
        <v>Advanced Energy: Duct Sealing</v>
      </c>
      <c r="P278" s="6"/>
      <c r="Q278" s="6"/>
      <c r="R278" s="6"/>
      <c r="S278" s="6"/>
      <c r="T278" s="6"/>
    </row>
    <row r="279" spans="1:20" s="4" customFormat="1" ht="24.75" customHeight="1" x14ac:dyDescent="0.2">
      <c r="A279" s="365"/>
      <c r="B279" s="366"/>
      <c r="C279" s="412"/>
      <c r="D279" s="413"/>
      <c r="E279" s="110" t="s">
        <v>99</v>
      </c>
      <c r="F279" s="857" t="s">
        <v>283</v>
      </c>
      <c r="G279" s="858"/>
      <c r="H279" s="62">
        <v>5</v>
      </c>
      <c r="I279" s="654">
        <f>IF(AND(OR(A279="x", A279="p"),NOT(OR(B279="n", A278="x", A278="p"))),H279,0)</f>
        <v>0</v>
      </c>
      <c r="J279" s="691">
        <f>IF(AND(OR(D279="m", C279="y"),NOT(D278="m"),NOT(C278="y")),H279,0)</f>
        <v>0</v>
      </c>
      <c r="K279" s="43">
        <f t="shared" si="13"/>
        <v>0</v>
      </c>
      <c r="L279" s="928"/>
      <c r="M279" s="946"/>
      <c r="N279" s="6"/>
      <c r="O279" s="6"/>
      <c r="P279" s="6"/>
      <c r="Q279" s="6"/>
      <c r="R279" s="6"/>
      <c r="S279" s="6"/>
      <c r="T279" s="6"/>
    </row>
    <row r="280" spans="1:20" s="4" customFormat="1" ht="14.25" x14ac:dyDescent="0.2">
      <c r="A280" s="317" t="s">
        <v>465</v>
      </c>
      <c r="B280" s="318"/>
      <c r="C280" s="350"/>
      <c r="D280" s="351"/>
      <c r="E280" s="789">
        <v>10</v>
      </c>
      <c r="F280" s="1021" t="s">
        <v>284</v>
      </c>
      <c r="G280" s="888"/>
      <c r="H280" s="206">
        <v>2</v>
      </c>
      <c r="I280" s="44">
        <f>IF(AND(OR(A280="x", A280="p"),NOT(B280="n")),H280,0)</f>
        <v>2</v>
      </c>
      <c r="J280" s="141">
        <f>IF(OR(D280="m", C280="y"),H280,0)</f>
        <v>0</v>
      </c>
      <c r="K280" s="36">
        <f t="shared" si="13"/>
        <v>0</v>
      </c>
      <c r="L280" s="197" t="s">
        <v>77</v>
      </c>
      <c r="M280" s="724" t="s">
        <v>733</v>
      </c>
      <c r="N280" s="6"/>
      <c r="O280" s="198" t="s">
        <v>285</v>
      </c>
      <c r="P280" s="6"/>
      <c r="Q280" s="6"/>
      <c r="R280" s="6"/>
      <c r="S280" s="6"/>
      <c r="T280" s="6"/>
    </row>
    <row r="281" spans="1:20" s="4" customFormat="1" ht="14.25" x14ac:dyDescent="0.2">
      <c r="A281" s="317"/>
      <c r="B281" s="318"/>
      <c r="C281" s="319"/>
      <c r="D281" s="320"/>
      <c r="E281" s="796">
        <v>11</v>
      </c>
      <c r="F281" s="1048" t="s">
        <v>571</v>
      </c>
      <c r="G281" s="922"/>
      <c r="H281" s="40">
        <v>4</v>
      </c>
      <c r="I281" s="44">
        <f>IF(AND(OR(A281="x", A281="p"),NOT(B281="n")),H281,0)</f>
        <v>0</v>
      </c>
      <c r="J281" s="45">
        <f>IF(OR(D281="m", C281="y"),H281,0)</f>
        <v>0</v>
      </c>
      <c r="K281" s="43">
        <f t="shared" si="13"/>
        <v>0</v>
      </c>
      <c r="L281" s="25" t="s">
        <v>77</v>
      </c>
      <c r="M281" s="284"/>
      <c r="N281" s="6"/>
      <c r="O281" s="5"/>
      <c r="P281" s="42"/>
      <c r="Q281" s="42"/>
      <c r="R281" s="42"/>
      <c r="S281" s="42"/>
      <c r="T281" s="42"/>
    </row>
    <row r="282" spans="1:20" s="4" customFormat="1" ht="40.5" customHeight="1" x14ac:dyDescent="0.2">
      <c r="A282" s="317"/>
      <c r="B282" s="318"/>
      <c r="C282" s="325"/>
      <c r="D282" s="326"/>
      <c r="E282" s="793">
        <v>12</v>
      </c>
      <c r="F282" s="1025" t="s">
        <v>701</v>
      </c>
      <c r="G282" s="922"/>
      <c r="H282" s="127">
        <v>3</v>
      </c>
      <c r="I282" s="44">
        <f>IF(AND(OR(A282="x", A282="p"),NOT(B282="n")),H282,0)</f>
        <v>0</v>
      </c>
      <c r="J282" s="45">
        <f>IF(OR(D282="m", C282="y"),H282,0)</f>
        <v>0</v>
      </c>
      <c r="K282" s="43">
        <f t="shared" si="13"/>
        <v>0</v>
      </c>
      <c r="L282" s="25" t="s">
        <v>286</v>
      </c>
      <c r="M282" s="283"/>
      <c r="N282" s="5"/>
      <c r="O282" s="198"/>
      <c r="T282" s="5"/>
    </row>
    <row r="283" spans="1:20" s="4" customFormat="1" ht="14.25" x14ac:dyDescent="0.2">
      <c r="A283" s="317" t="s">
        <v>465</v>
      </c>
      <c r="B283" s="318"/>
      <c r="C283" s="319"/>
      <c r="D283" s="320"/>
      <c r="E283" s="793">
        <v>13</v>
      </c>
      <c r="F283" s="1025" t="s">
        <v>287</v>
      </c>
      <c r="G283" s="922"/>
      <c r="H283" s="127">
        <v>2</v>
      </c>
      <c r="I283" s="44">
        <f>IF(AND(OR(A283="x", A283="p"),NOT(B283="n")),H283,0)</f>
        <v>2</v>
      </c>
      <c r="J283" s="45">
        <f>IF(OR(D283="m", C283="y"),H283,0)</f>
        <v>0</v>
      </c>
      <c r="K283" s="43">
        <f t="shared" si="13"/>
        <v>0</v>
      </c>
      <c r="L283" s="25" t="s">
        <v>288</v>
      </c>
      <c r="M283" s="284" t="s">
        <v>733</v>
      </c>
      <c r="N283" s="5"/>
      <c r="O283" s="1249"/>
      <c r="P283" s="930"/>
      <c r="Q283" s="930"/>
      <c r="R283" s="5"/>
      <c r="S283" s="5"/>
      <c r="T283" s="5"/>
    </row>
    <row r="284" spans="1:20" s="4" customFormat="1" ht="14.25" x14ac:dyDescent="0.2">
      <c r="A284" s="335"/>
      <c r="B284" s="336"/>
      <c r="C284" s="336"/>
      <c r="D284" s="337"/>
      <c r="E284" s="156">
        <v>14</v>
      </c>
      <c r="F284" s="887" t="s">
        <v>289</v>
      </c>
      <c r="G284" s="888"/>
      <c r="H284" s="206"/>
      <c r="I284" s="140">
        <f>IF(AND(OR(A284="x", A284="p"),NOT(B284="n")),H284,0)</f>
        <v>0</v>
      </c>
      <c r="J284" s="141"/>
      <c r="K284" s="43"/>
      <c r="L284" s="865" t="s">
        <v>77</v>
      </c>
      <c r="M284" s="868" t="s">
        <v>733</v>
      </c>
      <c r="N284" s="5"/>
      <c r="O284" s="5"/>
      <c r="P284" s="5"/>
      <c r="Q284" s="5"/>
      <c r="R284" s="5"/>
      <c r="S284" s="5"/>
      <c r="T284" s="5"/>
    </row>
    <row r="285" spans="1:20" s="4" customFormat="1" ht="14.25" x14ac:dyDescent="0.2">
      <c r="A285" s="338"/>
      <c r="B285" s="339"/>
      <c r="C285" s="340"/>
      <c r="D285" s="341"/>
      <c r="E285" s="52" t="s">
        <v>97</v>
      </c>
      <c r="F285" s="883" t="s">
        <v>290</v>
      </c>
      <c r="G285" s="884"/>
      <c r="H285" s="50">
        <v>1</v>
      </c>
      <c r="I285" s="652">
        <f>IF(AND(OR(A285="x", A285="p"),NOT(OR(B285="n", A286="x", A286="p", A287="x", A287="p"))),H285,0)</f>
        <v>0</v>
      </c>
      <c r="J285" s="660">
        <f>IF(AND(OR(D285="m", C285="y"),NOT(D286="m"),NOT(C286="y"),NOT(D287="m"),NOT(C287="y")),H285,0)</f>
        <v>0</v>
      </c>
      <c r="K285" s="43">
        <f>IF(AND(J285&gt;0,C285="y"),H285,0)</f>
        <v>0</v>
      </c>
      <c r="L285" s="927"/>
      <c r="M285" s="940"/>
      <c r="N285" s="5"/>
      <c r="O285" s="198" t="s">
        <v>291</v>
      </c>
      <c r="P285" s="6"/>
      <c r="Q285" s="6"/>
      <c r="R285" s="6"/>
      <c r="S285" s="6"/>
      <c r="T285" s="6"/>
    </row>
    <row r="286" spans="1:20" s="4" customFormat="1" ht="14.25" x14ac:dyDescent="0.2">
      <c r="A286" s="305" t="s">
        <v>465</v>
      </c>
      <c r="B286" s="306"/>
      <c r="C286" s="412"/>
      <c r="D286" s="413"/>
      <c r="E286" s="52" t="s">
        <v>99</v>
      </c>
      <c r="F286" s="1300" t="s">
        <v>292</v>
      </c>
      <c r="G286" s="884"/>
      <c r="H286" s="50">
        <v>3</v>
      </c>
      <c r="I286" s="652">
        <f>IF(AND(OR(A286="x", A286="p"),NOT(OR(B286="n", A285="x", A285="p", A287="x", A287="p"))),H286,0)</f>
        <v>3</v>
      </c>
      <c r="J286" s="660">
        <f>IF(AND(OR(D286="m", C286="y"),NOT(D287="m"),NOT(C287="y"),NOT(D285="m"),NOT(C285="y")),H286,0)</f>
        <v>0</v>
      </c>
      <c r="K286" s="43">
        <f>IF(AND(J286&gt;0,C286="y"),H286,0)</f>
        <v>0</v>
      </c>
      <c r="L286" s="927"/>
      <c r="M286" s="940"/>
      <c r="N286" s="5"/>
      <c r="O286" s="5"/>
      <c r="P286" s="5"/>
      <c r="Q286" s="5"/>
      <c r="R286" s="5"/>
      <c r="S286" s="5"/>
      <c r="T286" s="5"/>
    </row>
    <row r="287" spans="1:20" s="4" customFormat="1" ht="14.25" x14ac:dyDescent="0.2">
      <c r="A287" s="313"/>
      <c r="B287" s="314"/>
      <c r="C287" s="414"/>
      <c r="D287" s="415"/>
      <c r="E287" s="118" t="s">
        <v>101</v>
      </c>
      <c r="F287" s="1301" t="s">
        <v>293</v>
      </c>
      <c r="G287" s="899"/>
      <c r="H287" s="72">
        <v>1</v>
      </c>
      <c r="I287" s="702">
        <f>IF(AND(OR(A287="x", A287="p"),NOT(OR(B287="n", A285="x", A285="p", A286="x", A286="p"))),H287,0)</f>
        <v>0</v>
      </c>
      <c r="J287" s="665">
        <f>IF(AND(OR(D287="m", C287="y"),NOT(D285="m"),NOT(C285="y"),NOT(D286="m"),NOT(C286="y")),H287,0)</f>
        <v>0</v>
      </c>
      <c r="K287" s="43">
        <f>IF(AND(J287&gt;0,C287="y"),H287,0)</f>
        <v>0</v>
      </c>
      <c r="L287" s="928"/>
      <c r="M287" s="946"/>
      <c r="N287" s="5"/>
      <c r="O287" s="5"/>
      <c r="P287" s="5"/>
      <c r="Q287" s="5"/>
      <c r="R287" s="5"/>
      <c r="S287" s="5"/>
      <c r="T287" s="5"/>
    </row>
    <row r="288" spans="1:20" s="4" customFormat="1" ht="25.5" x14ac:dyDescent="0.2">
      <c r="A288" s="317"/>
      <c r="B288" s="318"/>
      <c r="C288" s="319"/>
      <c r="D288" s="320"/>
      <c r="E288" s="793">
        <v>15</v>
      </c>
      <c r="F288" s="1025" t="s">
        <v>294</v>
      </c>
      <c r="G288" s="922"/>
      <c r="H288" s="127">
        <v>2</v>
      </c>
      <c r="I288" s="44">
        <f>IF(AND(OR(A288="x", A288="p"),NOT(B288="n")),H288,0)</f>
        <v>0</v>
      </c>
      <c r="J288" s="45">
        <f>IF(OR(D288="m", C288="y"),H288,0)</f>
        <v>0</v>
      </c>
      <c r="K288" s="43">
        <f>IF(AND(J288&gt;0,C288="y"),H288,0)</f>
        <v>0</v>
      </c>
      <c r="L288" s="25" t="s">
        <v>295</v>
      </c>
      <c r="M288" s="283"/>
      <c r="N288" s="5"/>
      <c r="O288" s="977" t="s">
        <v>296</v>
      </c>
      <c r="P288" s="930"/>
      <c r="Q288" s="930"/>
      <c r="R288" s="930"/>
      <c r="S288" s="5"/>
      <c r="T288" s="5"/>
    </row>
    <row r="289" spans="1:20" s="4" customFormat="1" ht="22.5" customHeight="1" x14ac:dyDescent="0.2">
      <c r="A289" s="373"/>
      <c r="B289" s="374"/>
      <c r="C289" s="374"/>
      <c r="D289" s="375"/>
      <c r="E289" s="1252" t="s">
        <v>297</v>
      </c>
      <c r="F289" s="1253"/>
      <c r="G289" s="1272"/>
      <c r="H289" s="578"/>
      <c r="I289" s="682"/>
      <c r="J289" s="683"/>
      <c r="K289" s="579"/>
      <c r="L289" s="580"/>
      <c r="M289" s="581"/>
      <c r="N289" s="5"/>
      <c r="O289" s="5"/>
      <c r="P289" s="42"/>
      <c r="Q289" s="42"/>
      <c r="R289" s="42"/>
      <c r="S289" s="5"/>
      <c r="T289" s="5"/>
    </row>
    <row r="290" spans="1:20" s="4" customFormat="1" ht="30" customHeight="1" thickBot="1" x14ac:dyDescent="0.25">
      <c r="A290" s="910"/>
      <c r="B290" s="891"/>
      <c r="C290" s="1288"/>
      <c r="D290" s="1290"/>
      <c r="E290" s="1156">
        <v>16</v>
      </c>
      <c r="F290" s="1195" t="s">
        <v>298</v>
      </c>
      <c r="G290" s="888"/>
      <c r="H290" s="1317" t="s">
        <v>299</v>
      </c>
      <c r="I290" s="1010">
        <f>IF(AND(A290="p",F291&gt;0,NOT(B290="n")), MIN(20,ROUNDDOWN(F291/100*20,0)),0)</f>
        <v>0</v>
      </c>
      <c r="J290" s="1245">
        <f>IF(AND(OR(C290="y",D290="m"),F291&gt;0), MIN(20,ROUNDDOWN(F291/100*20,0)),0)</f>
        <v>0</v>
      </c>
      <c r="K290" s="1026">
        <f>IF(AND(OR(C290="y"),F291&gt;0,), MIN(20,ROUNDDOWN(F291/100*20,0)),0)</f>
        <v>0</v>
      </c>
      <c r="L290" s="865" t="s">
        <v>286</v>
      </c>
      <c r="M290" s="868"/>
      <c r="N290" s="5"/>
      <c r="O290" s="242" t="s">
        <v>300</v>
      </c>
      <c r="S290" s="5"/>
      <c r="T290" s="5"/>
    </row>
    <row r="291" spans="1:20" s="4" customFormat="1" ht="14.25" customHeight="1" thickBot="1" x14ac:dyDescent="0.25">
      <c r="A291" s="1150"/>
      <c r="B291" s="1287"/>
      <c r="C291" s="1289"/>
      <c r="D291" s="1215"/>
      <c r="E291" s="1146"/>
      <c r="F291" s="347"/>
      <c r="G291" s="133" t="s">
        <v>301</v>
      </c>
      <c r="H291" s="940"/>
      <c r="I291" s="937"/>
      <c r="J291" s="939"/>
      <c r="K291" s="927"/>
      <c r="L291" s="927"/>
      <c r="M291" s="1209"/>
      <c r="N291" s="5"/>
      <c r="O291" s="933" t="s">
        <v>302</v>
      </c>
      <c r="P291" s="930"/>
      <c r="Q291" s="930"/>
      <c r="R291" s="930"/>
      <c r="S291" s="5"/>
      <c r="T291" s="5"/>
    </row>
    <row r="292" spans="1:20" s="7" customFormat="1" ht="14.25" customHeight="1" thickBot="1" x14ac:dyDescent="0.3">
      <c r="A292" s="476"/>
      <c r="B292" s="478"/>
      <c r="C292" s="478"/>
      <c r="D292" s="483" t="s">
        <v>303</v>
      </c>
      <c r="E292" s="102"/>
      <c r="F292" s="103"/>
      <c r="G292" s="134"/>
      <c r="H292" s="69"/>
      <c r="I292" s="70"/>
      <c r="J292" s="675"/>
      <c r="K292" s="76"/>
      <c r="L292" s="491"/>
      <c r="M292" s="492"/>
      <c r="N292" s="12"/>
      <c r="O292" s="12"/>
      <c r="P292" s="497"/>
      <c r="Q292" s="12"/>
      <c r="R292" s="12"/>
      <c r="S292" s="12"/>
      <c r="T292" s="12"/>
    </row>
    <row r="293" spans="1:20" s="4" customFormat="1" ht="14.25" x14ac:dyDescent="0.2">
      <c r="A293" s="317"/>
      <c r="B293" s="318"/>
      <c r="C293" s="325"/>
      <c r="D293" s="326"/>
      <c r="E293" s="793">
        <v>17</v>
      </c>
      <c r="F293" s="1025" t="s">
        <v>304</v>
      </c>
      <c r="G293" s="922"/>
      <c r="H293" s="127">
        <v>2</v>
      </c>
      <c r="I293" s="44">
        <f>IF(AND(OR(A293="x", A293="p"),NOT(B293="n")),H293,0)</f>
        <v>0</v>
      </c>
      <c r="J293" s="45">
        <f>IF(OR(D293="m", C293="y"),H293,0)</f>
        <v>0</v>
      </c>
      <c r="K293" s="43">
        <f>IF(AND(J293&gt;0,C293="y"),H293,0)</f>
        <v>0</v>
      </c>
      <c r="L293" s="25" t="s">
        <v>305</v>
      </c>
      <c r="M293" s="283"/>
      <c r="N293" s="5"/>
      <c r="O293" s="198" t="str">
        <f>HYPERLINK("https://www.energystar.gov/ia/partners/bldrs_lenders_raters/downloads/ENERGY_STAR_V3_HVAC_Quality_Installation_Guidebook_2.21.2011.pdf","ENERGY STAR HVAC Guidebook")</f>
        <v>ENERGY STAR HVAC Guidebook</v>
      </c>
      <c r="P293" s="5"/>
      <c r="Q293" s="5"/>
      <c r="R293" s="5"/>
      <c r="S293" s="5"/>
      <c r="T293" s="5"/>
    </row>
    <row r="294" spans="1:20" s="4" customFormat="1" x14ac:dyDescent="0.25">
      <c r="A294" s="348" t="s">
        <v>465</v>
      </c>
      <c r="B294" s="349"/>
      <c r="C294" s="350"/>
      <c r="D294" s="351"/>
      <c r="E294" s="792">
        <v>18</v>
      </c>
      <c r="F294" s="1025" t="s">
        <v>306</v>
      </c>
      <c r="G294" s="922"/>
      <c r="H294" s="202">
        <v>3</v>
      </c>
      <c r="I294" s="658">
        <f>IF(AND(OR(A294="x", A294="p"),NOT(B294="n")),H294,0)</f>
        <v>3</v>
      </c>
      <c r="J294" s="141">
        <f>IF(OR(D294="m", C294="y"),H294,0)</f>
        <v>0</v>
      </c>
      <c r="K294" s="36">
        <f>IF(AND(J294&gt;0,C294="y"),H294,0)</f>
        <v>0</v>
      </c>
      <c r="L294" s="197" t="s">
        <v>307</v>
      </c>
      <c r="M294" s="724" t="s">
        <v>733</v>
      </c>
      <c r="N294" s="5"/>
      <c r="O294" s="1429" t="str">
        <f>HYPERLINK("https://basc.pnnl.gov/library/ecm-motors-overview","ECM Motors Overview")</f>
        <v>ECM Motors Overview</v>
      </c>
      <c r="P294" s="930"/>
      <c r="Q294" s="930"/>
      <c r="R294" s="42"/>
      <c r="S294" s="5"/>
      <c r="T294" s="5"/>
    </row>
    <row r="295" spans="1:20" s="4" customFormat="1" x14ac:dyDescent="0.2">
      <c r="A295" s="348" t="s">
        <v>465</v>
      </c>
      <c r="B295" s="349"/>
      <c r="C295" s="350"/>
      <c r="D295" s="351"/>
      <c r="E295" s="792">
        <v>19</v>
      </c>
      <c r="F295" s="1025" t="s">
        <v>308</v>
      </c>
      <c r="G295" s="922"/>
      <c r="H295" s="202">
        <v>2</v>
      </c>
      <c r="I295" s="658">
        <f>IF(AND(OR(A295="x", A295="p"),NOT(B295="n")),H295,0)</f>
        <v>2</v>
      </c>
      <c r="J295" s="141">
        <f>IF(OR(D295="m", C295="y"),H295,0)</f>
        <v>0</v>
      </c>
      <c r="K295" s="36">
        <f>IF(AND(J295&gt;0,C295="y"),H295,0)</f>
        <v>0</v>
      </c>
      <c r="L295" s="197" t="s">
        <v>77</v>
      </c>
      <c r="M295" s="724" t="s">
        <v>733</v>
      </c>
      <c r="N295" s="5"/>
      <c r="O295" s="750"/>
      <c r="P295" s="6"/>
      <c r="Q295" s="6"/>
      <c r="R295" s="6"/>
      <c r="S295" s="6"/>
      <c r="T295" s="6"/>
    </row>
    <row r="296" spans="1:20" s="4" customFormat="1" ht="15" customHeight="1" x14ac:dyDescent="0.2">
      <c r="A296" s="335"/>
      <c r="B296" s="336"/>
      <c r="C296" s="336"/>
      <c r="D296" s="337"/>
      <c r="E296" s="156">
        <v>20</v>
      </c>
      <c r="F296" s="887" t="s">
        <v>309</v>
      </c>
      <c r="G296" s="888"/>
      <c r="H296" s="206"/>
      <c r="I296" s="140"/>
      <c r="J296" s="141"/>
      <c r="K296" s="43"/>
      <c r="L296" s="865" t="s">
        <v>310</v>
      </c>
      <c r="M296" s="868" t="s">
        <v>760</v>
      </c>
      <c r="N296" s="5"/>
      <c r="O296" s="5"/>
      <c r="P296" s="5"/>
      <c r="Q296" s="5"/>
      <c r="R296" s="5"/>
      <c r="S296" s="5"/>
      <c r="T296" s="5"/>
    </row>
    <row r="297" spans="1:20" s="4" customFormat="1" ht="15" customHeight="1" x14ac:dyDescent="0.2">
      <c r="A297" s="338"/>
      <c r="B297" s="339"/>
      <c r="C297" s="340"/>
      <c r="D297" s="341"/>
      <c r="E297" s="52" t="s">
        <v>97</v>
      </c>
      <c r="F297" s="886" t="s">
        <v>670</v>
      </c>
      <c r="G297" s="858"/>
      <c r="H297" s="50">
        <v>2</v>
      </c>
      <c r="I297" s="652">
        <f>IF(AND(OR(A297="x", A297="p"),NOT(OR(B297="n", A298="x", A298="p"))),H297,0)</f>
        <v>0</v>
      </c>
      <c r="J297" s="660">
        <f>IF(AND(OR(D297="m", C297="y"),NOT(D298="m"),NOT(C298="y")),H297,0)</f>
        <v>0</v>
      </c>
      <c r="K297" s="43">
        <f>IF(AND(J297&gt;0,C297="y"),H297,0)</f>
        <v>0</v>
      </c>
      <c r="L297" s="927"/>
      <c r="M297" s="1257"/>
      <c r="N297" s="6"/>
      <c r="O297" s="6"/>
      <c r="P297" s="6"/>
      <c r="Q297" s="6"/>
      <c r="R297" s="6"/>
      <c r="S297" s="6"/>
      <c r="T297" s="6"/>
    </row>
    <row r="298" spans="1:20" s="4" customFormat="1" ht="14.25" customHeight="1" x14ac:dyDescent="0.2">
      <c r="A298" s="305"/>
      <c r="B298" s="306"/>
      <c r="C298" s="307"/>
      <c r="D298" s="308"/>
      <c r="E298" s="98" t="s">
        <v>99</v>
      </c>
      <c r="F298" s="886" t="s">
        <v>671</v>
      </c>
      <c r="G298" s="858"/>
      <c r="H298" s="72">
        <v>3</v>
      </c>
      <c r="I298" s="661">
        <f>IF(AND(OR(A298="x", A298="p"),NOT(OR(B298="n", A297="x", A297="p"))),H298,0)</f>
        <v>0</v>
      </c>
      <c r="J298" s="662">
        <f>IF(AND(OR(D298="m", C298="y"),NOT(D297="m"),NOT(C297="y")),H298,0)</f>
        <v>0</v>
      </c>
      <c r="K298" s="43">
        <f>IF(AND(J298&gt;0,C298="y"),H298,0)</f>
        <v>0</v>
      </c>
      <c r="L298" s="928"/>
      <c r="M298" s="1258"/>
      <c r="N298" s="6"/>
      <c r="O298" s="6"/>
      <c r="P298" s="6"/>
      <c r="Q298" s="6"/>
      <c r="R298" s="6"/>
      <c r="S298" s="6"/>
      <c r="T298" s="6"/>
    </row>
    <row r="299" spans="1:20" s="4" customFormat="1" ht="14.25" x14ac:dyDescent="0.2">
      <c r="A299" s="409"/>
      <c r="B299" s="410"/>
      <c r="C299" s="410"/>
      <c r="D299" s="411"/>
      <c r="E299" s="156">
        <v>21</v>
      </c>
      <c r="F299" s="1195" t="s">
        <v>311</v>
      </c>
      <c r="G299" s="888"/>
      <c r="H299" s="207"/>
      <c r="I299" s="678"/>
      <c r="J299" s="651"/>
      <c r="K299" s="51"/>
      <c r="L299" s="972" t="s">
        <v>77</v>
      </c>
      <c r="M299" s="975" t="s">
        <v>752</v>
      </c>
      <c r="N299" s="6"/>
      <c r="O299" s="6"/>
      <c r="P299" s="6"/>
      <c r="Q299" s="6"/>
      <c r="R299" s="6"/>
      <c r="S299" s="6"/>
      <c r="T299" s="6"/>
    </row>
    <row r="300" spans="1:20" s="4" customFormat="1" ht="14.25" x14ac:dyDescent="0.2">
      <c r="A300" s="338" t="s">
        <v>465</v>
      </c>
      <c r="B300" s="339"/>
      <c r="C300" s="340" t="s">
        <v>787</v>
      </c>
      <c r="D300" s="341"/>
      <c r="E300" s="52" t="s">
        <v>97</v>
      </c>
      <c r="F300" s="883" t="s">
        <v>672</v>
      </c>
      <c r="G300" s="884"/>
      <c r="H300" s="50">
        <v>1</v>
      </c>
      <c r="I300" s="652">
        <f>IF(AND(OR(A300="x", A300="p"),NOT(OR(B300="n", A301="x", A301="p"))),H300,0)</f>
        <v>1</v>
      </c>
      <c r="J300" s="660">
        <f>IF(AND(OR(D300="m", C300="y"),NOT(D301="m"),NOT(C301="y")),H300,0)</f>
        <v>1</v>
      </c>
      <c r="K300" s="43">
        <f>IF(AND(J300&gt;0,C300="y"),H300,0)</f>
        <v>1</v>
      </c>
      <c r="L300" s="927"/>
      <c r="M300" s="1257"/>
      <c r="N300" s="6"/>
      <c r="O300" s="933" t="s">
        <v>312</v>
      </c>
      <c r="P300" s="930"/>
      <c r="Q300" s="6"/>
      <c r="R300" s="6"/>
      <c r="S300" s="6"/>
      <c r="T300" s="6"/>
    </row>
    <row r="301" spans="1:20" s="4" customFormat="1" ht="14.25" x14ac:dyDescent="0.2">
      <c r="A301" s="313"/>
      <c r="B301" s="314"/>
      <c r="C301" s="412"/>
      <c r="D301" s="413"/>
      <c r="E301" s="110" t="s">
        <v>99</v>
      </c>
      <c r="F301" s="883" t="s">
        <v>673</v>
      </c>
      <c r="G301" s="884"/>
      <c r="H301" s="50">
        <v>2</v>
      </c>
      <c r="I301" s="652">
        <f>IF(AND(OR(A301="x", A301="p"),NOT(OR(B301="n", A300="x", A300="p"))),H301,0)</f>
        <v>0</v>
      </c>
      <c r="J301" s="660">
        <f>IF(AND(OR(D301="m", C301="y"),NOT(D300="m"),NOT(C300="y")),H301,0)</f>
        <v>0</v>
      </c>
      <c r="K301" s="43">
        <f>IF(AND(J301&gt;0,C301="y"),H301,0)</f>
        <v>0</v>
      </c>
      <c r="L301" s="928"/>
      <c r="M301" s="1258"/>
      <c r="N301" s="6"/>
      <c r="O301" s="6"/>
      <c r="P301" s="6"/>
      <c r="Q301" s="6"/>
      <c r="R301" s="6"/>
      <c r="S301" s="6"/>
      <c r="T301" s="6"/>
    </row>
    <row r="302" spans="1:20" s="4" customFormat="1" ht="15" customHeight="1" x14ac:dyDescent="0.2">
      <c r="A302" s="335"/>
      <c r="B302" s="336"/>
      <c r="C302" s="336"/>
      <c r="D302" s="337"/>
      <c r="E302" s="156">
        <v>22</v>
      </c>
      <c r="F302" s="887" t="s">
        <v>313</v>
      </c>
      <c r="G302" s="888"/>
      <c r="H302" s="206"/>
      <c r="I302" s="140"/>
      <c r="J302" s="141"/>
      <c r="K302" s="43"/>
      <c r="L302" s="865" t="s">
        <v>310</v>
      </c>
      <c r="M302" s="868" t="s">
        <v>761</v>
      </c>
      <c r="N302" s="5"/>
      <c r="O302" s="5"/>
      <c r="P302" s="5"/>
      <c r="Q302" s="5"/>
      <c r="R302" s="5"/>
      <c r="S302" s="5"/>
      <c r="T302" s="5"/>
    </row>
    <row r="303" spans="1:20" s="4" customFormat="1" ht="24.75" customHeight="1" x14ac:dyDescent="0.2">
      <c r="A303" s="338"/>
      <c r="B303" s="339"/>
      <c r="C303" s="340"/>
      <c r="D303" s="341"/>
      <c r="E303" s="52" t="s">
        <v>97</v>
      </c>
      <c r="F303" s="886" t="s">
        <v>721</v>
      </c>
      <c r="G303" s="858"/>
      <c r="H303" s="50">
        <v>1</v>
      </c>
      <c r="I303" s="652">
        <f>IF(AND(OR(A303="x", A303="p"),NOT(OR(B303="n", A304="x", A304="p", A305="x", A305="p",A306="p",A306="x"))),H303,0)</f>
        <v>0</v>
      </c>
      <c r="J303" s="660">
        <f>IF(AND(OR(D303="m",C303="y"),NOT(D304="m"),NOT(C304="y"),NOT(C305="y")*NOT(D305="m"),NOT(C306="y"),NOT(D306="m")),H303,0)</f>
        <v>0</v>
      </c>
      <c r="K303" s="43">
        <f>IF(AND(J303&gt;0,C303="y"),H303,0)</f>
        <v>0</v>
      </c>
      <c r="L303" s="866"/>
      <c r="M303" s="869"/>
      <c r="N303" s="6"/>
      <c r="O303" s="6"/>
      <c r="P303" s="6"/>
      <c r="Q303" s="6"/>
      <c r="R303" s="6"/>
      <c r="S303" s="6"/>
      <c r="T303" s="6"/>
    </row>
    <row r="304" spans="1:20" s="4" customFormat="1" ht="28.5" customHeight="1" x14ac:dyDescent="0.2">
      <c r="A304" s="305" t="s">
        <v>465</v>
      </c>
      <c r="B304" s="306"/>
      <c r="C304" s="307" t="s">
        <v>787</v>
      </c>
      <c r="D304" s="308"/>
      <c r="E304" s="98" t="s">
        <v>99</v>
      </c>
      <c r="F304" s="886" t="s">
        <v>722</v>
      </c>
      <c r="G304" s="858"/>
      <c r="H304" s="50">
        <v>3</v>
      </c>
      <c r="I304" s="652">
        <f>IF(AND(OR(A304="x", A304="p"),NOT(OR(B304="n", A303="x", A303="p", A305="x", A305="p",A306="p",A306="x"))),H304,0)</f>
        <v>3</v>
      </c>
      <c r="J304" s="660">
        <f>IF(AND(OR(D304="m", C304="y"),NOT(D303="m"),NOT(C303="y"),NOT(C305="y")*NOT(D305="m"),NOT(C306="y"),NOT(D306="m")),H304,0)</f>
        <v>3</v>
      </c>
      <c r="K304" s="43">
        <f>IF(AND(J304&gt;0,C304="y"),H304,0)</f>
        <v>3</v>
      </c>
      <c r="L304" s="866"/>
      <c r="M304" s="869"/>
      <c r="N304" s="6"/>
      <c r="O304" s="6"/>
      <c r="P304" s="6"/>
      <c r="Q304" s="6"/>
      <c r="R304" s="6"/>
      <c r="S304" s="6"/>
      <c r="T304" s="6"/>
    </row>
    <row r="305" spans="1:20" s="4" customFormat="1" ht="25.5" customHeight="1" x14ac:dyDescent="0.2">
      <c r="A305" s="365"/>
      <c r="B305" s="366"/>
      <c r="C305" s="367"/>
      <c r="D305" s="368"/>
      <c r="E305" s="110" t="s">
        <v>101</v>
      </c>
      <c r="F305" s="1299" t="s">
        <v>723</v>
      </c>
      <c r="G305" s="858"/>
      <c r="H305" s="50">
        <v>5</v>
      </c>
      <c r="I305" s="652">
        <f>IF(AND(OR(A305="x", A305="p"),NOT(OR(B305="n", A304="x", A304="p", A303="x", A303="p",A306="p",A306="x"))),H305,0)</f>
        <v>0</v>
      </c>
      <c r="J305" s="660">
        <f>IF(AND(OR(D305="m", C305="y"),NOT(D304="m"),NOT(C304="y"),NOT(C303="y")*NOT(D303="m"),NOT(C306="y"),NOT(D306="m")),H305,0)</f>
        <v>0</v>
      </c>
      <c r="K305" s="43">
        <f>IF(AND(J305&gt;0,C305="y"),H305,0)</f>
        <v>0</v>
      </c>
      <c r="L305" s="866"/>
      <c r="M305" s="869"/>
      <c r="N305" s="6"/>
      <c r="O305" s="6"/>
      <c r="P305" s="6"/>
      <c r="Q305" s="6"/>
      <c r="R305" s="6"/>
      <c r="S305" s="6"/>
      <c r="T305" s="6"/>
    </row>
    <row r="306" spans="1:20" s="474" customFormat="1" ht="15" customHeight="1" thickBot="1" x14ac:dyDescent="0.25">
      <c r="A306" s="799"/>
      <c r="B306" s="800"/>
      <c r="C306" s="801"/>
      <c r="D306" s="802"/>
      <c r="E306" s="803" t="s">
        <v>103</v>
      </c>
      <c r="F306" s="863" t="s">
        <v>717</v>
      </c>
      <c r="G306" s="864"/>
      <c r="H306" s="804">
        <v>7</v>
      </c>
      <c r="I306" s="805">
        <f>IF(AND(OR(A306="x", A306="p"),NOT(OR(B306="n", A305="x", A305="p", A303="x", A303="p",A304="p",A304="x"))),H306,0)</f>
        <v>0</v>
      </c>
      <c r="J306" s="806">
        <f>IF(AND(OR(D306="m", C306="y"),NOT(D305="m"),NOT(C305="y"),NOT(C304="y")*NOT(D304="m"),NOT(C303="y"),NOT(D303="m")),H306,0)</f>
        <v>0</v>
      </c>
      <c r="K306" s="807"/>
      <c r="L306" s="867"/>
      <c r="M306" s="870"/>
      <c r="N306" s="471"/>
      <c r="O306" s="471"/>
      <c r="P306" s="471"/>
      <c r="Q306" s="471"/>
      <c r="R306" s="471"/>
      <c r="S306" s="471"/>
      <c r="T306" s="471"/>
    </row>
    <row r="307" spans="1:20" s="4" customFormat="1" thickBot="1" x14ac:dyDescent="0.25">
      <c r="A307" s="409"/>
      <c r="B307" s="410"/>
      <c r="C307" s="410"/>
      <c r="D307" s="411"/>
      <c r="E307" s="847">
        <v>23</v>
      </c>
      <c r="F307" s="1302" t="s">
        <v>540</v>
      </c>
      <c r="G307" s="1303"/>
      <c r="H307" s="529"/>
      <c r="I307" s="140"/>
      <c r="J307" s="141"/>
      <c r="K307" s="531"/>
      <c r="L307" s="865" t="s">
        <v>77</v>
      </c>
      <c r="M307" s="1430" t="s">
        <v>762</v>
      </c>
      <c r="N307" s="5"/>
      <c r="O307" s="977"/>
      <c r="P307" s="930"/>
      <c r="Q307" s="930"/>
      <c r="R307" s="930"/>
      <c r="S307" s="930"/>
      <c r="T307" s="6"/>
    </row>
    <row r="308" spans="1:20" s="4" customFormat="1" ht="27.6" customHeight="1" x14ac:dyDescent="0.2">
      <c r="A308" s="514" t="s">
        <v>465</v>
      </c>
      <c r="B308" s="515"/>
      <c r="C308" s="516" t="s">
        <v>787</v>
      </c>
      <c r="D308" s="517"/>
      <c r="E308" s="518"/>
      <c r="F308" s="422">
        <v>15.3</v>
      </c>
      <c r="G308" s="808" t="s">
        <v>724</v>
      </c>
      <c r="H308" s="510" t="s">
        <v>158</v>
      </c>
      <c r="I308" s="703">
        <f>IF(AND(A308="p",NOT(B308="n"),NOT(F308=""),F308&gt;14),MIN(10,ROUNDDOWN(((F308-14)),0)),0)</f>
        <v>1</v>
      </c>
      <c r="J308" s="704">
        <f>IF(AND(OR(C308="y",D308="m"),NOT(D308="N"),F308&gt;14),MIN(38,ROUNDDOWN(((F308-14)),0)),0)</f>
        <v>1</v>
      </c>
      <c r="K308" s="43">
        <f>IF(AND(J308&gt;0,C308="y"),J308,0)</f>
        <v>1</v>
      </c>
      <c r="L308" s="866"/>
      <c r="M308" s="875"/>
      <c r="N308" s="6"/>
      <c r="O308" s="750"/>
      <c r="P308" s="6"/>
      <c r="Q308" s="6"/>
      <c r="R308" s="6"/>
      <c r="S308" s="6"/>
      <c r="T308" s="6"/>
    </row>
    <row r="309" spans="1:20" s="4" customFormat="1" ht="24.95" customHeight="1" x14ac:dyDescent="0.2">
      <c r="A309" s="524"/>
      <c r="B309" s="525"/>
      <c r="C309" s="526"/>
      <c r="D309" s="527"/>
      <c r="E309" s="528"/>
      <c r="F309" s="746"/>
      <c r="G309" s="747" t="s">
        <v>715</v>
      </c>
      <c r="H309" s="530" t="s">
        <v>647</v>
      </c>
      <c r="I309" s="705">
        <f>IF(AND(A309="p",NOT(B309="n"),NOT(F309=""),F309&gt;13),MIN(14,ROUND(((F309*0.4923)+0.9077),0)),0)</f>
        <v>0</v>
      </c>
      <c r="J309" s="706">
        <f>IF(AND(OR(C309="y",D309="m"),NOT(F309=""),F309&gt;13),MIN(14,ROUNDDOWN(((F309-3)/2),0)),0)</f>
        <v>0</v>
      </c>
      <c r="K309" s="43">
        <f>IF(AND(J309&gt;0,C309="y"),J309,0)</f>
        <v>0</v>
      </c>
      <c r="L309" s="867"/>
      <c r="M309" s="876"/>
      <c r="N309" s="6"/>
      <c r="O309" s="977" t="str">
        <f>HYPERLINK("https://www.energy.gov/energysaver/heat-and-cool/heat-pump-systems/geothermal-heat-pumps","Geothermal Heat Pumps")</f>
        <v>Geothermal Heat Pumps</v>
      </c>
      <c r="P309" s="930"/>
      <c r="Q309" s="930"/>
      <c r="R309" s="930"/>
      <c r="S309" s="6"/>
      <c r="T309" s="6"/>
    </row>
    <row r="310" spans="1:20" s="4" customFormat="1" ht="25.5" customHeight="1" thickBot="1" x14ac:dyDescent="0.25">
      <c r="A310" s="519"/>
      <c r="B310" s="520"/>
      <c r="C310" s="521"/>
      <c r="D310" s="522"/>
      <c r="E310" s="848">
        <v>24</v>
      </c>
      <c r="F310" s="1291" t="s">
        <v>151</v>
      </c>
      <c r="G310" s="1292"/>
      <c r="H310" s="523" t="s">
        <v>152</v>
      </c>
      <c r="I310" s="44">
        <f>IF(AND(OR(A310="x", A310="p"),NOT(B310="n"), H310&lt;=7),H310,0)</f>
        <v>0</v>
      </c>
      <c r="J310" s="707">
        <f>IF(AND(OR(D310="m", C310="y"), H310&lt;=7),H310,0)</f>
        <v>0</v>
      </c>
      <c r="K310" s="43">
        <f t="shared" ref="K310" si="14">IF(AND(J310&gt;0,C310="y"),H310,0)</f>
        <v>0</v>
      </c>
      <c r="L310" s="85" t="s">
        <v>195</v>
      </c>
      <c r="M310" s="361"/>
      <c r="N310" s="6"/>
      <c r="S310" s="6"/>
      <c r="T310" s="6"/>
    </row>
    <row r="311" spans="1:20" s="4" customFormat="1" ht="14.25" customHeight="1" thickTop="1" thickBot="1" x14ac:dyDescent="0.3">
      <c r="A311" s="1183" t="s">
        <v>315</v>
      </c>
      <c r="B311" s="1184"/>
      <c r="C311" s="1184"/>
      <c r="D311" s="1184"/>
      <c r="E311" s="1184"/>
      <c r="F311" s="1184"/>
      <c r="G311" s="1184"/>
      <c r="H311" s="1185"/>
      <c r="I311" s="666">
        <f>SUM(I265:I310)</f>
        <v>17</v>
      </c>
      <c r="J311" s="666">
        <f>SUM(J265:J310)</f>
        <v>5</v>
      </c>
      <c r="K311" s="64">
        <f>SUM(K265:K310)</f>
        <v>5</v>
      </c>
      <c r="L311" s="119"/>
      <c r="M311" s="120"/>
      <c r="N311" s="6"/>
      <c r="O311" s="6"/>
      <c r="P311" s="6"/>
      <c r="Q311" s="6"/>
      <c r="R311" s="6"/>
      <c r="S311" s="6"/>
      <c r="T311" s="6"/>
    </row>
    <row r="312" spans="1:20" s="456" customFormat="1" ht="35.1" customHeight="1" thickTop="1" thickBot="1" x14ac:dyDescent="0.25">
      <c r="A312" s="862" t="s">
        <v>58</v>
      </c>
      <c r="B312" s="862"/>
      <c r="C312" s="862"/>
      <c r="D312" s="862"/>
      <c r="E312" s="862"/>
      <c r="F312" s="862"/>
      <c r="G312" s="862"/>
      <c r="H312" s="862"/>
      <c r="I312" s="862"/>
      <c r="J312" s="862"/>
      <c r="K312" s="862"/>
      <c r="L312" s="862"/>
      <c r="M312" s="862"/>
      <c r="O312" s="290"/>
      <c r="P312" s="290"/>
      <c r="Q312" s="290"/>
      <c r="R312" s="290"/>
      <c r="S312" s="290"/>
      <c r="T312" s="290"/>
    </row>
    <row r="313" spans="1:20" s="4" customFormat="1" ht="12.75" customHeight="1" thickBot="1" x14ac:dyDescent="0.3">
      <c r="A313" s="26"/>
      <c r="B313" s="27"/>
      <c r="C313" s="28"/>
      <c r="D313" s="29"/>
      <c r="E313" s="1293" t="s">
        <v>316</v>
      </c>
      <c r="F313" s="1294"/>
      <c r="G313" s="1295"/>
      <c r="H313" s="879" t="s">
        <v>87</v>
      </c>
      <c r="I313" s="1005" t="s">
        <v>88</v>
      </c>
      <c r="J313" s="1006"/>
      <c r="K313" s="569"/>
      <c r="L313" s="1007" t="s">
        <v>89</v>
      </c>
      <c r="M313" s="1008" t="s">
        <v>154</v>
      </c>
      <c r="O313" s="5"/>
      <c r="P313" s="5"/>
      <c r="Q313" s="5"/>
      <c r="R313" s="5"/>
      <c r="S313" s="5"/>
      <c r="T313" s="5"/>
    </row>
    <row r="314" spans="1:20" s="4" customFormat="1" ht="14.25" customHeight="1" thickBot="1" x14ac:dyDescent="0.25">
      <c r="A314" s="30" t="s">
        <v>0</v>
      </c>
      <c r="B314" s="31" t="s">
        <v>1</v>
      </c>
      <c r="C314" s="32" t="s">
        <v>91</v>
      </c>
      <c r="D314" s="33" t="s">
        <v>92</v>
      </c>
      <c r="E314" s="1296"/>
      <c r="F314" s="1297"/>
      <c r="G314" s="1298"/>
      <c r="H314" s="880"/>
      <c r="I314" s="649" t="s">
        <v>93</v>
      </c>
      <c r="J314" s="650" t="s">
        <v>94</v>
      </c>
      <c r="K314" s="570"/>
      <c r="L314" s="915"/>
      <c r="M314" s="1009"/>
      <c r="O314" s="6"/>
      <c r="P314" s="5"/>
      <c r="Q314" s="5"/>
      <c r="R314" s="5"/>
      <c r="S314" s="5"/>
      <c r="T314" s="5"/>
    </row>
    <row r="315" spans="1:20" s="7" customFormat="1" ht="14.25" customHeight="1" thickBot="1" x14ac:dyDescent="0.3">
      <c r="A315" s="475"/>
      <c r="B315" s="35"/>
      <c r="C315" s="35"/>
      <c r="D315" s="484" t="s">
        <v>317</v>
      </c>
      <c r="E315" s="121"/>
      <c r="F315" s="122"/>
      <c r="G315" s="123"/>
      <c r="H315" s="69"/>
      <c r="I315" s="573"/>
      <c r="J315" s="695"/>
      <c r="K315" s="71"/>
      <c r="L315" s="859"/>
      <c r="M315" s="860"/>
      <c r="N315" s="12"/>
      <c r="O315" s="12"/>
      <c r="P315" s="12"/>
      <c r="Q315" s="12"/>
      <c r="R315" s="12"/>
      <c r="S315" s="12"/>
      <c r="T315" s="12"/>
    </row>
    <row r="316" spans="1:20" s="4" customFormat="1" ht="13.5" customHeight="1" x14ac:dyDescent="0.2">
      <c r="A316" s="135"/>
      <c r="B316" s="159"/>
      <c r="C316" s="159"/>
      <c r="D316" s="49"/>
      <c r="E316" s="156">
        <v>1</v>
      </c>
      <c r="F316" s="885" t="s">
        <v>522</v>
      </c>
      <c r="G316" s="882"/>
      <c r="H316" s="206"/>
      <c r="I316" s="140"/>
      <c r="J316" s="141"/>
      <c r="K316" s="43"/>
      <c r="L316" s="865" t="s">
        <v>318</v>
      </c>
      <c r="M316" s="1431" t="s">
        <v>763</v>
      </c>
      <c r="N316" s="6"/>
      <c r="O316" s="6"/>
      <c r="P316" s="6"/>
      <c r="Q316" s="6"/>
      <c r="R316" s="6"/>
      <c r="S316" s="6"/>
      <c r="T316" s="6"/>
    </row>
    <row r="317" spans="1:20" s="4" customFormat="1" ht="14.25" customHeight="1" x14ac:dyDescent="0.2">
      <c r="A317" s="306" t="s">
        <v>465</v>
      </c>
      <c r="B317" s="306"/>
      <c r="C317" s="416" t="s">
        <v>787</v>
      </c>
      <c r="D317" s="417"/>
      <c r="E317" s="52" t="s">
        <v>97</v>
      </c>
      <c r="F317" s="886" t="s">
        <v>319</v>
      </c>
      <c r="G317" s="858"/>
      <c r="H317" s="137">
        <v>1</v>
      </c>
      <c r="I317" s="652">
        <f>IF(AND(OR(A317="x", A317="p"),NOT(OR(B317="n", A318="x", A318="p"))),H317,0)</f>
        <v>1</v>
      </c>
      <c r="J317" s="660">
        <f>IF(AND(OR(D317="m", C317="y"),NOT(D318="m"),NOT(C318="y")),H317,0)</f>
        <v>1</v>
      </c>
      <c r="K317" s="43">
        <f>IF(AND(J317&gt;0,C317="y"),H317,0)</f>
        <v>1</v>
      </c>
      <c r="L317" s="927"/>
      <c r="M317" s="940"/>
      <c r="N317" s="6"/>
      <c r="O317" s="977" t="s">
        <v>320</v>
      </c>
      <c r="P317" s="930"/>
      <c r="Q317" s="930"/>
      <c r="R317" s="930"/>
      <c r="S317" s="6"/>
      <c r="T317" s="6"/>
    </row>
    <row r="318" spans="1:20" s="4" customFormat="1" ht="14.25" customHeight="1" x14ac:dyDescent="0.2">
      <c r="A318" s="321"/>
      <c r="B318" s="322"/>
      <c r="C318" s="323"/>
      <c r="D318" s="324"/>
      <c r="E318" s="118" t="s">
        <v>99</v>
      </c>
      <c r="F318" s="1227" t="s">
        <v>321</v>
      </c>
      <c r="G318" s="899"/>
      <c r="H318" s="50">
        <v>3</v>
      </c>
      <c r="I318" s="661">
        <f>IF(AND(OR(A318="x", A318="p"),NOT(OR(B318="n", A317="x", A317="p"))),H318,0)</f>
        <v>0</v>
      </c>
      <c r="J318" s="662">
        <f>IF(AND(OR(D318="m", C318="y"),NOT(D317="m"),NOT(C317="y")),H318,0)</f>
        <v>0</v>
      </c>
      <c r="K318" s="43">
        <f>IF(AND(J318&gt;0,C318="y"),H318,0)</f>
        <v>0</v>
      </c>
      <c r="L318" s="927"/>
      <c r="M318" s="946"/>
      <c r="N318" s="6"/>
      <c r="O318" s="6"/>
      <c r="P318" s="6"/>
      <c r="Q318" s="6"/>
      <c r="R318" s="6"/>
      <c r="S318" s="6"/>
      <c r="T318" s="6"/>
    </row>
    <row r="319" spans="1:20" s="4" customFormat="1" ht="15" customHeight="1" x14ac:dyDescent="0.2">
      <c r="A319" s="772"/>
      <c r="B319" s="773"/>
      <c r="C319" s="774"/>
      <c r="D319" s="775"/>
      <c r="E319" s="821">
        <v>2</v>
      </c>
      <c r="F319" s="1285" t="s">
        <v>714</v>
      </c>
      <c r="G319" s="1286"/>
      <c r="H319" s="779"/>
      <c r="I319" s="689"/>
      <c r="J319" s="690"/>
      <c r="K319" s="43">
        <f>IF(AND(J319&gt;0,C319="y"),H319,0)</f>
        <v>0</v>
      </c>
      <c r="L319" s="865" t="s">
        <v>323</v>
      </c>
      <c r="M319" s="874"/>
      <c r="N319" s="6"/>
      <c r="O319" s="933" t="s">
        <v>324</v>
      </c>
      <c r="P319" s="930"/>
      <c r="Q319" s="930"/>
      <c r="R319" s="930"/>
      <c r="S319" s="5"/>
      <c r="T319" s="5"/>
    </row>
    <row r="320" spans="1:20" s="4" customFormat="1" ht="15" customHeight="1" x14ac:dyDescent="0.2">
      <c r="A320" s="305"/>
      <c r="B320" s="306"/>
      <c r="C320" s="771"/>
      <c r="D320" s="308"/>
      <c r="E320" s="777" t="s">
        <v>97</v>
      </c>
      <c r="F320" s="871" t="s">
        <v>322</v>
      </c>
      <c r="G320" s="872"/>
      <c r="H320" s="778">
        <v>2</v>
      </c>
      <c r="I320" s="652">
        <f>IF(AND(OR(A320="x", A320="p"),NOT(OR(B320="n", A321="x", A321="p"))),H320,0)</f>
        <v>0</v>
      </c>
      <c r="J320" s="780">
        <f>IF(AND(OR(D320="m", C320="y"),NOT(D321="m"),NOT(C321="y")),H320,0)</f>
        <v>0</v>
      </c>
      <c r="K320" s="754"/>
      <c r="L320" s="866"/>
      <c r="M320" s="875"/>
      <c r="N320" s="6"/>
      <c r="O320" s="242"/>
      <c r="S320" s="5"/>
      <c r="T320" s="5"/>
    </row>
    <row r="321" spans="1:20" s="819" customFormat="1" ht="15" customHeight="1" x14ac:dyDescent="0.2">
      <c r="A321" s="809"/>
      <c r="B321" s="810"/>
      <c r="C321" s="811"/>
      <c r="D321" s="812"/>
      <c r="E321" s="803" t="s">
        <v>99</v>
      </c>
      <c r="F321" s="863" t="s">
        <v>713</v>
      </c>
      <c r="G321" s="873"/>
      <c r="H321" s="813">
        <v>3</v>
      </c>
      <c r="I321" s="814">
        <f>IF(AND(OR(A321="x", A321="p"),NOT(OR(B321="n", A320="x", A320="p"))),H321,0)</f>
        <v>0</v>
      </c>
      <c r="J321" s="815">
        <f>IF(AND(OR(D321="m", C321="y"),NOT(D320="m"),NOT(C320="y")),H321,0)</f>
        <v>0</v>
      </c>
      <c r="K321" s="816"/>
      <c r="L321" s="867"/>
      <c r="M321" s="876"/>
      <c r="N321" s="817"/>
      <c r="O321" s="818"/>
      <c r="S321" s="820"/>
      <c r="T321" s="820"/>
    </row>
    <row r="322" spans="1:20" s="4" customFormat="1" ht="15" customHeight="1" x14ac:dyDescent="0.2">
      <c r="A322" s="317"/>
      <c r="B322" s="318"/>
      <c r="C322" s="319"/>
      <c r="D322" s="320"/>
      <c r="E322" s="793">
        <v>3</v>
      </c>
      <c r="F322" s="1025" t="s">
        <v>325</v>
      </c>
      <c r="G322" s="922"/>
      <c r="H322" s="127">
        <v>1</v>
      </c>
      <c r="I322" s="44">
        <f>IF(AND(OR(A322="x", A322="p"),NOT(B322="n")),H322,0)</f>
        <v>0</v>
      </c>
      <c r="J322" s="45">
        <f>IF(OR(D322="m", C322="y"),H322,0)</f>
        <v>0</v>
      </c>
      <c r="K322" s="43">
        <f>IF(AND(J322&gt;0,C322="y"),H322,0)</f>
        <v>0</v>
      </c>
      <c r="L322" s="25" t="s">
        <v>323</v>
      </c>
      <c r="M322" s="284"/>
      <c r="N322" s="6"/>
      <c r="O322" s="1397"/>
      <c r="P322" s="930"/>
      <c r="Q322" s="930"/>
      <c r="R322" s="5"/>
      <c r="S322" s="5"/>
      <c r="T322" s="5"/>
    </row>
    <row r="323" spans="1:20" s="4" customFormat="1" ht="15" customHeight="1" x14ac:dyDescent="0.2">
      <c r="A323" s="335"/>
      <c r="B323" s="336"/>
      <c r="C323" s="336"/>
      <c r="D323" s="337"/>
      <c r="E323" s="156">
        <v>4</v>
      </c>
      <c r="F323" s="1021" t="s">
        <v>326</v>
      </c>
      <c r="G323" s="888"/>
      <c r="H323" s="206"/>
      <c r="I323" s="140"/>
      <c r="J323" s="141"/>
      <c r="K323" s="43"/>
      <c r="L323" s="865" t="s">
        <v>318</v>
      </c>
      <c r="M323" s="868" t="s">
        <v>764</v>
      </c>
      <c r="N323" s="5"/>
      <c r="O323" s="5"/>
      <c r="P323" s="6"/>
      <c r="Q323" s="6"/>
      <c r="R323" s="6"/>
      <c r="S323" s="6"/>
      <c r="T323" s="6"/>
    </row>
    <row r="324" spans="1:20" s="4" customFormat="1" ht="15" customHeight="1" x14ac:dyDescent="0.2">
      <c r="A324" s="338"/>
      <c r="B324" s="339"/>
      <c r="C324" s="340"/>
      <c r="D324" s="341"/>
      <c r="E324" s="138" t="s">
        <v>97</v>
      </c>
      <c r="F324" s="883" t="s">
        <v>327</v>
      </c>
      <c r="G324" s="884"/>
      <c r="H324" s="62">
        <v>2</v>
      </c>
      <c r="I324" s="652">
        <f>IF(AND(OR(A324="x", A324="p"),NOT(OR(B324="n", A325="x", A325="p", A326="x", A326="p", A327="x", A327="p"))),H324,0)</f>
        <v>0</v>
      </c>
      <c r="J324" s="691">
        <f>IF(AND(OR(D324="m", C324="y"),NOT(D325="m"),NOT(C325="y"),NOT(D326="m"),NOT(C326="y"),NOT(D327="m"),NOT(C327="y")),H324,0)</f>
        <v>0</v>
      </c>
      <c r="K324" s="43">
        <f>IF(AND(J324&gt;0,C324="y"),H324,0)</f>
        <v>0</v>
      </c>
      <c r="L324" s="927"/>
      <c r="M324" s="940"/>
      <c r="N324" s="6"/>
      <c r="O324" s="977" t="s">
        <v>328</v>
      </c>
      <c r="P324" s="930"/>
      <c r="Q324" s="930"/>
      <c r="R324" s="930"/>
      <c r="S324" s="6"/>
      <c r="T324" s="6"/>
    </row>
    <row r="325" spans="1:20" s="4" customFormat="1" ht="15" customHeight="1" x14ac:dyDescent="0.2">
      <c r="A325" s="305"/>
      <c r="B325" s="306"/>
      <c r="C325" s="307"/>
      <c r="D325" s="308"/>
      <c r="E325" s="138" t="s">
        <v>99</v>
      </c>
      <c r="F325" s="883" t="s">
        <v>329</v>
      </c>
      <c r="G325" s="884"/>
      <c r="H325" s="50">
        <v>3</v>
      </c>
      <c r="I325" s="652">
        <f>IF(AND(OR(A325="x", A325="p"),NOT(OR(B325="n", A324="x", A324="p", A326="x", A326="p", A327="x", A327="p"))),H325,0)</f>
        <v>0</v>
      </c>
      <c r="J325" s="660">
        <f>IF(AND(OR(D325="m", C325="y"),NOT(D326="m"),NOT(C326="y"),NOT(D327="m"),NOT(C327="y"),NOT(D324="m"),NOT(C324="y")),H325,0)</f>
        <v>0</v>
      </c>
      <c r="K325" s="43">
        <f>IF(AND(J325&gt;0,C325="y"),H325,0)</f>
        <v>0</v>
      </c>
      <c r="L325" s="927"/>
      <c r="M325" s="940"/>
      <c r="N325" s="6"/>
      <c r="O325" s="977" t="s">
        <v>330</v>
      </c>
      <c r="P325" s="930"/>
      <c r="Q325" s="930"/>
      <c r="R325" s="930"/>
      <c r="S325" s="6"/>
      <c r="T325" s="6"/>
    </row>
    <row r="326" spans="1:20" s="4" customFormat="1" ht="15" customHeight="1" x14ac:dyDescent="0.2">
      <c r="A326" s="305"/>
      <c r="B326" s="306"/>
      <c r="C326" s="307"/>
      <c r="D326" s="308"/>
      <c r="E326" s="138" t="s">
        <v>101</v>
      </c>
      <c r="F326" s="1300" t="s">
        <v>331</v>
      </c>
      <c r="G326" s="884"/>
      <c r="H326" s="50">
        <v>4</v>
      </c>
      <c r="I326" s="652">
        <f>IF(AND(OR(A326="x", A326="p"),NOT(OR(B326="n", A324="x", A324="p", A325="x", A325="p", A327="x", A327="p"))),H326,0)</f>
        <v>0</v>
      </c>
      <c r="J326" s="660">
        <f>IF(AND(OR(D326="m", C326="y"),NOT(D324="m"),NOT(C324="y"),NOT(D325="m"),NOT(C325="y"),NOT(D327="m"),NOT(C327="y")),H326,0)</f>
        <v>0</v>
      </c>
      <c r="K326" s="43">
        <f>IF(AND(J326&gt;0,C326="y"),H326,0)</f>
        <v>0</v>
      </c>
      <c r="L326" s="927"/>
      <c r="M326" s="940"/>
      <c r="N326" s="6"/>
      <c r="O326" s="929"/>
      <c r="P326" s="930"/>
      <c r="Q326" s="930"/>
      <c r="R326" s="930"/>
      <c r="S326" s="6"/>
      <c r="T326" s="6"/>
    </row>
    <row r="327" spans="1:20" s="4" customFormat="1" ht="15" customHeight="1" x14ac:dyDescent="0.2">
      <c r="A327" s="305" t="s">
        <v>465</v>
      </c>
      <c r="B327" s="306"/>
      <c r="C327" s="307" t="s">
        <v>787</v>
      </c>
      <c r="D327" s="308"/>
      <c r="E327" s="138" t="s">
        <v>103</v>
      </c>
      <c r="F327" s="1399" t="s">
        <v>332</v>
      </c>
      <c r="G327" s="884"/>
      <c r="H327" s="62">
        <v>5</v>
      </c>
      <c r="I327" s="652">
        <f>IF(AND(OR(A327="x", A327="p"),NOT(OR(B327="n", A324="x", A324="p", A325="x", A325="p", A326="x", A326="p"))),H327,0)</f>
        <v>5</v>
      </c>
      <c r="J327" s="660">
        <f>IF(AND(OR(D327="m", C327="y"),NOT(D324="m"),NOT(C324="y"),NOT(D325="m"),NOT(C325="y"),NOT(D326="m"),NOT(C326="y")),H327,0)</f>
        <v>5</v>
      </c>
      <c r="K327" s="43">
        <f>IF(AND(J327&gt;0,C327="y"),H327,0)</f>
        <v>5</v>
      </c>
      <c r="L327" s="927"/>
      <c r="M327" s="940"/>
      <c r="N327" s="6"/>
      <c r="O327" s="6"/>
      <c r="P327" s="6"/>
      <c r="Q327" s="6"/>
      <c r="R327" s="6"/>
      <c r="S327" s="6"/>
      <c r="T327" s="6"/>
    </row>
    <row r="328" spans="1:20" s="4" customFormat="1" ht="14.25" customHeight="1" x14ac:dyDescent="0.2">
      <c r="A328" s="321"/>
      <c r="B328" s="322"/>
      <c r="C328" s="323"/>
      <c r="D328" s="324"/>
      <c r="E328" s="139" t="s">
        <v>168</v>
      </c>
      <c r="F328" s="1400" t="s">
        <v>333</v>
      </c>
      <c r="G328" s="899"/>
      <c r="H328" s="72">
        <v>6</v>
      </c>
      <c r="I328" s="702">
        <f>IF(AND(OR(A328="x", A328="p"),NOT(OR(B328="n", A325="x", A325="p", A326="x", A326="p", A327="x", A327="p"))),H328,0)</f>
        <v>0</v>
      </c>
      <c r="J328" s="657">
        <f>IF(AND(OR(D328="m", C328="y"),NOT(D325="m"),NOT(C325="y"),NOT(D326="m"),NOT(C326="y"),NOT(D327="m"),NOT(C327="y")),H328,0)</f>
        <v>0</v>
      </c>
      <c r="K328" s="43">
        <f>IF(AND(J328&gt;0,C328="y"),H328,0)</f>
        <v>0</v>
      </c>
      <c r="L328" s="928"/>
      <c r="M328" s="946"/>
      <c r="N328" s="6"/>
      <c r="O328" s="6"/>
      <c r="P328" s="6"/>
      <c r="Q328" s="6"/>
      <c r="R328" s="6"/>
      <c r="S328" s="6"/>
      <c r="T328" s="6"/>
    </row>
    <row r="329" spans="1:20" s="4" customFormat="1" ht="14.25" customHeight="1" x14ac:dyDescent="0.2">
      <c r="A329" s="335"/>
      <c r="B329" s="336"/>
      <c r="C329" s="336"/>
      <c r="D329" s="337"/>
      <c r="E329" s="156">
        <v>5</v>
      </c>
      <c r="F329" s="887" t="s">
        <v>334</v>
      </c>
      <c r="G329" s="888"/>
      <c r="H329" s="206"/>
      <c r="I329" s="140"/>
      <c r="J329" s="141"/>
      <c r="K329" s="43"/>
      <c r="L329" s="865" t="s">
        <v>77</v>
      </c>
      <c r="M329" s="874"/>
      <c r="N329" s="6"/>
      <c r="O329" s="929"/>
      <c r="P329" s="930"/>
      <c r="Q329" s="930"/>
      <c r="R329" s="930"/>
      <c r="S329" s="6"/>
      <c r="T329" s="6"/>
    </row>
    <row r="330" spans="1:20" s="4" customFormat="1" ht="15" customHeight="1" x14ac:dyDescent="0.2">
      <c r="A330" s="338"/>
      <c r="B330" s="339"/>
      <c r="C330" s="340"/>
      <c r="D330" s="341"/>
      <c r="E330" s="52" t="s">
        <v>97</v>
      </c>
      <c r="F330" s="883" t="s">
        <v>335</v>
      </c>
      <c r="G330" s="884"/>
      <c r="H330" s="50">
        <v>2</v>
      </c>
      <c r="I330" s="652">
        <f>IF(AND(OR(A330="x", A330="p"),NOT(OR(B330="n", A331="x", A331="p"))),H330,0)</f>
        <v>0</v>
      </c>
      <c r="J330" s="660">
        <f>IF(AND(OR(D330="m", C330="y"),NOT(D331="m"),NOT(C331="y")),H330,0)</f>
        <v>0</v>
      </c>
      <c r="K330" s="43">
        <f>IF(AND(J330&gt;0,C330="y"),H330,0)</f>
        <v>0</v>
      </c>
      <c r="L330" s="927"/>
      <c r="M330" s="940"/>
      <c r="N330" s="6"/>
      <c r="O330" s="6"/>
      <c r="P330" s="6"/>
      <c r="Q330" s="6"/>
      <c r="R330" s="6"/>
      <c r="S330" s="6"/>
      <c r="T330" s="6"/>
    </row>
    <row r="331" spans="1:20" s="4" customFormat="1" ht="14.25" customHeight="1" x14ac:dyDescent="0.2">
      <c r="A331" s="342"/>
      <c r="B331" s="343"/>
      <c r="C331" s="344"/>
      <c r="D331" s="345"/>
      <c r="E331" s="118" t="s">
        <v>99</v>
      </c>
      <c r="F331" s="1301" t="s">
        <v>336</v>
      </c>
      <c r="G331" s="899"/>
      <c r="H331" s="72">
        <v>5</v>
      </c>
      <c r="I331" s="661">
        <f>IF(AND(OR(A331="x", A331="p"),NOT(OR(B331="n", A330="x", A330="p"))),H331,0)</f>
        <v>0</v>
      </c>
      <c r="J331" s="662">
        <f>IF(AND(OR(D331="m", C331="y"),NOT(D330="m"),NOT(C330="y")),H331,0)</f>
        <v>0</v>
      </c>
      <c r="K331" s="43">
        <f>IF(AND(J331&gt;0,C331="y"),H331,0)</f>
        <v>0</v>
      </c>
      <c r="L331" s="928"/>
      <c r="M331" s="946"/>
      <c r="N331" s="6"/>
      <c r="O331" s="6"/>
      <c r="P331" s="6"/>
      <c r="Q331" s="6"/>
      <c r="R331" s="6"/>
      <c r="S331" s="6"/>
      <c r="T331" s="6"/>
    </row>
    <row r="332" spans="1:20" s="4" customFormat="1" ht="38.25" customHeight="1" x14ac:dyDescent="0.2">
      <c r="A332" s="338"/>
      <c r="B332" s="339"/>
      <c r="C332" s="340"/>
      <c r="D332" s="341"/>
      <c r="E332" s="822">
        <v>6</v>
      </c>
      <c r="F332" s="883" t="s">
        <v>337</v>
      </c>
      <c r="G332" s="884"/>
      <c r="H332" s="207">
        <v>4</v>
      </c>
      <c r="I332" s="44">
        <f>IF(AND(OR(A332="x", A332="p"),NOT(B332="n")),H332,0)</f>
        <v>0</v>
      </c>
      <c r="J332" s="45">
        <f>IF(OR(D332="m", C332="y"),H332,0)</f>
        <v>0</v>
      </c>
      <c r="K332" s="43">
        <f>IF(AND(J332&gt;0,C332="y"),H332,0)</f>
        <v>0</v>
      </c>
      <c r="L332" s="199" t="s">
        <v>77</v>
      </c>
      <c r="M332" s="725"/>
      <c r="N332" s="6"/>
      <c r="O332" s="977" t="str">
        <f>HYPERLINK("https://www.epa.gov/sites/production/files/2017-01/documents/ws-homes-hot-water-distribution-guide.pdf","EPA: Efficient Hot Water Delivery")</f>
        <v>EPA: Efficient Hot Water Delivery</v>
      </c>
      <c r="P332" s="930"/>
      <c r="Q332" s="930"/>
      <c r="R332" s="930"/>
      <c r="S332" s="6"/>
      <c r="T332" s="6"/>
    </row>
    <row r="333" spans="1:20" s="4" customFormat="1" ht="22.5" customHeight="1" x14ac:dyDescent="0.2">
      <c r="A333" s="317" t="s">
        <v>465</v>
      </c>
      <c r="B333" s="318"/>
      <c r="C333" s="319" t="s">
        <v>787</v>
      </c>
      <c r="D333" s="320"/>
      <c r="E333" s="823">
        <v>7</v>
      </c>
      <c r="F333" s="1228" t="s">
        <v>338</v>
      </c>
      <c r="G333" s="922"/>
      <c r="H333" s="127">
        <v>2</v>
      </c>
      <c r="I333" s="44">
        <f>IF(AND(OR(A333="x", A333="p"),NOT(B333="n")),H333,0)</f>
        <v>2</v>
      </c>
      <c r="J333" s="45">
        <f>IF(OR(D333="m", C333="y"),H333,0)</f>
        <v>2</v>
      </c>
      <c r="K333" s="43">
        <f>IF(AND(J333&gt;0,C333="y"),H333,0)</f>
        <v>2</v>
      </c>
      <c r="L333" s="25" t="s">
        <v>323</v>
      </c>
      <c r="M333" s="284" t="s">
        <v>733</v>
      </c>
      <c r="N333" s="6"/>
      <c r="O333" s="5"/>
      <c r="P333" s="5"/>
      <c r="Q333" s="5"/>
      <c r="R333" s="5"/>
      <c r="S333" s="5"/>
      <c r="T333" s="5"/>
    </row>
    <row r="334" spans="1:20" s="4" customFormat="1" ht="14.25" customHeight="1" x14ac:dyDescent="0.2">
      <c r="A334" s="335"/>
      <c r="B334" s="336"/>
      <c r="C334" s="336"/>
      <c r="D334" s="337"/>
      <c r="E334" s="797">
        <v>8</v>
      </c>
      <c r="F334" s="1284" t="s">
        <v>635</v>
      </c>
      <c r="G334" s="948"/>
      <c r="H334" s="208"/>
      <c r="I334" s="140"/>
      <c r="J334" s="141"/>
      <c r="K334" s="43"/>
      <c r="L334" s="1315" t="s">
        <v>77</v>
      </c>
      <c r="M334" s="874" t="s">
        <v>765</v>
      </c>
      <c r="N334" s="5"/>
      <c r="O334" s="5"/>
      <c r="P334" s="5"/>
      <c r="Q334" s="5"/>
      <c r="R334" s="5"/>
      <c r="S334" s="5"/>
      <c r="T334" s="5"/>
    </row>
    <row r="335" spans="1:20" s="4" customFormat="1" ht="14.25" customHeight="1" x14ac:dyDescent="0.2">
      <c r="A335" s="338"/>
      <c r="B335" s="339"/>
      <c r="C335" s="340"/>
      <c r="D335" s="341"/>
      <c r="E335" s="182" t="s">
        <v>97</v>
      </c>
      <c r="F335" s="883" t="s">
        <v>633</v>
      </c>
      <c r="G335" s="884"/>
      <c r="H335" s="143">
        <v>3</v>
      </c>
      <c r="I335" s="652">
        <f>IF(AND(OR(A335="x", A335="p"),NOT(OR(B335="n", A336="x", A336="p"))),H335,0)</f>
        <v>0</v>
      </c>
      <c r="J335" s="660">
        <f>IF(AND(OR(D335="m", C335="y"),NOT(D336="m"),NOT(C336="y")),H335,0)</f>
        <v>0</v>
      </c>
      <c r="K335" s="43">
        <f>IF(AND(J335&gt;0,C335="y"),H335,0)</f>
        <v>0</v>
      </c>
      <c r="L335" s="927"/>
      <c r="M335" s="940"/>
      <c r="N335" s="5"/>
      <c r="O335" s="933" t="s">
        <v>339</v>
      </c>
      <c r="P335" s="930"/>
      <c r="Q335" s="5"/>
      <c r="R335" s="5"/>
      <c r="S335" s="5"/>
      <c r="T335" s="5"/>
    </row>
    <row r="336" spans="1:20" s="4" customFormat="1" ht="17.25" customHeight="1" x14ac:dyDescent="0.2">
      <c r="A336" s="305" t="s">
        <v>465</v>
      </c>
      <c r="B336" s="306"/>
      <c r="C336" s="307" t="s">
        <v>787</v>
      </c>
      <c r="D336" s="308"/>
      <c r="E336" s="142" t="s">
        <v>99</v>
      </c>
      <c r="F336" s="1227" t="s">
        <v>634</v>
      </c>
      <c r="G336" s="899"/>
      <c r="H336" s="143">
        <v>5</v>
      </c>
      <c r="I336" s="661">
        <f>IF(AND(OR(A336="x", A336="p"),NOT(OR(B336="n", A335="x", A335="p"))),H336,0)</f>
        <v>5</v>
      </c>
      <c r="J336" s="662">
        <f>IF(AND(OR(D336="m", C336="y"),NOT(D335="m"),NOT(C335="y")),H336,0)</f>
        <v>5</v>
      </c>
      <c r="K336" s="43">
        <f>IF(AND(J336&gt;0,C336="y"),H336,0)</f>
        <v>5</v>
      </c>
      <c r="L336" s="1316"/>
      <c r="M336" s="946"/>
      <c r="N336" s="5"/>
      <c r="O336" s="5"/>
      <c r="P336" s="5"/>
      <c r="Q336" s="5"/>
      <c r="R336" s="5"/>
      <c r="S336" s="5"/>
      <c r="T336" s="5"/>
    </row>
    <row r="337" spans="1:20" s="4" customFormat="1" ht="24.75" customHeight="1" x14ac:dyDescent="0.2">
      <c r="A337" s="335"/>
      <c r="B337" s="336"/>
      <c r="C337" s="336"/>
      <c r="D337" s="337"/>
      <c r="E337" s="824">
        <v>9</v>
      </c>
      <c r="F337" s="1401" t="s">
        <v>585</v>
      </c>
      <c r="G337" s="888"/>
      <c r="H337" s="208"/>
      <c r="I337" s="140"/>
      <c r="J337" s="141"/>
      <c r="K337" s="43"/>
      <c r="L337" s="1315" t="s">
        <v>77</v>
      </c>
      <c r="M337" s="874"/>
      <c r="N337" s="5"/>
      <c r="O337" s="5"/>
      <c r="P337" s="5"/>
      <c r="Q337" s="5"/>
      <c r="R337" s="5"/>
      <c r="S337" s="5"/>
      <c r="T337" s="5"/>
    </row>
    <row r="338" spans="1:20" s="4" customFormat="1" ht="14.25" customHeight="1" x14ac:dyDescent="0.2">
      <c r="A338" s="338"/>
      <c r="B338" s="339"/>
      <c r="C338" s="340"/>
      <c r="D338" s="341"/>
      <c r="E338" s="182" t="s">
        <v>97</v>
      </c>
      <c r="F338" s="883" t="s">
        <v>553</v>
      </c>
      <c r="G338" s="884"/>
      <c r="H338" s="143">
        <v>1</v>
      </c>
      <c r="I338" s="652">
        <f>IF(AND(OR(A338="x", A338="p"),NOT(B338="n")),H338,0)</f>
        <v>0</v>
      </c>
      <c r="J338" s="653">
        <f>IF(OR(D338="m", C338="y"),H338,0)</f>
        <v>0</v>
      </c>
      <c r="K338" s="43">
        <f>IF(AND(J338&gt;0,C338="y"),H338,0)</f>
        <v>0</v>
      </c>
      <c r="L338" s="927"/>
      <c r="M338" s="940"/>
      <c r="N338" s="5"/>
      <c r="O338" s="933" t="str">
        <f>HYPERLINK("http://www.wbdg.org/resources/daylighting.php","Whole Building Design Guide: Daylighting")</f>
        <v>Whole Building Design Guide: Daylighting</v>
      </c>
      <c r="P338" s="930"/>
      <c r="Q338" s="930"/>
      <c r="R338" s="930"/>
      <c r="S338" s="930"/>
      <c r="T338" s="5"/>
    </row>
    <row r="339" spans="1:20" s="4" customFormat="1" ht="14.25" x14ac:dyDescent="0.2">
      <c r="A339" s="305"/>
      <c r="B339" s="306"/>
      <c r="C339" s="307"/>
      <c r="D339" s="308"/>
      <c r="E339" s="205" t="s">
        <v>99</v>
      </c>
      <c r="F339" s="857" t="s">
        <v>554</v>
      </c>
      <c r="G339" s="858"/>
      <c r="H339" s="144">
        <v>1</v>
      </c>
      <c r="I339" s="664">
        <f>IF(AND(OR(A339="x", A339="p"),NOT(B339="n")),H339,0)</f>
        <v>0</v>
      </c>
      <c r="J339" s="688">
        <f>IF(OR(D339="m", C339="y"),H339,0)</f>
        <v>0</v>
      </c>
      <c r="K339" s="43">
        <f>IF(AND(J339&gt;0,C339="y"),H339,0)</f>
        <v>0</v>
      </c>
      <c r="L339" s="1316"/>
      <c r="M339" s="946"/>
      <c r="N339" s="5"/>
      <c r="O339" s="5"/>
      <c r="P339" s="5"/>
      <c r="Q339" s="5"/>
      <c r="R339" s="5"/>
      <c r="S339" s="5"/>
      <c r="T339" s="5"/>
    </row>
    <row r="340" spans="1:20" s="4" customFormat="1" ht="25.5" customHeight="1" thickBot="1" x14ac:dyDescent="0.25">
      <c r="A340" s="335"/>
      <c r="B340" s="336"/>
      <c r="C340" s="336"/>
      <c r="D340" s="337"/>
      <c r="E340" s="797">
        <v>10</v>
      </c>
      <c r="F340" s="1311" t="s">
        <v>340</v>
      </c>
      <c r="G340" s="1342"/>
      <c r="H340" s="1317" t="s">
        <v>341</v>
      </c>
      <c r="I340" s="1010">
        <f>IF(AND(A341="p",F341&gt;0,NOT(B341="n")),MIN(F341,3),0)</f>
        <v>0</v>
      </c>
      <c r="J340" s="1245">
        <f>IF(AND(OR(C341="y",D341="m")),MIN(F341,3),0)</f>
        <v>0</v>
      </c>
      <c r="K340" s="1026">
        <f>IF(AND(OR(C341="y")),MIN(F341,3),0)</f>
        <v>0</v>
      </c>
      <c r="L340" s="1315" t="s">
        <v>77</v>
      </c>
      <c r="M340" s="874"/>
      <c r="N340" s="5"/>
      <c r="O340" s="5"/>
      <c r="P340" s="42"/>
      <c r="Q340" s="42"/>
      <c r="R340" s="5"/>
      <c r="S340" s="5"/>
      <c r="T340" s="5"/>
    </row>
    <row r="341" spans="1:20" s="4" customFormat="1" ht="14.25" x14ac:dyDescent="0.2">
      <c r="A341" s="338"/>
      <c r="B341" s="339"/>
      <c r="C341" s="340"/>
      <c r="D341" s="341"/>
      <c r="E341" s="145"/>
      <c r="F341" s="421">
        <v>0</v>
      </c>
      <c r="G341" s="23" t="s">
        <v>342</v>
      </c>
      <c r="H341" s="940"/>
      <c r="I341" s="952"/>
      <c r="J341" s="1161"/>
      <c r="K341" s="928"/>
      <c r="L341" s="1316"/>
      <c r="M341" s="946"/>
      <c r="N341" s="5"/>
      <c r="O341" s="933" t="s">
        <v>343</v>
      </c>
      <c r="P341" s="930"/>
      <c r="Q341" s="930"/>
      <c r="R341" s="5"/>
      <c r="S341" s="5"/>
      <c r="T341" s="5"/>
    </row>
    <row r="342" spans="1:20" s="4" customFormat="1" ht="24" customHeight="1" x14ac:dyDescent="0.2">
      <c r="A342" s="317"/>
      <c r="B342" s="318"/>
      <c r="C342" s="319"/>
      <c r="D342" s="320"/>
      <c r="E342" s="793">
        <v>11</v>
      </c>
      <c r="F342" s="1195" t="s">
        <v>344</v>
      </c>
      <c r="G342" s="888"/>
      <c r="H342" s="127">
        <v>1</v>
      </c>
      <c r="I342" s="44">
        <f>IF(AND(OR(A342="x", A342="p"),NOT(B342="n")),H342,0)</f>
        <v>0</v>
      </c>
      <c r="J342" s="45">
        <f>IF(OR(D342="m", C342="y"),H342,0)</f>
        <v>0</v>
      </c>
      <c r="K342" s="43">
        <f>IF(AND(J342&gt;0,C342="y"),H342,0)</f>
        <v>0</v>
      </c>
      <c r="L342" s="25" t="s">
        <v>323</v>
      </c>
      <c r="M342" s="284"/>
      <c r="N342" s="5"/>
      <c r="O342" s="1397"/>
      <c r="P342" s="930"/>
      <c r="Q342" s="930"/>
      <c r="R342" s="5"/>
      <c r="S342" s="5"/>
      <c r="T342" s="5"/>
    </row>
    <row r="343" spans="1:20" s="4" customFormat="1" ht="29.25" customHeight="1" x14ac:dyDescent="0.2">
      <c r="A343" s="418"/>
      <c r="B343" s="419"/>
      <c r="C343" s="420"/>
      <c r="D343" s="337"/>
      <c r="E343" s="797">
        <v>12</v>
      </c>
      <c r="F343" s="1311" t="s">
        <v>586</v>
      </c>
      <c r="G343" s="1312"/>
      <c r="H343" s="1317" t="s">
        <v>341</v>
      </c>
      <c r="I343" s="1010">
        <f>IF(AND(A344="p",F344&gt;0,NOT(B344="n")),MIN(F345,3),0)</f>
        <v>0</v>
      </c>
      <c r="J343" s="1245">
        <f>IF(AND(OR(C344="y",D344="m")),MIN(F345,3),0)</f>
        <v>0</v>
      </c>
      <c r="K343" s="1026">
        <f>IF(AND(OR(C344="y")),MIN(F345),0)</f>
        <v>0</v>
      </c>
      <c r="L343" s="1315" t="s">
        <v>77</v>
      </c>
      <c r="M343" s="874"/>
      <c r="N343" s="5"/>
      <c r="O343" s="5"/>
      <c r="P343" s="42"/>
      <c r="Q343" s="42"/>
      <c r="R343" s="5"/>
      <c r="S343" s="5"/>
      <c r="T343" s="5"/>
    </row>
    <row r="344" spans="1:20" s="4" customFormat="1" thickBot="1" x14ac:dyDescent="0.25">
      <c r="A344" s="1149"/>
      <c r="B344" s="1151"/>
      <c r="C344" s="1307"/>
      <c r="D344" s="909"/>
      <c r="E344" s="1309" t="s">
        <v>97</v>
      </c>
      <c r="F344" s="883" t="s">
        <v>555</v>
      </c>
      <c r="G344" s="884"/>
      <c r="H344" s="940"/>
      <c r="I344" s="924"/>
      <c r="J344" s="939"/>
      <c r="K344" s="927"/>
      <c r="L344" s="927"/>
      <c r="M344" s="940"/>
      <c r="N344" s="5"/>
      <c r="O344" s="5"/>
      <c r="P344" s="5"/>
      <c r="Q344" s="5"/>
      <c r="R344" s="5"/>
      <c r="S344" s="5"/>
      <c r="T344" s="5"/>
    </row>
    <row r="345" spans="1:20" s="4" customFormat="1" ht="14.25" x14ac:dyDescent="0.2">
      <c r="A345" s="911"/>
      <c r="B345" s="1304"/>
      <c r="C345" s="1308"/>
      <c r="D345" s="913"/>
      <c r="E345" s="1310"/>
      <c r="F345" s="421">
        <v>0</v>
      </c>
      <c r="G345" s="23" t="s">
        <v>646</v>
      </c>
      <c r="H345" s="940"/>
      <c r="I345" s="1207"/>
      <c r="J345" s="1236"/>
      <c r="K345" s="928"/>
      <c r="L345" s="1316"/>
      <c r="M345" s="940"/>
      <c r="N345" s="5"/>
      <c r="O345" s="198" t="s">
        <v>345</v>
      </c>
      <c r="P345" s="6"/>
      <c r="Q345" s="6"/>
      <c r="R345" s="6"/>
      <c r="S345" s="6"/>
      <c r="T345" s="6"/>
    </row>
    <row r="346" spans="1:20" s="4" customFormat="1" ht="18.75" customHeight="1" x14ac:dyDescent="0.2">
      <c r="A346" s="305"/>
      <c r="B346" s="306"/>
      <c r="C346" s="307"/>
      <c r="D346" s="308"/>
      <c r="E346" s="205" t="s">
        <v>99</v>
      </c>
      <c r="F346" s="857" t="s">
        <v>556</v>
      </c>
      <c r="G346" s="858"/>
      <c r="H346" s="144">
        <v>1</v>
      </c>
      <c r="I346" s="654">
        <f>IF(AND(OR(A346="x", A346="p"),NOT(OR(B346="n", A345="x", A345="p"))),H346,0)</f>
        <v>0</v>
      </c>
      <c r="J346" s="708">
        <f>IF(AND(OR(D346="m", C346="y"),NOT(D345="m"),NOT(C345="y")),H346,0)</f>
        <v>0</v>
      </c>
      <c r="K346" s="43">
        <f>IF(AND(J346&gt;0,C346="y"),H346,0)</f>
        <v>0</v>
      </c>
      <c r="L346" s="5"/>
      <c r="M346" s="940"/>
      <c r="N346" s="5"/>
      <c r="O346" s="5"/>
      <c r="P346" s="5"/>
      <c r="Q346" s="5"/>
      <c r="R346" s="5"/>
      <c r="S346" s="5"/>
      <c r="T346" s="5"/>
    </row>
    <row r="347" spans="1:20" s="4" customFormat="1" ht="22.5" customHeight="1" thickBot="1" x14ac:dyDescent="0.25">
      <c r="A347" s="386"/>
      <c r="B347" s="387"/>
      <c r="C347" s="388"/>
      <c r="D347" s="320"/>
      <c r="E347" s="793">
        <v>13</v>
      </c>
      <c r="F347" s="1025" t="s">
        <v>346</v>
      </c>
      <c r="G347" s="922"/>
      <c r="H347" s="127">
        <v>2</v>
      </c>
      <c r="I347" s="44">
        <f>IF(AND(OR(A347="x", A347="p"),NOT(B347="n")),H347,0)</f>
        <v>0</v>
      </c>
      <c r="J347" s="45">
        <f>IF(OR(D347="m", C347="y"),H347,0)</f>
        <v>0</v>
      </c>
      <c r="K347" s="43">
        <f>IF(AND(J347&gt;0,C347="y"),H347,0)</f>
        <v>0</v>
      </c>
      <c r="L347" s="63" t="s">
        <v>323</v>
      </c>
      <c r="M347" s="346"/>
      <c r="N347" s="5"/>
      <c r="O347" s="5"/>
      <c r="P347" s="42"/>
      <c r="Q347" s="42"/>
      <c r="R347" s="42"/>
      <c r="S347" s="42"/>
      <c r="T347" s="42"/>
    </row>
    <row r="348" spans="1:20" s="7" customFormat="1" ht="14.25" customHeight="1" thickBot="1" x14ac:dyDescent="0.3">
      <c r="A348" s="476"/>
      <c r="B348" s="478"/>
      <c r="C348" s="478"/>
      <c r="D348" s="485" t="s">
        <v>347</v>
      </c>
      <c r="E348" s="146"/>
      <c r="F348" s="147"/>
      <c r="G348" s="254"/>
      <c r="H348" s="69"/>
      <c r="I348" s="70"/>
      <c r="J348" s="659"/>
      <c r="K348" s="71"/>
      <c r="L348" s="859"/>
      <c r="M348" s="860"/>
      <c r="N348" s="12"/>
      <c r="O348" s="12"/>
      <c r="P348" s="12"/>
      <c r="Q348" s="12"/>
      <c r="R348" s="12"/>
      <c r="S348" s="12"/>
      <c r="T348" s="12"/>
    </row>
    <row r="349" spans="1:20" s="4" customFormat="1" ht="47.45" customHeight="1" x14ac:dyDescent="0.2">
      <c r="A349" s="369"/>
      <c r="B349" s="370"/>
      <c r="C349" s="371"/>
      <c r="D349" s="372"/>
      <c r="E349" s="794">
        <v>14</v>
      </c>
      <c r="F349" s="1280" t="s">
        <v>695</v>
      </c>
      <c r="G349" s="1281"/>
      <c r="H349" s="127">
        <v>1</v>
      </c>
      <c r="I349" s="44">
        <f>IF(AND(OR(A349="x", A349="p"),NOT(B349="n")),H349,0)</f>
        <v>0</v>
      </c>
      <c r="J349" s="45">
        <f>IF(OR(D349="m", C349="y"),H349,0)</f>
        <v>0</v>
      </c>
      <c r="K349" s="43">
        <f>IF(AND(J349&gt;0,C349="y"),H349,0)</f>
        <v>0</v>
      </c>
      <c r="L349" s="25" t="s">
        <v>77</v>
      </c>
      <c r="M349" s="284"/>
      <c r="N349" s="5"/>
      <c r="O349" s="5"/>
      <c r="P349" s="5"/>
      <c r="Q349" s="5"/>
      <c r="R349" s="5"/>
      <c r="S349" s="5"/>
      <c r="T349" s="5"/>
    </row>
    <row r="350" spans="1:20" s="4" customFormat="1" ht="72.599999999999994" customHeight="1" x14ac:dyDescent="0.2">
      <c r="A350" s="317" t="s">
        <v>465</v>
      </c>
      <c r="B350" s="318"/>
      <c r="C350" s="319" t="s">
        <v>787</v>
      </c>
      <c r="D350" s="320"/>
      <c r="E350" s="825">
        <v>15</v>
      </c>
      <c r="F350" s="1025" t="s">
        <v>710</v>
      </c>
      <c r="G350" s="922"/>
      <c r="H350" s="148">
        <v>2</v>
      </c>
      <c r="I350" s="44">
        <f>IF(AND(OR(A350="x", A350="p"),NOT(B350="n")),H350,0)</f>
        <v>2</v>
      </c>
      <c r="J350" s="45">
        <f>IF(OR(D350="m", C350="y"),H350,0)</f>
        <v>2</v>
      </c>
      <c r="K350" s="43">
        <f>IF(AND(J350&gt;0,C350="y"),H350,0)</f>
        <v>2</v>
      </c>
      <c r="L350" s="25" t="s">
        <v>77</v>
      </c>
      <c r="M350" s="284" t="s">
        <v>766</v>
      </c>
      <c r="N350" s="5"/>
      <c r="O350" s="750" t="str">
        <f>HYPERLINK("https://www.energystar.gov/partner_resources/residential_new/related_programs/rerh","EPA's Renewable Energy Ready Home Resources")</f>
        <v>EPA's Renewable Energy Ready Home Resources</v>
      </c>
      <c r="P350" s="5"/>
      <c r="Q350" s="5"/>
      <c r="R350" s="5"/>
      <c r="S350" s="5"/>
      <c r="T350" s="5"/>
    </row>
    <row r="351" spans="1:20" s="4" customFormat="1" ht="26.25" customHeight="1" x14ac:dyDescent="0.2">
      <c r="A351" s="335"/>
      <c r="B351" s="336"/>
      <c r="C351" s="336"/>
      <c r="D351" s="337"/>
      <c r="E351" s="826">
        <v>16</v>
      </c>
      <c r="F351" s="935" t="s">
        <v>348</v>
      </c>
      <c r="G351" s="888"/>
      <c r="H351" s="206"/>
      <c r="I351" s="140"/>
      <c r="J351" s="709"/>
      <c r="K351" s="43"/>
      <c r="L351" s="865" t="s">
        <v>349</v>
      </c>
      <c r="M351" s="874" t="s">
        <v>789</v>
      </c>
      <c r="N351" s="5"/>
      <c r="O351" s="198" t="s">
        <v>350</v>
      </c>
      <c r="P351" s="6"/>
      <c r="Q351" s="6"/>
      <c r="R351" s="6"/>
      <c r="S351" s="6"/>
      <c r="T351" s="6"/>
    </row>
    <row r="352" spans="1:20" s="4" customFormat="1" ht="15.75" customHeight="1" thickBot="1" x14ac:dyDescent="0.25">
      <c r="A352" s="910" t="s">
        <v>465</v>
      </c>
      <c r="B352" s="891"/>
      <c r="C352" s="893" t="s">
        <v>787</v>
      </c>
      <c r="D352" s="894"/>
      <c r="E352" s="1046" t="s">
        <v>97</v>
      </c>
      <c r="F352" s="857" t="s">
        <v>351</v>
      </c>
      <c r="G352" s="858"/>
      <c r="H352" s="1313" t="s">
        <v>352</v>
      </c>
      <c r="I352" s="1204">
        <f>IF(AND(A352="p",F352&gt;0,NOT(B352="n"),ISNUMBER(F353)), MIN(75,ROUNDDOWN(F353/100*75,0)),0)</f>
        <v>57</v>
      </c>
      <c r="J352" s="1306">
        <f>IF(AND(OR(C352="y",D352="m"),F353&gt;0,ISNUMBER(F353)), MIN(75,ROUNDDOWN(F353/100*75,0)),0)</f>
        <v>57</v>
      </c>
      <c r="K352" s="1026">
        <f>IF(AND(OR(C352="y"),F352&gt;0,ISNUMBER(F353)), MIN(75,ROUNDDOWN(F353/100*75,0)),0)</f>
        <v>57</v>
      </c>
      <c r="L352" s="927"/>
      <c r="M352" s="1257"/>
      <c r="N352" s="6"/>
      <c r="O352" s="977" t="s">
        <v>353</v>
      </c>
      <c r="P352" s="930"/>
      <c r="Q352" s="930"/>
      <c r="R352" s="930"/>
      <c r="S352" s="6"/>
      <c r="T352" s="6"/>
    </row>
    <row r="353" spans="1:20" s="4" customFormat="1" ht="18.75" customHeight="1" x14ac:dyDescent="0.2">
      <c r="A353" s="911"/>
      <c r="B353" s="912"/>
      <c r="C353" s="912"/>
      <c r="D353" s="913"/>
      <c r="E353" s="1305"/>
      <c r="F353" s="532">
        <v>76.239999999999995</v>
      </c>
      <c r="G353" s="149" t="s">
        <v>354</v>
      </c>
      <c r="H353" s="1314"/>
      <c r="I353" s="1207"/>
      <c r="J353" s="939"/>
      <c r="K353" s="928"/>
      <c r="L353" s="927"/>
      <c r="M353" s="1257"/>
      <c r="N353" s="6"/>
      <c r="O353" s="929"/>
      <c r="P353" s="930"/>
      <c r="Q353" s="930"/>
      <c r="R353" s="6"/>
      <c r="S353" s="6"/>
      <c r="T353" s="6"/>
    </row>
    <row r="354" spans="1:20" s="4" customFormat="1" ht="39.75" customHeight="1" x14ac:dyDescent="0.2">
      <c r="A354" s="342"/>
      <c r="B354" s="343"/>
      <c r="C354" s="344"/>
      <c r="D354" s="345"/>
      <c r="E354" s="107" t="s">
        <v>99</v>
      </c>
      <c r="F354" s="1319" t="s">
        <v>355</v>
      </c>
      <c r="G354" s="919"/>
      <c r="H354" s="72">
        <v>5</v>
      </c>
      <c r="I354" s="661">
        <f t="shared" ref="I354:I359" si="15">IF(AND(OR(A354="x", A354="p"),NOT(B354="n")),H354,0)</f>
        <v>0</v>
      </c>
      <c r="J354" s="662">
        <f>IF(AND(OR(D354="m", C354="y")),H354,0)</f>
        <v>0</v>
      </c>
      <c r="K354" s="43">
        <f>IF(AND(J354&gt;0,C354="y"),H354,0)</f>
        <v>0</v>
      </c>
      <c r="L354" s="928"/>
      <c r="M354" s="1257"/>
      <c r="N354" s="6"/>
      <c r="O354" s="6"/>
      <c r="P354" s="6"/>
      <c r="Q354" s="6"/>
      <c r="R354" s="6"/>
      <c r="S354" s="6"/>
      <c r="T354" s="6"/>
    </row>
    <row r="355" spans="1:20" s="4" customFormat="1" ht="15" customHeight="1" x14ac:dyDescent="0.2">
      <c r="A355" s="335"/>
      <c r="B355" s="336"/>
      <c r="C355" s="336"/>
      <c r="D355" s="337"/>
      <c r="E355" s="156">
        <v>17</v>
      </c>
      <c r="F355" s="887" t="s">
        <v>613</v>
      </c>
      <c r="G355" s="888"/>
      <c r="H355" s="206"/>
      <c r="I355" s="140"/>
      <c r="J355" s="141"/>
      <c r="K355" s="43"/>
      <c r="L355" s="865" t="s">
        <v>608</v>
      </c>
      <c r="M355" s="868" t="s">
        <v>733</v>
      </c>
      <c r="N355" s="5"/>
      <c r="O355" s="5"/>
      <c r="P355" s="5"/>
      <c r="Q355" s="5"/>
      <c r="R355" s="5"/>
      <c r="S355" s="5"/>
      <c r="T355" s="5"/>
    </row>
    <row r="356" spans="1:20" s="4" customFormat="1" ht="15" customHeight="1" x14ac:dyDescent="0.2">
      <c r="A356" s="338"/>
      <c r="B356" s="339"/>
      <c r="C356" s="340"/>
      <c r="D356" s="341"/>
      <c r="E356" s="512" t="s">
        <v>97</v>
      </c>
      <c r="F356" s="886" t="s">
        <v>642</v>
      </c>
      <c r="G356" s="858"/>
      <c r="H356" s="50">
        <v>1</v>
      </c>
      <c r="I356" s="652">
        <f>IF(AND(OR(A356="x", A356="p"),NOT(OR(B356="n", A357="x", A357="p", A358="x", A358="p"))),H356,0)</f>
        <v>0</v>
      </c>
      <c r="J356" s="660">
        <f>IF(AND(OR(D356="m", C356="y"),NOT(D357="m"),NOT(C357="y"), NOT(D358="m"),NOT(C358="y")),H356,0)</f>
        <v>0</v>
      </c>
      <c r="K356" s="43">
        <f>IF(AND(J356&gt;0,C356="y"),H356,0)</f>
        <v>0</v>
      </c>
      <c r="L356" s="866"/>
      <c r="M356" s="869"/>
      <c r="N356" s="5"/>
      <c r="O356" s="5"/>
      <c r="P356" s="5"/>
      <c r="Q356" s="5"/>
      <c r="R356" s="5"/>
      <c r="S356" s="5"/>
      <c r="T356" s="5"/>
    </row>
    <row r="357" spans="1:20" s="4" customFormat="1" ht="15" customHeight="1" x14ac:dyDescent="0.2">
      <c r="A357" s="338"/>
      <c r="B357" s="339"/>
      <c r="C357" s="340"/>
      <c r="D357" s="341"/>
      <c r="E357" s="52" t="s">
        <v>99</v>
      </c>
      <c r="F357" s="886" t="s">
        <v>612</v>
      </c>
      <c r="G357" s="858"/>
      <c r="H357" s="50">
        <v>2</v>
      </c>
      <c r="I357" s="652">
        <f>IF(AND(OR(A357="x", A357="p"),NOT(OR(B357="n", A358="x", A358="p", A356="x", A356="p"))),H357,0)</f>
        <v>0</v>
      </c>
      <c r="J357" s="660">
        <f>IF(AND(OR(D357="m", C357="y"),NOT(D358="m"),NOT(C358="y"), NOT(D356="m"),NOT(C356="y")),H357,0)</f>
        <v>0</v>
      </c>
      <c r="K357" s="43">
        <f>IF(AND(J357&gt;0,C357="y"),H357,0)</f>
        <v>0</v>
      </c>
      <c r="L357" s="927"/>
      <c r="M357" s="1257"/>
      <c r="N357" s="6"/>
      <c r="O357" s="504" t="s">
        <v>609</v>
      </c>
      <c r="P357" s="6"/>
      <c r="Q357" s="6"/>
      <c r="R357" s="6"/>
      <c r="S357" s="6"/>
      <c r="T357" s="6"/>
    </row>
    <row r="358" spans="1:20" s="4" customFormat="1" ht="14.25" customHeight="1" x14ac:dyDescent="0.2">
      <c r="A358" s="305" t="s">
        <v>465</v>
      </c>
      <c r="B358" s="306"/>
      <c r="C358" s="307" t="s">
        <v>787</v>
      </c>
      <c r="D358" s="308"/>
      <c r="E358" s="98" t="s">
        <v>101</v>
      </c>
      <c r="F358" s="886" t="s">
        <v>611</v>
      </c>
      <c r="G358" s="858"/>
      <c r="H358" s="50">
        <v>3</v>
      </c>
      <c r="I358" s="652">
        <f>IF(AND(OR(A358="x", A358="p"),NOT(OR(B358="n", A357="x", A357="p", A356="x", A356="p"))),H358,0)</f>
        <v>3</v>
      </c>
      <c r="J358" s="660">
        <f>IF(AND(OR(D358="m", C358="y"),NOT(D357="m"),NOT(C357="y"), NOT(D356="m"),NOT(C356="y")),H358,0)</f>
        <v>3</v>
      </c>
      <c r="K358" s="43">
        <f>IF(AND(J358&gt;0,C358="y"),H358,0)</f>
        <v>3</v>
      </c>
      <c r="L358" s="927"/>
      <c r="M358" s="1257"/>
      <c r="N358" s="6"/>
      <c r="O358" s="504" t="s">
        <v>610</v>
      </c>
      <c r="P358" s="6"/>
      <c r="Q358" s="6"/>
      <c r="R358" s="6"/>
      <c r="S358" s="6"/>
      <c r="T358" s="6"/>
    </row>
    <row r="359" spans="1:20" s="4" customFormat="1" ht="14.25" customHeight="1" x14ac:dyDescent="0.2">
      <c r="A359" s="317"/>
      <c r="B359" s="318"/>
      <c r="C359" s="319"/>
      <c r="D359" s="320"/>
      <c r="E359" s="792">
        <v>18</v>
      </c>
      <c r="F359" s="1228" t="s">
        <v>356</v>
      </c>
      <c r="G359" s="922"/>
      <c r="H359" s="202">
        <v>3</v>
      </c>
      <c r="I359" s="44">
        <f t="shared" si="15"/>
        <v>0</v>
      </c>
      <c r="J359" s="45">
        <f>IF(OR(D359="m", C359="y"),H359,0)</f>
        <v>0</v>
      </c>
      <c r="K359" s="43">
        <f>IF(AND(J359&gt;0,C359="y"),H359,0)</f>
        <v>0</v>
      </c>
      <c r="L359" s="197" t="s">
        <v>77</v>
      </c>
      <c r="M359" s="284"/>
      <c r="N359" s="6"/>
      <c r="O359" s="6"/>
      <c r="P359" s="6"/>
      <c r="Q359" s="6"/>
      <c r="R359" s="6"/>
      <c r="S359" s="6"/>
      <c r="T359" s="6"/>
    </row>
    <row r="360" spans="1:20" s="4" customFormat="1" ht="29.25" customHeight="1" thickBot="1" x14ac:dyDescent="0.25">
      <c r="A360" s="335"/>
      <c r="B360" s="336"/>
      <c r="C360" s="336"/>
      <c r="D360" s="337"/>
      <c r="E360" s="156">
        <v>19</v>
      </c>
      <c r="F360" s="887" t="s">
        <v>357</v>
      </c>
      <c r="G360" s="888"/>
      <c r="H360" s="1022" t="s">
        <v>358</v>
      </c>
      <c r="I360" s="1010">
        <f>IF(AND(A361="p",F361&gt;0, NOT(B361="n"),ISNUMBER(F361)), MIN(30,ROUNDDOWN(F361/100*30,0)),0)</f>
        <v>0</v>
      </c>
      <c r="J360" s="1245">
        <f>IF(AND(OR(C361="y",D361="m"),F361&gt;0,ISNUMBER(F361)), MIN(30,ROUNDDOWN(F361/100*30,0)),0)</f>
        <v>0</v>
      </c>
      <c r="K360" s="1026">
        <f>IF(AND(OR(C361="y"),F361&gt;0,ISNUMBER(F361)), MIN(30,ROUNDDOWN(F361/100*30,0)),0)</f>
        <v>0</v>
      </c>
      <c r="L360" s="865" t="s">
        <v>349</v>
      </c>
      <c r="M360" s="874"/>
      <c r="N360" s="5"/>
      <c r="O360" s="929"/>
      <c r="P360" s="930"/>
      <c r="Q360" s="930"/>
      <c r="R360" s="5"/>
      <c r="S360" s="5"/>
      <c r="T360" s="5"/>
    </row>
    <row r="361" spans="1:20" s="4" customFormat="1" ht="22.5" customHeight="1" x14ac:dyDescent="0.2">
      <c r="A361" s="331"/>
      <c r="B361" s="377"/>
      <c r="C361" s="378"/>
      <c r="D361" s="379"/>
      <c r="E361" s="77"/>
      <c r="F361" s="422">
        <v>0</v>
      </c>
      <c r="G361" s="23" t="s">
        <v>359</v>
      </c>
      <c r="H361" s="940"/>
      <c r="I361" s="937"/>
      <c r="J361" s="939"/>
      <c r="K361" s="928"/>
      <c r="L361" s="928"/>
      <c r="M361" s="1258"/>
      <c r="N361" s="6"/>
      <c r="O361" s="6"/>
      <c r="P361" s="6"/>
      <c r="Q361" s="6"/>
      <c r="R361" s="6"/>
      <c r="S361" s="6"/>
      <c r="T361" s="6"/>
    </row>
    <row r="362" spans="1:20" s="4" customFormat="1" ht="38.25" x14ac:dyDescent="0.2">
      <c r="A362" s="317"/>
      <c r="B362" s="318"/>
      <c r="C362" s="319"/>
      <c r="D362" s="320"/>
      <c r="E362" s="793">
        <v>20</v>
      </c>
      <c r="F362" s="1025" t="s">
        <v>360</v>
      </c>
      <c r="G362" s="922"/>
      <c r="H362" s="127">
        <v>2</v>
      </c>
      <c r="I362" s="44">
        <f>IF(AND(OR(A362="x", A362="p"),NOT(B362="n")),H362,0)</f>
        <v>0</v>
      </c>
      <c r="J362" s="45">
        <f>IF(OR(D362="m", C362="y"),H362,0)</f>
        <v>0</v>
      </c>
      <c r="K362" s="43">
        <f>IF(AND(J362&gt;0,C362="y"),H362,0)</f>
        <v>0</v>
      </c>
      <c r="L362" s="25" t="s">
        <v>361</v>
      </c>
      <c r="M362" s="284"/>
      <c r="N362" s="6"/>
      <c r="O362" s="1318"/>
      <c r="P362" s="930"/>
      <c r="Q362" s="6"/>
      <c r="R362" s="6"/>
      <c r="S362" s="6"/>
      <c r="T362" s="6"/>
    </row>
    <row r="363" spans="1:20" s="4" customFormat="1" ht="26.25" thickBot="1" x14ac:dyDescent="0.25">
      <c r="A363" s="317"/>
      <c r="B363" s="318"/>
      <c r="C363" s="319"/>
      <c r="D363" s="320"/>
      <c r="E363" s="136">
        <v>21</v>
      </c>
      <c r="F363" s="1192" t="s">
        <v>151</v>
      </c>
      <c r="G363" s="1193"/>
      <c r="H363" s="364" t="s">
        <v>152</v>
      </c>
      <c r="I363" s="44">
        <f>IF(AND(OR(A363="x", A363="p"),NOT(B363="n"), H363&lt;=7),H363,0)</f>
        <v>0</v>
      </c>
      <c r="J363" s="707">
        <f>IF(AND(OR(D363="m", C363="y"), H363&lt;=7),H363,0)</f>
        <v>0</v>
      </c>
      <c r="K363" s="150">
        <f>IF(AND(J363&gt;0,C363="y"),H363,0)</f>
        <v>0</v>
      </c>
      <c r="L363" s="85" t="s">
        <v>195</v>
      </c>
      <c r="M363" s="361"/>
      <c r="N363" s="6"/>
      <c r="O363" s="750" t="str">
        <f>HYPERLINK("https://www.epa.gov/burnwise/epa-certified-wood-stoves","List of EPA Certified wood stoves")</f>
        <v>List of EPA Certified wood stoves</v>
      </c>
      <c r="P363" s="198"/>
      <c r="Q363" s="6"/>
      <c r="R363" s="6"/>
      <c r="S363" s="6"/>
      <c r="T363" s="6"/>
    </row>
    <row r="364" spans="1:20" s="4" customFormat="1" ht="14.25" customHeight="1" thickTop="1" thickBot="1" x14ac:dyDescent="0.3">
      <c r="A364" s="1320" t="s">
        <v>362</v>
      </c>
      <c r="B364" s="1321"/>
      <c r="C364" s="1321"/>
      <c r="D364" s="1321"/>
      <c r="E364" s="1321"/>
      <c r="F364" s="1321"/>
      <c r="G364" s="1321"/>
      <c r="H364" s="1322"/>
      <c r="I364" s="666">
        <f>SUM(I317:I363)</f>
        <v>75</v>
      </c>
      <c r="J364" s="666">
        <f>SUM(J317:J363)</f>
        <v>75</v>
      </c>
      <c r="K364" s="151">
        <f>SUM(K317:K363)</f>
        <v>75</v>
      </c>
      <c r="L364" s="501"/>
      <c r="M364" s="502"/>
      <c r="N364" s="5"/>
      <c r="O364" s="5"/>
      <c r="P364" s="5"/>
      <c r="Q364" s="5"/>
      <c r="R364" s="5"/>
      <c r="S364" s="5"/>
      <c r="T364" s="5"/>
    </row>
    <row r="365" spans="1:20" s="4" customFormat="1" ht="35.1" customHeight="1" thickTop="1" thickBot="1" x14ac:dyDescent="0.25">
      <c r="A365" s="862" t="s">
        <v>58</v>
      </c>
      <c r="B365" s="862"/>
      <c r="C365" s="862"/>
      <c r="D365" s="862"/>
      <c r="E365" s="862"/>
      <c r="F365" s="862"/>
      <c r="G365" s="862"/>
      <c r="H365" s="862"/>
      <c r="I365" s="862"/>
      <c r="J365" s="862"/>
      <c r="K365" s="862"/>
      <c r="L365" s="862"/>
      <c r="M365" s="862"/>
      <c r="O365" s="5"/>
      <c r="P365" s="5"/>
      <c r="Q365" s="5"/>
      <c r="R365" s="5"/>
      <c r="S365" s="5"/>
      <c r="T365" s="5"/>
    </row>
    <row r="366" spans="1:20" s="4" customFormat="1" ht="14.25" customHeight="1" thickBot="1" x14ac:dyDescent="0.3">
      <c r="A366" s="26"/>
      <c r="B366" s="27"/>
      <c r="C366" s="28"/>
      <c r="D366" s="29"/>
      <c r="E366" s="1323" t="s">
        <v>603</v>
      </c>
      <c r="F366" s="1217"/>
      <c r="G366" s="1218"/>
      <c r="H366" s="879" t="s">
        <v>87</v>
      </c>
      <c r="I366" s="1005" t="s">
        <v>88</v>
      </c>
      <c r="J366" s="1006"/>
      <c r="K366" s="569"/>
      <c r="L366" s="1007" t="s">
        <v>89</v>
      </c>
      <c r="M366" s="1008" t="s">
        <v>154</v>
      </c>
      <c r="O366" s="5"/>
      <c r="P366" s="5"/>
      <c r="Q366" s="5"/>
      <c r="R366" s="5"/>
      <c r="S366" s="5"/>
      <c r="T366" s="5"/>
    </row>
    <row r="367" spans="1:20" s="4" customFormat="1" ht="13.5" customHeight="1" thickBot="1" x14ac:dyDescent="0.25">
      <c r="A367" s="30" t="s">
        <v>0</v>
      </c>
      <c r="B367" s="31" t="s">
        <v>1</v>
      </c>
      <c r="C367" s="32" t="s">
        <v>91</v>
      </c>
      <c r="D367" s="33" t="s">
        <v>92</v>
      </c>
      <c r="E367" s="1219"/>
      <c r="F367" s="1220"/>
      <c r="G367" s="1201"/>
      <c r="H367" s="880"/>
      <c r="I367" s="649" t="s">
        <v>93</v>
      </c>
      <c r="J367" s="650" t="s">
        <v>94</v>
      </c>
      <c r="K367" s="570"/>
      <c r="L367" s="915"/>
      <c r="M367" s="1009"/>
      <c r="O367" s="5"/>
      <c r="P367" s="5"/>
      <c r="Q367" s="5"/>
      <c r="R367" s="5"/>
      <c r="S367" s="5"/>
      <c r="T367" s="5"/>
    </row>
    <row r="368" spans="1:20" s="4" customFormat="1" ht="28.5" customHeight="1" thickBot="1" x14ac:dyDescent="0.25">
      <c r="A368" s="338"/>
      <c r="B368" s="339"/>
      <c r="C368" s="340"/>
      <c r="D368" s="341"/>
      <c r="E368" s="784">
        <v>1</v>
      </c>
      <c r="F368" s="1324" t="s">
        <v>363</v>
      </c>
      <c r="G368" s="1325"/>
      <c r="H368" s="207">
        <v>10</v>
      </c>
      <c r="I368" s="656">
        <f>IF(AND(OR(A368="x", A368="p"),NOT(B368="n")),H368,0)</f>
        <v>0</v>
      </c>
      <c r="J368" s="657">
        <f>IF(AND(OR(D368="m", C368="y")),H368,0)</f>
        <v>0</v>
      </c>
      <c r="K368" s="43">
        <f>IF(AND(J368&gt;0,C368="y"),H368,0)</f>
        <v>0</v>
      </c>
      <c r="L368" s="199" t="s">
        <v>364</v>
      </c>
      <c r="M368" s="725"/>
      <c r="N368" s="6"/>
      <c r="O368" s="933" t="s">
        <v>39</v>
      </c>
      <c r="P368" s="930"/>
      <c r="Q368" s="930"/>
      <c r="R368" s="5"/>
      <c r="S368" s="5"/>
      <c r="T368" s="5"/>
    </row>
    <row r="369" spans="1:20" s="7" customFormat="1" ht="14.25" customHeight="1" thickBot="1" x14ac:dyDescent="0.3">
      <c r="A369" s="476"/>
      <c r="B369" s="478"/>
      <c r="C369" s="478"/>
      <c r="D369" s="481" t="s">
        <v>365</v>
      </c>
      <c r="E369" s="498"/>
      <c r="F369" s="499"/>
      <c r="G369" s="132"/>
      <c r="H369" s="152"/>
      <c r="I369" s="710"/>
      <c r="J369" s="711"/>
      <c r="K369" s="43"/>
      <c r="L369" s="491"/>
      <c r="M369" s="492"/>
      <c r="N369" s="12"/>
      <c r="O369" s="12"/>
      <c r="P369" s="12"/>
      <c r="Q369" s="12"/>
      <c r="R369" s="12"/>
      <c r="S369" s="12"/>
      <c r="T369" s="12"/>
    </row>
    <row r="370" spans="1:20" s="4" customFormat="1" ht="39.75" customHeight="1" thickBot="1" x14ac:dyDescent="0.25">
      <c r="A370" s="1330"/>
      <c r="B370" s="1331"/>
      <c r="C370" s="1238"/>
      <c r="D370" s="1243"/>
      <c r="E370" s="1333">
        <v>2</v>
      </c>
      <c r="F370" s="881" t="s">
        <v>523</v>
      </c>
      <c r="G370" s="882"/>
      <c r="H370" s="1326" t="s">
        <v>341</v>
      </c>
      <c r="I370" s="1327">
        <f>IF(AND(OR(A370="x", A370="p"),NOT(B370="n")),IF(AND(F371&lt;50,F371&gt;41.99),ROUNDDOWN((F371-39.5)/2.5,0),0),0)</f>
        <v>0</v>
      </c>
      <c r="J370" s="1328">
        <f>IF(AND(OR(C370="y", D370="m")),IF(AND(F371&lt;50,F371&gt;41.99),ROUNDDOWN((F371-39.5)/2.5,0),0),0)</f>
        <v>0</v>
      </c>
      <c r="K370" s="1026">
        <f>IF(AND(OR(C370="y")),IF(AND(F371&lt;50,F371&gt;41.99),ROUNDDOWN((F371-39.5)/2.5,0),0),0)</f>
        <v>0</v>
      </c>
      <c r="L370" s="1329" t="s">
        <v>366</v>
      </c>
      <c r="M370" s="1210"/>
      <c r="N370" s="5"/>
      <c r="O370" s="977" t="str">
        <f>HYPERLINK("https://www.greenbuilt.org/wp-content/uploads/2017/08/GarageToHouseWall-1.pdf","Garage to house wall details")</f>
        <v>Garage to house wall details</v>
      </c>
      <c r="P370" s="930"/>
      <c r="Q370" s="930"/>
      <c r="R370" s="198" t="str">
        <f>HYPERLINK("https://basc.pnnl.gov/resource-guides/garage-rimband-joist-adjoining-conditioned-space","DOE: Garage to house wall")</f>
        <v>DOE: Garage to house wall</v>
      </c>
      <c r="S370" s="5"/>
      <c r="T370" s="5"/>
    </row>
    <row r="371" spans="1:20" s="4" customFormat="1" ht="14.25" customHeight="1" thickBot="1" x14ac:dyDescent="0.25">
      <c r="A371" s="906"/>
      <c r="B371" s="1332"/>
      <c r="C371" s="892"/>
      <c r="D371" s="895"/>
      <c r="E371" s="952"/>
      <c r="F371" s="347">
        <v>0</v>
      </c>
      <c r="G371" s="153" t="s">
        <v>367</v>
      </c>
      <c r="H371" s="946"/>
      <c r="I371" s="952"/>
      <c r="J371" s="1161"/>
      <c r="K371" s="928"/>
      <c r="L371" s="928"/>
      <c r="M371" s="946"/>
      <c r="N371" s="5"/>
      <c r="O371" s="242" t="s">
        <v>368</v>
      </c>
      <c r="S371" s="5"/>
      <c r="T371" s="5"/>
    </row>
    <row r="372" spans="1:20" s="4" customFormat="1" ht="14.25" x14ac:dyDescent="0.2">
      <c r="A372" s="317"/>
      <c r="B372" s="318"/>
      <c r="C372" s="319"/>
      <c r="D372" s="320"/>
      <c r="E372" s="796">
        <v>3</v>
      </c>
      <c r="F372" s="1319" t="s">
        <v>369</v>
      </c>
      <c r="G372" s="919"/>
      <c r="H372" s="127">
        <v>5</v>
      </c>
      <c r="I372" s="44">
        <f>IF(AND(OR(A372="x", A372="p"),NOT(B372="n")),H372,0)</f>
        <v>0</v>
      </c>
      <c r="J372" s="45">
        <f>IF(OR(D372="m", C372="y"),H372,0)</f>
        <v>0</v>
      </c>
      <c r="K372" s="43">
        <f>IF(AND(J372&gt;0,C372="y"),H372,0)</f>
        <v>0</v>
      </c>
      <c r="L372" s="25" t="s">
        <v>77</v>
      </c>
      <c r="M372" s="284"/>
      <c r="N372" s="5"/>
      <c r="O372" s="242" t="s">
        <v>370</v>
      </c>
      <c r="S372" s="5"/>
      <c r="T372" s="5"/>
    </row>
    <row r="373" spans="1:20" s="4" customFormat="1" ht="14.25" x14ac:dyDescent="0.2">
      <c r="A373" s="369"/>
      <c r="B373" s="370"/>
      <c r="C373" s="371"/>
      <c r="D373" s="372"/>
      <c r="E373" s="793">
        <v>4</v>
      </c>
      <c r="F373" s="1025" t="s">
        <v>371</v>
      </c>
      <c r="G373" s="922"/>
      <c r="H373" s="154">
        <v>2</v>
      </c>
      <c r="I373" s="667">
        <f>IF(AND(OR(A373="x", A373="p"),NOT(B373="n")),H373,0)</f>
        <v>0</v>
      </c>
      <c r="J373" s="45">
        <f>IF(OR(D373="m", C373="y"),H373,0)</f>
        <v>0</v>
      </c>
      <c r="K373" s="43">
        <f>IF(AND(J373&gt;0,C373="y"),H373,0)</f>
        <v>0</v>
      </c>
      <c r="L373" s="155" t="s">
        <v>77</v>
      </c>
      <c r="M373" s="284"/>
      <c r="N373" s="5"/>
      <c r="O373" s="933" t="str">
        <f>HYPERLINK("https://www.energystar.gov/products/heating_cooling/fans_ventilating ","Energy Star Ventilation Fans")</f>
        <v>Energy Star Ventilation Fans</v>
      </c>
      <c r="P373" s="930"/>
      <c r="Q373" s="930"/>
      <c r="R373" s="930"/>
      <c r="S373" s="6"/>
      <c r="T373" s="6"/>
    </row>
    <row r="374" spans="1:20" s="4" customFormat="1" ht="14.25" x14ac:dyDescent="0.2">
      <c r="A374" s="369" t="s">
        <v>465</v>
      </c>
      <c r="B374" s="370"/>
      <c r="C374" s="371" t="s">
        <v>787</v>
      </c>
      <c r="D374" s="372"/>
      <c r="E374" s="793">
        <v>5</v>
      </c>
      <c r="F374" s="1025" t="s">
        <v>655</v>
      </c>
      <c r="G374" s="922"/>
      <c r="H374" s="154">
        <v>1</v>
      </c>
      <c r="I374" s="667">
        <f>IF(AND(OR(A374="x", A374="p"),NOT(B374="n")),H374,0)</f>
        <v>1</v>
      </c>
      <c r="J374" s="45">
        <f>IF(OR(D374="m", C374="y"),H374,0)</f>
        <v>1</v>
      </c>
      <c r="K374" s="43">
        <f>IF(AND(J374&gt;0,C374="y"),H374,0)</f>
        <v>1</v>
      </c>
      <c r="L374" s="155" t="s">
        <v>77</v>
      </c>
      <c r="M374" s="284" t="s">
        <v>733</v>
      </c>
      <c r="N374" s="5"/>
      <c r="O374" s="242" t="str">
        <f>HYPERLINK("https://basc.pnnl.gov/resource-guides/removing-construction-debris-ducts","Building America Solutions: Duct Debris")</f>
        <v>Building America Solutions: Duct Debris</v>
      </c>
      <c r="S374" s="6"/>
      <c r="T374" s="6"/>
    </row>
    <row r="375" spans="1:20" s="4" customFormat="1" ht="14.25" x14ac:dyDescent="0.2">
      <c r="A375" s="369"/>
      <c r="B375" s="370"/>
      <c r="C375" s="371"/>
      <c r="D375" s="372"/>
      <c r="E375" s="793">
        <v>6</v>
      </c>
      <c r="F375" s="1025" t="s">
        <v>601</v>
      </c>
      <c r="G375" s="922"/>
      <c r="H375" s="154">
        <v>2</v>
      </c>
      <c r="I375" s="667">
        <f>IF(AND(OR(A375="x", A375="p"),NOT(B375="n")),H375,0)</f>
        <v>0</v>
      </c>
      <c r="J375" s="45">
        <f>IF(OR(D375="m", C375="y"),H375,0)</f>
        <v>0</v>
      </c>
      <c r="K375" s="43">
        <f>IF(AND(J375&gt;0,C375="y"),H375,0)</f>
        <v>0</v>
      </c>
      <c r="L375" s="155" t="s">
        <v>77</v>
      </c>
      <c r="M375" s="284"/>
      <c r="N375" s="5"/>
      <c r="O375" s="503" t="s">
        <v>599</v>
      </c>
      <c r="R375" s="503" t="s">
        <v>600</v>
      </c>
      <c r="S375" s="6"/>
      <c r="T375" s="6"/>
    </row>
    <row r="376" spans="1:20" s="4" customFormat="1" ht="39.75" customHeight="1" x14ac:dyDescent="0.2">
      <c r="A376" s="335"/>
      <c r="B376" s="336"/>
      <c r="C376" s="336"/>
      <c r="D376" s="337"/>
      <c r="E376" s="827">
        <v>7</v>
      </c>
      <c r="F376" s="887" t="s">
        <v>524</v>
      </c>
      <c r="G376" s="888"/>
      <c r="H376" s="206"/>
      <c r="I376" s="140"/>
      <c r="J376" s="141"/>
      <c r="K376" s="43"/>
      <c r="L376" s="865" t="s">
        <v>80</v>
      </c>
      <c r="M376" s="874" t="s">
        <v>790</v>
      </c>
      <c r="N376" s="6"/>
      <c r="O376" s="5"/>
      <c r="P376" s="6"/>
      <c r="Q376" s="6"/>
      <c r="R376" s="6"/>
      <c r="S376" s="6"/>
      <c r="T376" s="6"/>
    </row>
    <row r="377" spans="1:20" s="4" customFormat="1" ht="15" customHeight="1" x14ac:dyDescent="0.2">
      <c r="A377" s="305" t="s">
        <v>465</v>
      </c>
      <c r="B377" s="306"/>
      <c r="C377" s="307" t="s">
        <v>787</v>
      </c>
      <c r="D377" s="308"/>
      <c r="E377" s="52" t="s">
        <v>97</v>
      </c>
      <c r="F377" s="883" t="s">
        <v>372</v>
      </c>
      <c r="G377" s="884"/>
      <c r="H377" s="50">
        <v>1</v>
      </c>
      <c r="I377" s="652">
        <f>IF(AND(OR(A377="x", A377="p"),NOT(OR(B377="n", A378="x", A378="p", A379="x", A379="p"))),H377,0)</f>
        <v>1</v>
      </c>
      <c r="J377" s="660">
        <f>IF(AND(OR(D377="m", C377="y"),NOT(OR(D378="m",C378="y",D379="m",C379="y"))),H377,0)</f>
        <v>1</v>
      </c>
      <c r="K377" s="43">
        <f>IF(AND(J377&gt;0,C377="y"),H377,0)</f>
        <v>1</v>
      </c>
      <c r="L377" s="927"/>
      <c r="M377" s="940"/>
      <c r="N377" s="6"/>
      <c r="O377" s="977" t="str">
        <f>HYPERLINK("https://www.epa.gov/indoor-air-quality-iaq/air-cleaners-and-air-filters-home-0","EPA: Air Filtration")</f>
        <v>EPA: Air Filtration</v>
      </c>
      <c r="P377" s="930"/>
      <c r="Q377" s="6"/>
      <c r="R377" s="6"/>
      <c r="S377" s="6"/>
      <c r="T377" s="6"/>
    </row>
    <row r="378" spans="1:20" s="4" customFormat="1" ht="15" customHeight="1" x14ac:dyDescent="0.2">
      <c r="A378" s="305"/>
      <c r="B378" s="306"/>
      <c r="C378" s="307"/>
      <c r="D378" s="308"/>
      <c r="E378" s="52" t="s">
        <v>99</v>
      </c>
      <c r="F378" s="883" t="s">
        <v>373</v>
      </c>
      <c r="G378" s="884"/>
      <c r="H378" s="50">
        <v>2</v>
      </c>
      <c r="I378" s="652">
        <f>IF(AND(OR(A378="x", A378="p"),NOT(OR(B378="n", A377="x", A377="p", A379="x", A379="p"))),H378,0)</f>
        <v>0</v>
      </c>
      <c r="J378" s="660">
        <f>IF(AND(OR(D378="m", C378="y"),NOT(OR(D377="m",C377="y",D379="m",C379="y"))),H378,0)</f>
        <v>0</v>
      </c>
      <c r="K378" s="43">
        <f>IF(AND(J378&gt;0,C378="y"),H378,0)</f>
        <v>0</v>
      </c>
      <c r="L378" s="927"/>
      <c r="M378" s="940"/>
      <c r="N378" s="6"/>
      <c r="O378" s="6"/>
      <c r="P378" s="6"/>
      <c r="Q378" s="6"/>
      <c r="R378" s="6"/>
      <c r="S378" s="6"/>
      <c r="T378" s="6"/>
    </row>
    <row r="379" spans="1:20" s="4" customFormat="1" ht="14.25" customHeight="1" x14ac:dyDescent="0.2">
      <c r="A379" s="321"/>
      <c r="B379" s="322"/>
      <c r="C379" s="323"/>
      <c r="D379" s="324"/>
      <c r="E379" s="118" t="s">
        <v>101</v>
      </c>
      <c r="F379" s="1301" t="s">
        <v>374</v>
      </c>
      <c r="G379" s="899"/>
      <c r="H379" s="62">
        <v>3</v>
      </c>
      <c r="I379" s="702">
        <f>IF(AND(OR(A379="x", A379="p"),NOT(OR(B379="n", A378="x", A378="p", A377="x", A377="p"))),H379,0)</f>
        <v>0</v>
      </c>
      <c r="J379" s="665">
        <f>IF(AND(OR(D379="m", C379="y"),NOT(OR(D377="m",C377="y",D378="m",C378="y"))),H379,0)</f>
        <v>0</v>
      </c>
      <c r="K379" s="43">
        <f>IF(AND(J379&gt;0,C379="y"),H379,0)</f>
        <v>0</v>
      </c>
      <c r="L379" s="927"/>
      <c r="M379" s="946"/>
      <c r="N379" s="6"/>
      <c r="O379" s="6"/>
      <c r="P379" s="6"/>
      <c r="Q379" s="6"/>
      <c r="R379" s="6"/>
      <c r="S379" s="6"/>
      <c r="T379" s="6"/>
    </row>
    <row r="380" spans="1:20" s="4" customFormat="1" ht="15" customHeight="1" x14ac:dyDescent="0.2">
      <c r="A380" s="335"/>
      <c r="B380" s="336"/>
      <c r="C380" s="336"/>
      <c r="D380" s="337"/>
      <c r="E380" s="156">
        <v>8</v>
      </c>
      <c r="F380" s="1021" t="s">
        <v>375</v>
      </c>
      <c r="G380" s="888"/>
      <c r="H380" s="206"/>
      <c r="I380" s="140"/>
      <c r="J380" s="141"/>
      <c r="K380" s="39"/>
      <c r="L380" s="865" t="s">
        <v>376</v>
      </c>
      <c r="M380" s="874" t="s">
        <v>791</v>
      </c>
      <c r="N380" s="6"/>
      <c r="O380" s="6"/>
      <c r="P380" s="6"/>
      <c r="Q380" s="6"/>
      <c r="R380" s="6"/>
      <c r="S380" s="6"/>
      <c r="T380" s="6"/>
    </row>
    <row r="381" spans="1:20" s="4" customFormat="1" ht="15" customHeight="1" x14ac:dyDescent="0.2">
      <c r="A381" s="305"/>
      <c r="B381" s="306"/>
      <c r="C381" s="307"/>
      <c r="D381" s="308"/>
      <c r="E381" s="52" t="s">
        <v>97</v>
      </c>
      <c r="F381" s="883" t="s">
        <v>377</v>
      </c>
      <c r="G381" s="884"/>
      <c r="H381" s="50">
        <v>2</v>
      </c>
      <c r="I381" s="652">
        <f>IF(AND(OR(A381="x", A381="p"),NOT(OR(B381="n",A382="p",A383="p"))),H381,0)</f>
        <v>0</v>
      </c>
      <c r="J381" s="653">
        <f>IF(OR(D381="m", C381="y"),H381,0)</f>
        <v>0</v>
      </c>
      <c r="K381" s="43">
        <f>IF(AND(J381&gt;0,C381="y"),H381,0)</f>
        <v>0</v>
      </c>
      <c r="L381" s="927"/>
      <c r="M381" s="940"/>
      <c r="N381" s="6"/>
      <c r="O381" s="977" t="s">
        <v>378</v>
      </c>
      <c r="P381" s="930"/>
      <c r="Q381" s="930"/>
      <c r="R381" s="930"/>
      <c r="S381" s="930"/>
      <c r="T381" s="6"/>
    </row>
    <row r="382" spans="1:20" s="4" customFormat="1" ht="15" customHeight="1" x14ac:dyDescent="0.2">
      <c r="A382" s="305" t="s">
        <v>465</v>
      </c>
      <c r="B382" s="306"/>
      <c r="C382" s="307" t="s">
        <v>787</v>
      </c>
      <c r="D382" s="308"/>
      <c r="E382" s="157" t="s">
        <v>99</v>
      </c>
      <c r="F382" s="1402" t="s">
        <v>379</v>
      </c>
      <c r="G382" s="1349"/>
      <c r="H382" s="50">
        <v>3</v>
      </c>
      <c r="I382" s="652">
        <f>IF(AND(OR(A382="x", A382="p"),NOT(OR(B382="n",A381="p",A383="p"))),H382,0)</f>
        <v>3</v>
      </c>
      <c r="J382" s="653">
        <f>IF(OR(D382="m", C382="y"),H382,0)</f>
        <v>3</v>
      </c>
      <c r="K382" s="43">
        <f>IF(AND(J382&gt;0,C382="y"),H382,0)</f>
        <v>3</v>
      </c>
      <c r="L382" s="927"/>
      <c r="M382" s="940"/>
      <c r="N382" s="6"/>
      <c r="O382" s="6"/>
      <c r="P382" s="6"/>
      <c r="Q382" s="6"/>
      <c r="R382" s="6"/>
      <c r="S382" s="6"/>
      <c r="T382" s="6"/>
    </row>
    <row r="383" spans="1:20" s="4" customFormat="1" ht="14.25" customHeight="1" x14ac:dyDescent="0.2">
      <c r="A383" s="321"/>
      <c r="B383" s="322"/>
      <c r="C383" s="323"/>
      <c r="D383" s="324"/>
      <c r="E383" s="118" t="s">
        <v>101</v>
      </c>
      <c r="F383" s="1278" t="s">
        <v>380</v>
      </c>
      <c r="G383" s="858"/>
      <c r="H383" s="62">
        <v>4</v>
      </c>
      <c r="I383" s="702">
        <f>IF(AND(OR(A383="x", A383="p"),NOT(OR(B383="n",A381="p",A382="p"))),H383,0)</f>
        <v>0</v>
      </c>
      <c r="J383" s="651">
        <f>IF(OR(D383="m", C383="y"),H383,0)</f>
        <v>0</v>
      </c>
      <c r="K383" s="43">
        <f>IF(AND(J383&gt;0,C383="y"),H383,0)</f>
        <v>0</v>
      </c>
      <c r="L383" s="927"/>
      <c r="M383" s="940"/>
      <c r="N383" s="6"/>
      <c r="O383" s="6"/>
      <c r="P383" s="6"/>
      <c r="Q383" s="6"/>
      <c r="R383" s="6"/>
      <c r="S383" s="6"/>
      <c r="T383" s="6"/>
    </row>
    <row r="384" spans="1:20" s="4" customFormat="1" ht="30" customHeight="1" x14ac:dyDescent="0.2">
      <c r="A384" s="317" t="s">
        <v>465</v>
      </c>
      <c r="B384" s="318"/>
      <c r="C384" s="319" t="s">
        <v>787</v>
      </c>
      <c r="D384" s="320"/>
      <c r="E384" s="156">
        <v>9</v>
      </c>
      <c r="F384" s="1048" t="s">
        <v>381</v>
      </c>
      <c r="G384" s="922"/>
      <c r="H384" s="206">
        <v>2</v>
      </c>
      <c r="I384" s="658">
        <f>IF(AND(OR(A384="x", A384="p"),NOT(B384="n")),H384,0)</f>
        <v>2</v>
      </c>
      <c r="J384" s="141">
        <f>IF(OR(D384="m", C384="y"),H384,0)</f>
        <v>2</v>
      </c>
      <c r="K384" s="43">
        <f>IF(AND(J384&gt;0,C384="y"),H384,0)</f>
        <v>2</v>
      </c>
      <c r="L384" s="197" t="s">
        <v>77</v>
      </c>
      <c r="M384" s="724" t="s">
        <v>767</v>
      </c>
      <c r="N384" s="6"/>
      <c r="O384" s="6"/>
      <c r="P384" s="6"/>
      <c r="Q384" s="6"/>
      <c r="R384" s="6"/>
      <c r="S384" s="6"/>
      <c r="T384" s="6"/>
    </row>
    <row r="385" spans="1:20" s="4" customFormat="1" ht="25.5" customHeight="1" x14ac:dyDescent="0.2">
      <c r="A385" s="335"/>
      <c r="B385" s="336"/>
      <c r="C385" s="336"/>
      <c r="D385" s="337"/>
      <c r="E385" s="156">
        <v>10</v>
      </c>
      <c r="F385" s="887" t="s">
        <v>382</v>
      </c>
      <c r="G385" s="888"/>
      <c r="H385" s="206"/>
      <c r="I385" s="140"/>
      <c r="J385" s="141"/>
      <c r="K385" s="43"/>
      <c r="L385" s="865" t="s">
        <v>77</v>
      </c>
      <c r="M385" s="874" t="s">
        <v>752</v>
      </c>
      <c r="N385" s="6"/>
      <c r="O385" s="242" t="str">
        <f>HYPERLINK("https://www.energystar.gov/products/heating_cooling/fans_ventilating ","Energy Star Ventilation Fans")</f>
        <v>Energy Star Ventilation Fans</v>
      </c>
      <c r="R385" s="6"/>
      <c r="S385" s="6"/>
      <c r="T385" s="6"/>
    </row>
    <row r="386" spans="1:20" s="4" customFormat="1" ht="14.25" customHeight="1" x14ac:dyDescent="0.2">
      <c r="A386" s="338" t="s">
        <v>465</v>
      </c>
      <c r="B386" s="339"/>
      <c r="C386" s="340" t="s">
        <v>787</v>
      </c>
      <c r="D386" s="341"/>
      <c r="E386" s="52" t="s">
        <v>97</v>
      </c>
      <c r="F386" s="883" t="s">
        <v>383</v>
      </c>
      <c r="G386" s="884"/>
      <c r="H386" s="50">
        <v>1</v>
      </c>
      <c r="I386" s="652">
        <f>IF(AND(OR(A386="x", A386="p"),NOT(B386="n")),H386,0)</f>
        <v>1</v>
      </c>
      <c r="J386" s="653">
        <f>IF(OR(D386="m", C386="y"),H386,0)</f>
        <v>1</v>
      </c>
      <c r="K386" s="43">
        <f>IF(AND(J386&gt;0,C386="y"),H386,0)</f>
        <v>1</v>
      </c>
      <c r="L386" s="927"/>
      <c r="M386" s="940"/>
      <c r="N386" s="6"/>
      <c r="O386" s="977" t="s">
        <v>384</v>
      </c>
      <c r="P386" s="930"/>
      <c r="Q386" s="930"/>
      <c r="R386" s="930"/>
      <c r="S386" s="6"/>
      <c r="T386" s="6"/>
    </row>
    <row r="387" spans="1:20" s="4" customFormat="1" ht="15" customHeight="1" x14ac:dyDescent="0.2">
      <c r="A387" s="305" t="s">
        <v>465</v>
      </c>
      <c r="B387" s="306"/>
      <c r="C387" s="307" t="s">
        <v>787</v>
      </c>
      <c r="D387" s="308"/>
      <c r="E387" s="52" t="s">
        <v>99</v>
      </c>
      <c r="F387" s="1300" t="s">
        <v>385</v>
      </c>
      <c r="G387" s="884"/>
      <c r="H387" s="62">
        <v>1</v>
      </c>
      <c r="I387" s="652">
        <f>IF(AND(OR(A387="x", A387="p"),NOT(B387="n")),H387,0)</f>
        <v>1</v>
      </c>
      <c r="J387" s="653">
        <f>IF(OR(D387="m", C387="y"),H387,0)</f>
        <v>1</v>
      </c>
      <c r="K387" s="43">
        <f>IF(AND(J387&gt;0,C387="y"),H387,0)</f>
        <v>1</v>
      </c>
      <c r="L387" s="927"/>
      <c r="M387" s="940"/>
      <c r="N387" s="6"/>
      <c r="O387" s="6"/>
      <c r="P387" s="6"/>
      <c r="Q387" s="6"/>
      <c r="R387" s="6"/>
      <c r="S387" s="6"/>
      <c r="T387" s="6"/>
    </row>
    <row r="388" spans="1:20" s="4" customFormat="1" ht="15" customHeight="1" x14ac:dyDescent="0.2">
      <c r="A388" s="305"/>
      <c r="B388" s="306"/>
      <c r="C388" s="307"/>
      <c r="D388" s="308"/>
      <c r="E388" s="52" t="s">
        <v>101</v>
      </c>
      <c r="F388" s="883" t="s">
        <v>386</v>
      </c>
      <c r="G388" s="884"/>
      <c r="H388" s="62">
        <v>1</v>
      </c>
      <c r="I388" s="652">
        <f>IF(AND(OR(A388="x", A388="p"),NOT(B388="n")),H388,0)</f>
        <v>0</v>
      </c>
      <c r="J388" s="653">
        <f>IF(OR(D388="m", C388="y"),H388,0)</f>
        <v>0</v>
      </c>
      <c r="K388" s="43">
        <f>IF(AND(J388&gt;0,C388="y"),H388,0)</f>
        <v>0</v>
      </c>
      <c r="L388" s="927"/>
      <c r="M388" s="940"/>
      <c r="N388" s="6"/>
      <c r="O388" s="6"/>
      <c r="P388" s="6"/>
      <c r="Q388" s="6"/>
      <c r="R388" s="6"/>
      <c r="S388" s="6"/>
      <c r="T388" s="6"/>
    </row>
    <row r="389" spans="1:20" s="4" customFormat="1" ht="15" customHeight="1" x14ac:dyDescent="0.2">
      <c r="A389" s="305"/>
      <c r="B389" s="306"/>
      <c r="C389" s="307"/>
      <c r="D389" s="308"/>
      <c r="E389" s="52" t="s">
        <v>103</v>
      </c>
      <c r="F389" s="1300" t="s">
        <v>387</v>
      </c>
      <c r="G389" s="884"/>
      <c r="H389" s="50">
        <v>2</v>
      </c>
      <c r="I389" s="652">
        <f>IF(AND(OR(A389="x", A389="p"),NOT(B389="n")),H389,0)</f>
        <v>0</v>
      </c>
      <c r="J389" s="653">
        <f>IF(OR(D389="m", C389="y"),H389,0)</f>
        <v>0</v>
      </c>
      <c r="K389" s="43">
        <f>IF(AND(J389&gt;0,C389="y"),H389,0)</f>
        <v>0</v>
      </c>
      <c r="L389" s="927"/>
      <c r="M389" s="940"/>
      <c r="N389" s="6"/>
      <c r="O389" s="6"/>
      <c r="P389" s="6"/>
      <c r="Q389" s="6"/>
      <c r="R389" s="6"/>
      <c r="S389" s="6"/>
      <c r="T389" s="6"/>
    </row>
    <row r="390" spans="1:20" s="4" customFormat="1" ht="14.25" customHeight="1" x14ac:dyDescent="0.2">
      <c r="A390" s="313"/>
      <c r="B390" s="314"/>
      <c r="C390" s="315"/>
      <c r="D390" s="316"/>
      <c r="E390" s="52" t="s">
        <v>168</v>
      </c>
      <c r="F390" s="883" t="s">
        <v>388</v>
      </c>
      <c r="G390" s="884"/>
      <c r="H390" s="207">
        <v>1</v>
      </c>
      <c r="I390" s="652">
        <f>IF(AND(OR(A390="x", A390="p"),NOT(B390="n")),H390,0)</f>
        <v>0</v>
      </c>
      <c r="J390" s="653">
        <f>IF(OR(D390="m", C390="y"),H390,0)</f>
        <v>0</v>
      </c>
      <c r="K390" s="43">
        <f>IF(AND(J390&gt;0,C390="y"),H390,0)</f>
        <v>0</v>
      </c>
      <c r="L390" s="927"/>
      <c r="M390" s="940"/>
      <c r="N390" s="6"/>
      <c r="O390" s="6"/>
      <c r="P390" s="6"/>
      <c r="Q390" s="6"/>
      <c r="R390" s="6"/>
      <c r="S390" s="6"/>
      <c r="T390" s="6"/>
    </row>
    <row r="391" spans="1:20" s="4" customFormat="1" ht="32.25" customHeight="1" x14ac:dyDescent="0.2">
      <c r="A391" s="335"/>
      <c r="B391" s="336"/>
      <c r="C391" s="336"/>
      <c r="D391" s="337"/>
      <c r="E391" s="828">
        <v>11</v>
      </c>
      <c r="F391" s="1403" t="s">
        <v>389</v>
      </c>
      <c r="G391" s="888"/>
      <c r="H391" s="208"/>
      <c r="I391" s="140"/>
      <c r="J391" s="141"/>
      <c r="K391" s="43"/>
      <c r="L391" s="1315" t="s">
        <v>77</v>
      </c>
      <c r="M391" s="874"/>
      <c r="N391" s="5"/>
      <c r="O391" s="5"/>
      <c r="P391" s="5"/>
      <c r="Q391" s="5"/>
      <c r="R391" s="5"/>
      <c r="S391" s="5"/>
      <c r="T391" s="5"/>
    </row>
    <row r="392" spans="1:20" s="4" customFormat="1" ht="14.25" customHeight="1" x14ac:dyDescent="0.2">
      <c r="A392" s="338"/>
      <c r="B392" s="339"/>
      <c r="C392" s="340"/>
      <c r="D392" s="341"/>
      <c r="E392" s="182" t="s">
        <v>97</v>
      </c>
      <c r="F392" s="883" t="s">
        <v>390</v>
      </c>
      <c r="G392" s="884"/>
      <c r="H392" s="183">
        <v>1</v>
      </c>
      <c r="I392" s="654">
        <f t="shared" ref="I392:I398" si="16">IF(AND(OR(A392="x", A392="p"),NOT(B392="n")),H392,0)</f>
        <v>0</v>
      </c>
      <c r="J392" s="655">
        <f t="shared" ref="J392:J398" si="17">IF(OR(D392="m", C392="y"),H392,0)</f>
        <v>0</v>
      </c>
      <c r="K392" s="43">
        <f t="shared" ref="K392:K399" si="18">IF(AND(J392&gt;0,C392="y"),H392,0)</f>
        <v>0</v>
      </c>
      <c r="L392" s="927"/>
      <c r="M392" s="940"/>
      <c r="N392" s="5"/>
      <c r="O392" s="5"/>
      <c r="P392" s="5"/>
      <c r="Q392" s="5"/>
      <c r="R392" s="5"/>
      <c r="S392" s="5"/>
      <c r="T392" s="5"/>
    </row>
    <row r="393" spans="1:20" s="4" customFormat="1" ht="14.25" customHeight="1" x14ac:dyDescent="0.2">
      <c r="A393" s="305"/>
      <c r="B393" s="306"/>
      <c r="C393" s="307"/>
      <c r="D393" s="308"/>
      <c r="E393" s="182" t="s">
        <v>99</v>
      </c>
      <c r="F393" s="883" t="s">
        <v>391</v>
      </c>
      <c r="G393" s="884"/>
      <c r="H393" s="143">
        <v>3</v>
      </c>
      <c r="I393" s="652">
        <f t="shared" si="16"/>
        <v>0</v>
      </c>
      <c r="J393" s="653">
        <f t="shared" si="17"/>
        <v>0</v>
      </c>
      <c r="K393" s="43">
        <f t="shared" si="18"/>
        <v>0</v>
      </c>
      <c r="L393" s="927"/>
      <c r="M393" s="940"/>
      <c r="N393" s="5"/>
      <c r="O393" s="5"/>
      <c r="P393" s="5"/>
      <c r="Q393" s="5"/>
      <c r="R393" s="5"/>
      <c r="S393" s="5"/>
      <c r="T393" s="5"/>
    </row>
    <row r="394" spans="1:20" s="4" customFormat="1" ht="14.25" customHeight="1" x14ac:dyDescent="0.2">
      <c r="A394" s="390"/>
      <c r="B394" s="391"/>
      <c r="C394" s="392"/>
      <c r="D394" s="393"/>
      <c r="E394" s="142" t="s">
        <v>101</v>
      </c>
      <c r="F394" s="1227" t="s">
        <v>392</v>
      </c>
      <c r="G394" s="899"/>
      <c r="H394" s="154">
        <v>6</v>
      </c>
      <c r="I394" s="664">
        <f t="shared" si="16"/>
        <v>0</v>
      </c>
      <c r="J394" s="688">
        <f t="shared" si="17"/>
        <v>0</v>
      </c>
      <c r="K394" s="43">
        <f t="shared" si="18"/>
        <v>0</v>
      </c>
      <c r="L394" s="928"/>
      <c r="M394" s="946"/>
      <c r="N394" s="5"/>
      <c r="O394" s="1341" t="s">
        <v>393</v>
      </c>
      <c r="P394" s="930"/>
      <c r="Q394" s="930"/>
      <c r="R394" s="930"/>
      <c r="S394" s="6"/>
      <c r="T394" s="6"/>
    </row>
    <row r="395" spans="1:20" s="4" customFormat="1" ht="14.25" customHeight="1" x14ac:dyDescent="0.2">
      <c r="A395" s="390" t="s">
        <v>465</v>
      </c>
      <c r="B395" s="391"/>
      <c r="C395" s="392" t="s">
        <v>787</v>
      </c>
      <c r="D395" s="393"/>
      <c r="E395" s="829">
        <v>12</v>
      </c>
      <c r="F395" s="1336" t="s">
        <v>394</v>
      </c>
      <c r="G395" s="1337"/>
      <c r="H395" s="158">
        <v>3</v>
      </c>
      <c r="I395" s="44">
        <f t="shared" si="16"/>
        <v>3</v>
      </c>
      <c r="J395" s="45">
        <f t="shared" si="17"/>
        <v>3</v>
      </c>
      <c r="K395" s="43">
        <f t="shared" si="18"/>
        <v>3</v>
      </c>
      <c r="L395" s="25" t="s">
        <v>77</v>
      </c>
      <c r="M395" s="284" t="s">
        <v>733</v>
      </c>
      <c r="N395" s="6"/>
      <c r="O395" s="930"/>
      <c r="P395" s="930"/>
      <c r="Q395" s="930"/>
      <c r="R395" s="930"/>
      <c r="S395" s="6"/>
      <c r="T395" s="6"/>
    </row>
    <row r="396" spans="1:20" s="4" customFormat="1" ht="14.25" customHeight="1" x14ac:dyDescent="0.2">
      <c r="A396" s="317"/>
      <c r="B396" s="318"/>
      <c r="C396" s="319"/>
      <c r="D396" s="320"/>
      <c r="E396" s="796">
        <v>13</v>
      </c>
      <c r="F396" s="1025" t="s">
        <v>395</v>
      </c>
      <c r="G396" s="922"/>
      <c r="H396" s="40">
        <v>1</v>
      </c>
      <c r="I396" s="44">
        <f t="shared" si="16"/>
        <v>0</v>
      </c>
      <c r="J396" s="45">
        <f t="shared" si="17"/>
        <v>0</v>
      </c>
      <c r="K396" s="43">
        <f t="shared" si="18"/>
        <v>0</v>
      </c>
      <c r="L396" s="25" t="s">
        <v>77</v>
      </c>
      <c r="M396" s="284"/>
      <c r="N396" s="6"/>
      <c r="O396" s="930"/>
      <c r="P396" s="930"/>
      <c r="Q396" s="930"/>
      <c r="R396" s="930"/>
      <c r="S396" s="6"/>
      <c r="T396" s="6"/>
    </row>
    <row r="397" spans="1:20" s="4" customFormat="1" ht="14.25" customHeight="1" x14ac:dyDescent="0.2">
      <c r="A397" s="317"/>
      <c r="B397" s="318"/>
      <c r="C397" s="319"/>
      <c r="D397" s="320"/>
      <c r="E397" s="796">
        <v>14</v>
      </c>
      <c r="F397" s="1251" t="s">
        <v>396</v>
      </c>
      <c r="G397" s="922"/>
      <c r="H397" s="40">
        <v>2</v>
      </c>
      <c r="I397" s="44">
        <f t="shared" si="16"/>
        <v>0</v>
      </c>
      <c r="J397" s="45">
        <f t="shared" si="17"/>
        <v>0</v>
      </c>
      <c r="K397" s="43">
        <f t="shared" si="18"/>
        <v>0</v>
      </c>
      <c r="L397" s="25" t="s">
        <v>77</v>
      </c>
      <c r="M397" s="284"/>
      <c r="N397" s="6"/>
      <c r="O397" s="198" t="s">
        <v>697</v>
      </c>
      <c r="P397" s="6"/>
      <c r="Q397" s="6"/>
      <c r="R397" s="6"/>
      <c r="S397" s="6"/>
      <c r="T397" s="6"/>
    </row>
    <row r="398" spans="1:20" s="4" customFormat="1" ht="27" customHeight="1" x14ac:dyDescent="0.25">
      <c r="A398" s="321" t="s">
        <v>465</v>
      </c>
      <c r="B398" s="322"/>
      <c r="C398" s="323" t="s">
        <v>787</v>
      </c>
      <c r="D398" s="324"/>
      <c r="E398" s="788">
        <v>15</v>
      </c>
      <c r="F398" s="1251" t="s">
        <v>397</v>
      </c>
      <c r="G398" s="922"/>
      <c r="H398" s="62">
        <v>3</v>
      </c>
      <c r="I398" s="656">
        <f t="shared" si="16"/>
        <v>3</v>
      </c>
      <c r="J398" s="651">
        <f t="shared" si="17"/>
        <v>3</v>
      </c>
      <c r="K398" s="43">
        <f t="shared" si="18"/>
        <v>3</v>
      </c>
      <c r="L398" s="199" t="s">
        <v>376</v>
      </c>
      <c r="M398" s="725" t="s">
        <v>768</v>
      </c>
      <c r="N398" s="6"/>
      <c r="O398" s="748"/>
      <c r="P398" s="5"/>
      <c r="Q398" s="5"/>
      <c r="R398" s="5"/>
      <c r="S398" s="5"/>
      <c r="T398" s="5"/>
    </row>
    <row r="399" spans="1:20" s="4" customFormat="1" ht="30" customHeight="1" thickBot="1" x14ac:dyDescent="0.25">
      <c r="A399" s="317"/>
      <c r="B399" s="318"/>
      <c r="C399" s="319"/>
      <c r="D399" s="320"/>
      <c r="E399" s="793">
        <v>16</v>
      </c>
      <c r="F399" s="1340" t="s">
        <v>518</v>
      </c>
      <c r="G399" s="1256"/>
      <c r="H399" s="127">
        <v>1</v>
      </c>
      <c r="I399" s="44">
        <f>IF(AND(OR(A399="x", A399="p"),NOT(B399="n")),H399,0)</f>
        <v>0</v>
      </c>
      <c r="J399" s="45">
        <f>IF(OR(D399="m", C399="y"),H399,0)</f>
        <v>0</v>
      </c>
      <c r="K399" s="43">
        <f t="shared" si="18"/>
        <v>0</v>
      </c>
      <c r="L399" s="25" t="s">
        <v>448</v>
      </c>
      <c r="M399" s="284"/>
      <c r="N399" s="5"/>
      <c r="O399" s="5"/>
      <c r="P399" s="5"/>
      <c r="Q399" s="5"/>
      <c r="R399" s="5"/>
      <c r="S399" s="5"/>
      <c r="T399" s="5"/>
    </row>
    <row r="400" spans="1:20" s="7" customFormat="1" ht="14.25" customHeight="1" thickBot="1" x14ac:dyDescent="0.3">
      <c r="A400" s="476"/>
      <c r="B400" s="478"/>
      <c r="C400" s="478"/>
      <c r="D400" s="483" t="s">
        <v>398</v>
      </c>
      <c r="E400" s="130"/>
      <c r="F400" s="131"/>
      <c r="G400" s="132"/>
      <c r="H400" s="69"/>
      <c r="I400" s="70"/>
      <c r="J400" s="659"/>
      <c r="K400" s="71"/>
      <c r="L400" s="491"/>
      <c r="M400" s="492"/>
      <c r="N400" s="12"/>
      <c r="O400" s="242" t="str">
        <f>HYPERLINK("https://basc.pnnl.gov/indoor-airplus-checklist/21-approved-radon-resistant-features-installed-radon-zone-1-homes","DOE: Radon Resistant Features")</f>
        <v>DOE: Radon Resistant Features</v>
      </c>
      <c r="P400" s="17"/>
      <c r="Q400" s="17"/>
      <c r="R400" s="17"/>
      <c r="S400" s="17"/>
      <c r="T400" s="17"/>
    </row>
    <row r="401" spans="1:20" s="4" customFormat="1" ht="25.5" customHeight="1" x14ac:dyDescent="0.2">
      <c r="A401" s="335"/>
      <c r="B401" s="336"/>
      <c r="C401" s="336"/>
      <c r="D401" s="337"/>
      <c r="E401" s="827">
        <v>17</v>
      </c>
      <c r="F401" s="885" t="s">
        <v>656</v>
      </c>
      <c r="G401" s="882"/>
      <c r="H401" s="207"/>
      <c r="I401" s="140"/>
      <c r="J401" s="141"/>
      <c r="K401" s="37"/>
      <c r="L401" s="1020" t="s">
        <v>399</v>
      </c>
      <c r="M401" s="453"/>
      <c r="N401" s="6"/>
      <c r="O401" s="5"/>
      <c r="P401" s="42"/>
      <c r="Q401" s="42"/>
      <c r="R401" s="42"/>
      <c r="S401" s="42"/>
      <c r="T401" s="42"/>
    </row>
    <row r="402" spans="1:20" s="4" customFormat="1" ht="26.45" customHeight="1" x14ac:dyDescent="0.25">
      <c r="A402" s="305" t="s">
        <v>465</v>
      </c>
      <c r="B402" s="306"/>
      <c r="C402" s="307" t="s">
        <v>787</v>
      </c>
      <c r="D402" s="308"/>
      <c r="E402" s="53" t="s">
        <v>97</v>
      </c>
      <c r="F402" s="1300" t="s">
        <v>525</v>
      </c>
      <c r="G402" s="884"/>
      <c r="H402" s="50">
        <v>1</v>
      </c>
      <c r="I402" s="652">
        <f t="shared" ref="I402:I419" si="19">IF(AND(OR(A402="x", A402="p"),NOT(B402="n")),H402,0)</f>
        <v>1</v>
      </c>
      <c r="J402" s="653">
        <f t="shared" ref="J402:J419" si="20">IF(OR(D402="m", C402="y"),H402,0)</f>
        <v>1</v>
      </c>
      <c r="K402" s="160">
        <f t="shared" ref="K402:K418" si="21">IF(AND(J402&gt;0,C402="y"),H402,0)</f>
        <v>1</v>
      </c>
      <c r="L402" s="1406"/>
      <c r="M402" s="736" t="s">
        <v>769</v>
      </c>
      <c r="N402" s="6"/>
      <c r="O402" s="749" t="str">
        <f>HYPERLINK("https://www.epa.gov/sites/production/files/2017-01/documents/how_to_find_compliant_low_emission_products_508.pdf","Indoor Air Plus: Low Emission Products")</f>
        <v>Indoor Air Plus: Low Emission Products</v>
      </c>
      <c r="P402" s="5"/>
      <c r="Q402" s="6"/>
      <c r="R402" s="6"/>
      <c r="S402" s="6"/>
      <c r="T402" s="6"/>
    </row>
    <row r="403" spans="1:20" s="4" customFormat="1" ht="14.25" customHeight="1" x14ac:dyDescent="0.2">
      <c r="A403" s="305" t="s">
        <v>465</v>
      </c>
      <c r="B403" s="306"/>
      <c r="C403" s="307" t="s">
        <v>787</v>
      </c>
      <c r="D403" s="308"/>
      <c r="E403" s="53" t="s">
        <v>99</v>
      </c>
      <c r="F403" s="1300" t="s">
        <v>526</v>
      </c>
      <c r="G403" s="884"/>
      <c r="H403" s="50">
        <v>1</v>
      </c>
      <c r="I403" s="652">
        <f t="shared" si="19"/>
        <v>1</v>
      </c>
      <c r="J403" s="653">
        <f t="shared" si="20"/>
        <v>1</v>
      </c>
      <c r="K403" s="160">
        <f t="shared" si="21"/>
        <v>1</v>
      </c>
      <c r="L403" s="1406"/>
      <c r="M403" s="736" t="s">
        <v>770</v>
      </c>
      <c r="N403" s="6"/>
      <c r="O403" s="242"/>
      <c r="P403" s="5"/>
      <c r="Q403" s="6"/>
      <c r="R403" s="6"/>
      <c r="S403" s="6"/>
      <c r="T403" s="6"/>
    </row>
    <row r="404" spans="1:20" s="4" customFormat="1" ht="14.25" customHeight="1" x14ac:dyDescent="0.2">
      <c r="A404" s="305"/>
      <c r="B404" s="306"/>
      <c r="C404" s="307"/>
      <c r="D404" s="308"/>
      <c r="E404" s="53" t="s">
        <v>101</v>
      </c>
      <c r="F404" s="1300" t="s">
        <v>527</v>
      </c>
      <c r="G404" s="884"/>
      <c r="H404" s="50">
        <v>1</v>
      </c>
      <c r="I404" s="652">
        <f t="shared" si="19"/>
        <v>0</v>
      </c>
      <c r="J404" s="653">
        <f t="shared" si="20"/>
        <v>0</v>
      </c>
      <c r="K404" s="160">
        <f t="shared" si="21"/>
        <v>0</v>
      </c>
      <c r="L404" s="1406"/>
      <c r="M404" s="736"/>
      <c r="N404" s="6"/>
      <c r="O404" s="977" t="s">
        <v>400</v>
      </c>
      <c r="P404" s="930"/>
      <c r="Q404" s="930"/>
      <c r="R404" s="930"/>
      <c r="S404" s="6"/>
      <c r="T404" s="6"/>
    </row>
    <row r="405" spans="1:20" s="4" customFormat="1" ht="14.25" customHeight="1" x14ac:dyDescent="0.2">
      <c r="A405" s="305" t="s">
        <v>465</v>
      </c>
      <c r="B405" s="306"/>
      <c r="C405" s="307" t="s">
        <v>787</v>
      </c>
      <c r="D405" s="308"/>
      <c r="E405" s="161" t="s">
        <v>103</v>
      </c>
      <c r="F405" s="1278" t="s">
        <v>528</v>
      </c>
      <c r="G405" s="858"/>
      <c r="H405" s="50">
        <v>1</v>
      </c>
      <c r="I405" s="652">
        <f t="shared" si="19"/>
        <v>1</v>
      </c>
      <c r="J405" s="653">
        <f t="shared" si="20"/>
        <v>1</v>
      </c>
      <c r="K405" s="160">
        <f t="shared" si="21"/>
        <v>1</v>
      </c>
      <c r="L405" s="1406"/>
      <c r="M405" s="736" t="s">
        <v>771</v>
      </c>
      <c r="N405" s="6"/>
      <c r="O405" s="242" t="str">
        <f>HYPERLINK("https://www.calrecycle.ca.gov/greenbuilding/specs/section01350","CA Section 01350")</f>
        <v>CA Section 01350</v>
      </c>
      <c r="P405" s="42"/>
      <c r="Q405" s="5"/>
      <c r="R405" s="5"/>
      <c r="S405" s="6"/>
      <c r="T405" s="6"/>
    </row>
    <row r="406" spans="1:20" s="4" customFormat="1" ht="14.25" customHeight="1" x14ac:dyDescent="0.2">
      <c r="A406" s="305"/>
      <c r="B406" s="306"/>
      <c r="C406" s="307"/>
      <c r="D406" s="308"/>
      <c r="E406" s="53" t="s">
        <v>168</v>
      </c>
      <c r="F406" s="1338" t="s">
        <v>529</v>
      </c>
      <c r="G406" s="1339"/>
      <c r="H406" s="50">
        <v>1</v>
      </c>
      <c r="I406" s="652">
        <f t="shared" si="19"/>
        <v>0</v>
      </c>
      <c r="J406" s="653">
        <f t="shared" si="20"/>
        <v>0</v>
      </c>
      <c r="K406" s="160">
        <f t="shared" si="21"/>
        <v>0</v>
      </c>
      <c r="L406" s="1406"/>
      <c r="M406" s="736"/>
      <c r="N406" s="6"/>
      <c r="O406" s="1318" t="str">
        <f>HYPERLINK("https://www.ul.com/resources/ul-greenguard-certification-program","GREENGUARD")</f>
        <v>GREENGUARD</v>
      </c>
      <c r="P406" s="930"/>
      <c r="Q406" s="6"/>
      <c r="R406" s="6"/>
      <c r="S406" s="6"/>
      <c r="T406" s="6"/>
    </row>
    <row r="407" spans="1:20" s="4" customFormat="1" ht="14.25" customHeight="1" x14ac:dyDescent="0.2">
      <c r="A407" s="305"/>
      <c r="B407" s="306"/>
      <c r="C407" s="307"/>
      <c r="D407" s="308"/>
      <c r="E407" s="53" t="s">
        <v>165</v>
      </c>
      <c r="F407" s="1300" t="s">
        <v>530</v>
      </c>
      <c r="G407" s="884"/>
      <c r="H407" s="50">
        <v>1</v>
      </c>
      <c r="I407" s="652">
        <f t="shared" si="19"/>
        <v>0</v>
      </c>
      <c r="J407" s="653">
        <f t="shared" si="20"/>
        <v>0</v>
      </c>
      <c r="K407" s="160">
        <f t="shared" si="21"/>
        <v>0</v>
      </c>
      <c r="L407" s="1406"/>
      <c r="M407" s="736"/>
      <c r="N407" s="6"/>
      <c r="O407" s="933" t="str">
        <f>HYPERLINK("https://www.greenseal.org/green-seal-standards/gs-11/","Green Seal")</f>
        <v>Green Seal</v>
      </c>
      <c r="P407" s="930"/>
      <c r="Q407" s="930"/>
      <c r="R407" s="930"/>
      <c r="S407" s="930"/>
      <c r="T407" s="930"/>
    </row>
    <row r="408" spans="1:20" s="4" customFormat="1" ht="26.1" customHeight="1" x14ac:dyDescent="0.2">
      <c r="A408" s="305" t="s">
        <v>465</v>
      </c>
      <c r="B408" s="306"/>
      <c r="C408" s="307" t="s">
        <v>787</v>
      </c>
      <c r="D408" s="308"/>
      <c r="E408" s="53" t="s">
        <v>314</v>
      </c>
      <c r="F408" s="1300" t="s">
        <v>531</v>
      </c>
      <c r="G408" s="884"/>
      <c r="H408" s="50">
        <v>2</v>
      </c>
      <c r="I408" s="652">
        <f t="shared" si="19"/>
        <v>2</v>
      </c>
      <c r="J408" s="653">
        <f t="shared" si="20"/>
        <v>2</v>
      </c>
      <c r="K408" s="160">
        <f t="shared" si="21"/>
        <v>2</v>
      </c>
      <c r="L408" s="1406"/>
      <c r="M408" s="741" t="s">
        <v>772</v>
      </c>
      <c r="N408" s="6"/>
      <c r="O408" s="933" t="str">
        <f>HYPERLINK("https://carpet-rug.org/testing/green-label-plus/?highlight=green%20label","CRI Green Label")</f>
        <v>CRI Green Label</v>
      </c>
      <c r="P408" s="930"/>
      <c r="Q408" s="6"/>
      <c r="R408" s="6"/>
      <c r="S408" s="6"/>
      <c r="T408" s="6"/>
    </row>
    <row r="409" spans="1:20" s="4" customFormat="1" ht="14.25" customHeight="1" x14ac:dyDescent="0.2">
      <c r="A409" s="305"/>
      <c r="B409" s="306"/>
      <c r="C409" s="307"/>
      <c r="D409" s="308"/>
      <c r="E409" s="53" t="s">
        <v>401</v>
      </c>
      <c r="F409" s="1415" t="s">
        <v>532</v>
      </c>
      <c r="G409" s="1405"/>
      <c r="H409" s="50">
        <v>1</v>
      </c>
      <c r="I409" s="652">
        <f t="shared" si="19"/>
        <v>0</v>
      </c>
      <c r="J409" s="653">
        <f t="shared" si="20"/>
        <v>0</v>
      </c>
      <c r="K409" s="160">
        <f t="shared" si="21"/>
        <v>0</v>
      </c>
      <c r="L409" s="1406"/>
      <c r="M409" s="741"/>
      <c r="N409" s="6"/>
      <c r="O409" s="242" t="str">
        <f>HYPERLINK("https://www.scsglobalservices.com/certified-green-products-guide","SCS Indoor Advantage")</f>
        <v>SCS Indoor Advantage</v>
      </c>
      <c r="P409" s="42"/>
      <c r="Q409" s="6"/>
      <c r="R409" s="6"/>
      <c r="S409" s="6"/>
      <c r="T409" s="6"/>
    </row>
    <row r="410" spans="1:20" s="4" customFormat="1" ht="13.5" customHeight="1" x14ac:dyDescent="0.2">
      <c r="A410" s="423" t="s">
        <v>465</v>
      </c>
      <c r="B410" s="424"/>
      <c r="C410" s="425" t="s">
        <v>787</v>
      </c>
      <c r="D410" s="426"/>
      <c r="E410" s="162" t="s">
        <v>402</v>
      </c>
      <c r="F410" s="1300" t="s">
        <v>534</v>
      </c>
      <c r="G410" s="884"/>
      <c r="H410" s="173">
        <v>1</v>
      </c>
      <c r="I410" s="652">
        <f t="shared" si="19"/>
        <v>1</v>
      </c>
      <c r="J410" s="653">
        <f t="shared" si="20"/>
        <v>1</v>
      </c>
      <c r="K410" s="160">
        <f t="shared" si="21"/>
        <v>1</v>
      </c>
      <c r="L410" s="1406"/>
      <c r="M410" s="736" t="s">
        <v>773</v>
      </c>
      <c r="N410" s="5"/>
      <c r="O410" s="242" t="str">
        <f>HYPERLINK("https://living-future.org/declare/?status=compliant","Living Future Compliant Products")</f>
        <v>Living Future Compliant Products</v>
      </c>
      <c r="P410" s="6"/>
      <c r="Q410" s="6"/>
      <c r="R410" s="6"/>
      <c r="S410" s="6"/>
      <c r="T410" s="6"/>
    </row>
    <row r="411" spans="1:20" s="4" customFormat="1" ht="14.25" customHeight="1" x14ac:dyDescent="0.25">
      <c r="A411" s="305"/>
      <c r="B411" s="306"/>
      <c r="C411" s="307"/>
      <c r="D411" s="308"/>
      <c r="E411" s="53" t="s">
        <v>403</v>
      </c>
      <c r="F411" s="1386" t="s">
        <v>533</v>
      </c>
      <c r="G411" s="1175"/>
      <c r="H411" s="50">
        <v>1</v>
      </c>
      <c r="I411" s="652">
        <f t="shared" si="19"/>
        <v>0</v>
      </c>
      <c r="J411" s="653">
        <f t="shared" si="20"/>
        <v>0</v>
      </c>
      <c r="K411" s="160">
        <f t="shared" si="21"/>
        <v>0</v>
      </c>
      <c r="L411" s="1406"/>
      <c r="M411" s="736"/>
      <c r="N411" s="6"/>
      <c r="O411" s="749" t="str">
        <f>HYPERLINK("https://living-future.org/lbc/red-list/","Living Future: Red List Chemicals to Avoid")</f>
        <v>Living Future: Red List Chemicals to Avoid</v>
      </c>
      <c r="P411" s="42"/>
      <c r="Q411" s="6"/>
      <c r="R411" s="6"/>
      <c r="S411" s="6"/>
      <c r="T411" s="6"/>
    </row>
    <row r="412" spans="1:20" s="4" customFormat="1" ht="14.25" customHeight="1" x14ac:dyDescent="0.2">
      <c r="A412" s="305" t="s">
        <v>465</v>
      </c>
      <c r="B412" s="306"/>
      <c r="C412" s="307" t="s">
        <v>787</v>
      </c>
      <c r="D412" s="308"/>
      <c r="E412" s="53" t="s">
        <v>404</v>
      </c>
      <c r="F412" s="1386" t="s">
        <v>535</v>
      </c>
      <c r="G412" s="1175"/>
      <c r="H412" s="50">
        <v>2</v>
      </c>
      <c r="I412" s="652">
        <f t="shared" si="19"/>
        <v>2</v>
      </c>
      <c r="J412" s="653">
        <f t="shared" si="20"/>
        <v>2</v>
      </c>
      <c r="K412" s="160">
        <f t="shared" si="21"/>
        <v>2</v>
      </c>
      <c r="L412" s="1406"/>
      <c r="M412" s="742" t="s">
        <v>733</v>
      </c>
      <c r="N412" s="6"/>
      <c r="O412" s="242"/>
      <c r="P412" s="163"/>
      <c r="Q412" s="163"/>
      <c r="R412" s="163"/>
      <c r="S412" s="163"/>
      <c r="T412" s="163"/>
    </row>
    <row r="413" spans="1:20" s="4" customFormat="1" ht="14.25" customHeight="1" x14ac:dyDescent="0.2">
      <c r="A413" s="305"/>
      <c r="B413" s="306"/>
      <c r="C413" s="307"/>
      <c r="D413" s="308"/>
      <c r="E413" s="53" t="s">
        <v>405</v>
      </c>
      <c r="F413" s="1386" t="s">
        <v>538</v>
      </c>
      <c r="G413" s="1175"/>
      <c r="H413" s="50">
        <v>1</v>
      </c>
      <c r="I413" s="652">
        <f t="shared" si="19"/>
        <v>0</v>
      </c>
      <c r="J413" s="653">
        <f t="shared" si="20"/>
        <v>0</v>
      </c>
      <c r="K413" s="160">
        <f t="shared" si="21"/>
        <v>0</v>
      </c>
      <c r="L413" s="1406"/>
      <c r="M413" s="743"/>
      <c r="N413" s="6"/>
      <c r="O413" s="6"/>
      <c r="P413" s="6"/>
      <c r="Q413" s="6"/>
      <c r="R413" s="6"/>
      <c r="S413" s="6"/>
      <c r="T413" s="6"/>
    </row>
    <row r="414" spans="1:20" s="4" customFormat="1" ht="14.25" customHeight="1" x14ac:dyDescent="0.2">
      <c r="A414" s="305"/>
      <c r="B414" s="306"/>
      <c r="C414" s="307"/>
      <c r="D414" s="308"/>
      <c r="E414" s="53" t="s">
        <v>406</v>
      </c>
      <c r="F414" s="1386" t="s">
        <v>658</v>
      </c>
      <c r="G414" s="1175"/>
      <c r="H414" s="50">
        <v>1</v>
      </c>
      <c r="I414" s="652">
        <f t="shared" ref="I414" si="22">IF(AND(OR(A414="x", A414="p"),NOT(B414="n")),H414,0)</f>
        <v>0</v>
      </c>
      <c r="J414" s="653">
        <f t="shared" ref="J414" si="23">IF(OR(D414="m", C414="y"),H414,0)</f>
        <v>0</v>
      </c>
      <c r="K414" s="160">
        <f t="shared" ref="K414" si="24">IF(AND(J414&gt;0,C414="y"),H414,0)</f>
        <v>0</v>
      </c>
      <c r="L414" s="1406"/>
      <c r="M414" s="743"/>
      <c r="N414" s="6"/>
      <c r="O414" s="6"/>
      <c r="P414" s="6"/>
      <c r="Q414" s="6"/>
      <c r="R414" s="6"/>
      <c r="S414" s="6"/>
      <c r="T414" s="6"/>
    </row>
    <row r="415" spans="1:20" s="4" customFormat="1" ht="26.45" customHeight="1" x14ac:dyDescent="0.2">
      <c r="A415" s="305" t="s">
        <v>465</v>
      </c>
      <c r="B415" s="306"/>
      <c r="C415" s="307" t="s">
        <v>787</v>
      </c>
      <c r="D415" s="308"/>
      <c r="E415" s="53" t="s">
        <v>407</v>
      </c>
      <c r="F415" s="1386" t="s">
        <v>536</v>
      </c>
      <c r="G415" s="1175"/>
      <c r="H415" s="50">
        <v>1</v>
      </c>
      <c r="I415" s="652">
        <f t="shared" si="19"/>
        <v>1</v>
      </c>
      <c r="J415" s="653">
        <f t="shared" si="20"/>
        <v>1</v>
      </c>
      <c r="K415" s="160">
        <f t="shared" si="21"/>
        <v>1</v>
      </c>
      <c r="L415" s="1406"/>
      <c r="M415" s="744" t="s">
        <v>774</v>
      </c>
      <c r="N415" s="6"/>
      <c r="O415" s="6"/>
      <c r="P415" s="6"/>
      <c r="Q415" s="6"/>
      <c r="R415" s="6"/>
      <c r="S415" s="6"/>
      <c r="T415" s="6"/>
    </row>
    <row r="416" spans="1:20" s="4" customFormat="1" ht="14.25" customHeight="1" x14ac:dyDescent="0.2">
      <c r="A416" s="305"/>
      <c r="B416" s="306"/>
      <c r="C416" s="307"/>
      <c r="D416" s="308"/>
      <c r="E416" s="53" t="s">
        <v>408</v>
      </c>
      <c r="F416" s="1408" t="s">
        <v>537</v>
      </c>
      <c r="G416" s="1277"/>
      <c r="H416" s="50">
        <v>1</v>
      </c>
      <c r="I416" s="652">
        <f t="shared" si="19"/>
        <v>0</v>
      </c>
      <c r="J416" s="653">
        <f t="shared" si="20"/>
        <v>0</v>
      </c>
      <c r="K416" s="160">
        <f t="shared" si="21"/>
        <v>0</v>
      </c>
      <c r="L416" s="1406"/>
      <c r="M416" s="453"/>
      <c r="N416" s="6"/>
      <c r="O416" s="6"/>
      <c r="P416" s="6"/>
      <c r="Q416" s="6"/>
      <c r="R416" s="6"/>
      <c r="S416" s="6"/>
      <c r="T416" s="6"/>
    </row>
    <row r="417" spans="1:20" s="4" customFormat="1" ht="14.25" customHeight="1" x14ac:dyDescent="0.2">
      <c r="A417" s="305"/>
      <c r="B417" s="306"/>
      <c r="C417" s="307"/>
      <c r="D417" s="308"/>
      <c r="E417" s="53" t="s">
        <v>465</v>
      </c>
      <c r="F417" s="1404" t="s">
        <v>607</v>
      </c>
      <c r="G417" s="1405"/>
      <c r="H417" s="50">
        <v>1</v>
      </c>
      <c r="I417" s="652">
        <f>IF(AND(OR(A417="x", A417="p"),NOT(B417="n")),H417,0)</f>
        <v>0</v>
      </c>
      <c r="J417" s="653">
        <f>IF(OR(D417="m", C417="y"),H417,0)</f>
        <v>0</v>
      </c>
      <c r="K417" s="160">
        <f>IF(AND(J417&gt;0,C417="y"),H417,0)</f>
        <v>0</v>
      </c>
      <c r="L417" s="1406"/>
      <c r="M417" s="453"/>
      <c r="N417" s="6"/>
      <c r="O417" s="6"/>
      <c r="P417" s="6"/>
      <c r="Q417" s="6"/>
      <c r="R417" s="6"/>
      <c r="S417" s="6"/>
      <c r="T417" s="6"/>
    </row>
    <row r="418" spans="1:20" s="4" customFormat="1" ht="14.25" customHeight="1" x14ac:dyDescent="0.2">
      <c r="A418" s="305"/>
      <c r="B418" s="306"/>
      <c r="C418" s="307"/>
      <c r="D418" s="308"/>
      <c r="E418" s="53" t="s">
        <v>467</v>
      </c>
      <c r="F418" s="1404" t="s">
        <v>606</v>
      </c>
      <c r="G418" s="1405"/>
      <c r="H418" s="50">
        <v>1</v>
      </c>
      <c r="I418" s="652">
        <f t="shared" si="19"/>
        <v>0</v>
      </c>
      <c r="J418" s="653">
        <f t="shared" si="20"/>
        <v>0</v>
      </c>
      <c r="K418" s="160">
        <f t="shared" si="21"/>
        <v>0</v>
      </c>
      <c r="L418" s="1407"/>
      <c r="M418" s="453"/>
      <c r="N418" s="6"/>
      <c r="O418" s="6"/>
      <c r="P418" s="6"/>
      <c r="Q418" s="6"/>
      <c r="R418" s="6"/>
      <c r="S418" s="6"/>
      <c r="T418" s="6"/>
    </row>
    <row r="419" spans="1:20" s="4" customFormat="1" ht="14.25" customHeight="1" x14ac:dyDescent="0.2">
      <c r="A419" s="317" t="s">
        <v>465</v>
      </c>
      <c r="B419" s="318"/>
      <c r="C419" s="319" t="s">
        <v>787</v>
      </c>
      <c r="D419" s="320"/>
      <c r="E419" s="793">
        <v>18</v>
      </c>
      <c r="F419" s="1025" t="s">
        <v>409</v>
      </c>
      <c r="G419" s="922"/>
      <c r="H419" s="127">
        <v>2</v>
      </c>
      <c r="I419" s="44">
        <f t="shared" si="19"/>
        <v>2</v>
      </c>
      <c r="J419" s="45">
        <f t="shared" si="20"/>
        <v>2</v>
      </c>
      <c r="K419" s="39">
        <f>IF(AND(J419&gt;0,C419="y"),H419,0)</f>
        <v>2</v>
      </c>
      <c r="L419" s="25" t="s">
        <v>410</v>
      </c>
      <c r="M419" s="724" t="s">
        <v>732</v>
      </c>
      <c r="N419" s="5"/>
      <c r="O419" s="5"/>
      <c r="P419" s="6"/>
      <c r="Q419" s="6"/>
      <c r="R419" s="6"/>
      <c r="S419" s="6"/>
      <c r="T419" s="6"/>
    </row>
    <row r="420" spans="1:20" s="4" customFormat="1" ht="29.25" customHeight="1" thickBot="1" x14ac:dyDescent="0.25">
      <c r="A420" s="348"/>
      <c r="B420" s="349"/>
      <c r="C420" s="350"/>
      <c r="D420" s="351"/>
      <c r="E420" s="792">
        <v>19</v>
      </c>
      <c r="F420" s="1412" t="s">
        <v>151</v>
      </c>
      <c r="G420" s="1193"/>
      <c r="H420" s="427" t="s">
        <v>152</v>
      </c>
      <c r="I420" s="658">
        <f>IF(AND(OR(A420="x", A420="p"),NOT(B420="n"), H420&lt;=7),H420,0)</f>
        <v>0</v>
      </c>
      <c r="J420" s="141">
        <f>IF(AND(OR(D420="m", C420="y"), H420&lt;=7),H420,0)</f>
        <v>0</v>
      </c>
      <c r="K420" s="43">
        <f>IF(AND(J420&gt;0,C420="y"),H420,0)</f>
        <v>0</v>
      </c>
      <c r="L420" s="197" t="s">
        <v>195</v>
      </c>
      <c r="M420" s="724"/>
      <c r="N420" s="6"/>
      <c r="O420" s="6"/>
      <c r="P420" s="5"/>
      <c r="Q420" s="5"/>
      <c r="R420" s="5"/>
      <c r="S420" s="5"/>
      <c r="T420" s="5"/>
    </row>
    <row r="421" spans="1:20" s="4" customFormat="1" ht="14.25" customHeight="1" thickTop="1" thickBot="1" x14ac:dyDescent="0.3">
      <c r="A421" s="1183" t="s">
        <v>604</v>
      </c>
      <c r="B421" s="1184"/>
      <c r="C421" s="1184"/>
      <c r="D421" s="1184"/>
      <c r="E421" s="1184"/>
      <c r="F421" s="1184"/>
      <c r="G421" s="1184"/>
      <c r="H421" s="1185"/>
      <c r="I421" s="666">
        <f>SUM(I368:I420)</f>
        <v>26</v>
      </c>
      <c r="J421" s="666">
        <f>SUM(J368:J420)</f>
        <v>26</v>
      </c>
      <c r="K421" s="151">
        <f>SUM(K368:K420)</f>
        <v>26</v>
      </c>
      <c r="L421" s="119"/>
      <c r="M421" s="164"/>
      <c r="N421" s="5"/>
      <c r="O421" s="5"/>
      <c r="P421" s="5"/>
      <c r="Q421" s="5"/>
      <c r="R421" s="5"/>
      <c r="S421" s="5"/>
      <c r="T421" s="5"/>
    </row>
    <row r="422" spans="1:20" s="456" customFormat="1" ht="35.1" customHeight="1" thickTop="1" thickBot="1" x14ac:dyDescent="0.25">
      <c r="A422" s="862" t="s">
        <v>58</v>
      </c>
      <c r="B422" s="862"/>
      <c r="C422" s="862"/>
      <c r="D422" s="862"/>
      <c r="E422" s="862"/>
      <c r="F422" s="862"/>
      <c r="G422" s="862"/>
      <c r="H422" s="862"/>
      <c r="I422" s="862"/>
      <c r="J422" s="862"/>
      <c r="K422" s="862"/>
      <c r="L422" s="862"/>
      <c r="M422" s="862"/>
      <c r="O422" s="290"/>
      <c r="P422" s="290"/>
      <c r="Q422" s="290"/>
      <c r="R422" s="290"/>
      <c r="S422" s="290"/>
      <c r="T422" s="290"/>
    </row>
    <row r="423" spans="1:20" s="4" customFormat="1" ht="12.75" customHeight="1" thickBot="1" x14ac:dyDescent="0.3">
      <c r="A423" s="26"/>
      <c r="B423" s="27"/>
      <c r="C423" s="28"/>
      <c r="D423" s="29"/>
      <c r="E423" s="1323" t="s">
        <v>596</v>
      </c>
      <c r="F423" s="1217"/>
      <c r="G423" s="1218"/>
      <c r="H423" s="1413" t="s">
        <v>87</v>
      </c>
      <c r="I423" s="1005" t="s">
        <v>88</v>
      </c>
      <c r="J423" s="1006"/>
      <c r="K423" s="569"/>
      <c r="L423" s="1007" t="s">
        <v>89</v>
      </c>
      <c r="M423" s="1008" t="s">
        <v>197</v>
      </c>
      <c r="O423" s="5"/>
      <c r="P423" s="5"/>
      <c r="Q423" s="5"/>
      <c r="R423" s="5"/>
      <c r="S423" s="5"/>
      <c r="T423" s="5"/>
    </row>
    <row r="424" spans="1:20" s="4" customFormat="1" ht="15.75" thickBot="1" x14ac:dyDescent="0.25">
      <c r="A424" s="30" t="s">
        <v>0</v>
      </c>
      <c r="B424" s="31" t="s">
        <v>1</v>
      </c>
      <c r="C424" s="32" t="s">
        <v>91</v>
      </c>
      <c r="D424" s="33" t="s">
        <v>92</v>
      </c>
      <c r="E424" s="1219"/>
      <c r="F424" s="1220"/>
      <c r="G424" s="1201"/>
      <c r="H424" s="1414"/>
      <c r="I424" s="649" t="s">
        <v>93</v>
      </c>
      <c r="J424" s="650" t="s">
        <v>94</v>
      </c>
      <c r="K424" s="570"/>
      <c r="L424" s="915"/>
      <c r="M424" s="1009"/>
      <c r="O424" s="5"/>
      <c r="P424" s="6"/>
      <c r="Q424" s="6"/>
      <c r="R424" s="6"/>
      <c r="S424" s="6"/>
      <c r="T424" s="6"/>
    </row>
    <row r="425" spans="1:20" s="4" customFormat="1" ht="23.25" customHeight="1" thickBot="1" x14ac:dyDescent="0.25">
      <c r="A425" s="135"/>
      <c r="B425" s="159"/>
      <c r="C425" s="159"/>
      <c r="D425" s="49"/>
      <c r="E425" s="156">
        <v>1</v>
      </c>
      <c r="F425" s="885" t="s">
        <v>539</v>
      </c>
      <c r="G425" s="882"/>
      <c r="H425" s="1410" t="s">
        <v>641</v>
      </c>
      <c r="I425" s="1235">
        <f>IF(AND(A426="p",F426&gt;0,NOT(B426="n")),IF(F426&lt;2500,MIN(ROUNDDOWN(((2600-F426)/100),0),25),0),0)</f>
        <v>0</v>
      </c>
      <c r="J425" s="1240">
        <f>IF(AND(OR(D426="m",C426="y"),F426&gt;0),IF(F426&lt;2500,MIN(ROUNDDOWN(((2600-F426)/100),0),25),0),0)</f>
        <v>0</v>
      </c>
      <c r="K425" s="1241">
        <f>IF(AND(OR(C426="y"),F426&gt;0),IF(F426&lt;2500,MIN(ROUNDDOWN(((2500-F426)/100),0),25),0),0)</f>
        <v>0</v>
      </c>
      <c r="L425" s="865" t="s">
        <v>411</v>
      </c>
      <c r="M425" s="874" t="s">
        <v>775</v>
      </c>
      <c r="N425" s="6"/>
      <c r="O425" s="6"/>
      <c r="P425" s="6"/>
      <c r="Q425" s="6"/>
      <c r="R425" s="6"/>
      <c r="S425" s="6"/>
      <c r="T425" s="6"/>
    </row>
    <row r="426" spans="1:20" s="4" customFormat="1" ht="15" customHeight="1" thickBot="1" x14ac:dyDescent="0.25">
      <c r="A426" s="338"/>
      <c r="B426" s="339"/>
      <c r="C426" s="340"/>
      <c r="D426" s="341"/>
      <c r="E426" s="165"/>
      <c r="F426" s="347">
        <v>2500</v>
      </c>
      <c r="G426" s="166" t="s">
        <v>412</v>
      </c>
      <c r="H426" s="1411"/>
      <c r="I426" s="952"/>
      <c r="J426" s="1409"/>
      <c r="K426" s="928"/>
      <c r="L426" s="927"/>
      <c r="M426" s="940"/>
      <c r="N426" s="6"/>
      <c r="O426" s="17"/>
      <c r="P426" s="6"/>
      <c r="Q426" s="6"/>
      <c r="R426" s="6"/>
      <c r="S426" s="6"/>
      <c r="T426" s="6"/>
    </row>
    <row r="427" spans="1:20" s="7" customFormat="1" ht="15" customHeight="1" thickBot="1" x14ac:dyDescent="0.3">
      <c r="A427" s="476"/>
      <c r="B427" s="478"/>
      <c r="C427" s="478"/>
      <c r="D427" s="482" t="s">
        <v>413</v>
      </c>
      <c r="E427" s="130"/>
      <c r="F427" s="122"/>
      <c r="G427" s="167"/>
      <c r="H427" s="69"/>
      <c r="I427" s="70"/>
      <c r="J427" s="675"/>
      <c r="K427" s="43"/>
      <c r="L427" s="491"/>
      <c r="M427" s="492"/>
      <c r="N427" s="17"/>
      <c r="O427" s="17"/>
      <c r="P427" s="17"/>
      <c r="Q427" s="17"/>
      <c r="R427" s="17"/>
      <c r="S427" s="17"/>
      <c r="T427" s="17"/>
    </row>
    <row r="428" spans="1:20" s="4" customFormat="1" ht="18" customHeight="1" x14ac:dyDescent="0.2">
      <c r="A428" s="317"/>
      <c r="B428" s="318"/>
      <c r="C428" s="319"/>
      <c r="D428" s="320"/>
      <c r="E428" s="793">
        <v>2</v>
      </c>
      <c r="F428" s="1025" t="s">
        <v>414</v>
      </c>
      <c r="G428" s="922"/>
      <c r="H428" s="127">
        <v>2</v>
      </c>
      <c r="I428" s="44">
        <f>IF(AND(OR(A428="x", A428="p"),NOT(B428="n")),H428,0)</f>
        <v>0</v>
      </c>
      <c r="J428" s="45">
        <f>IF(OR(D428="m", C428="y"),H428,0)</f>
        <v>0</v>
      </c>
      <c r="K428" s="43">
        <f>IF(AND(J428&gt;0,C428="y"),H428,0)</f>
        <v>0</v>
      </c>
      <c r="L428" s="25" t="s">
        <v>415</v>
      </c>
      <c r="M428" s="284"/>
      <c r="N428" s="5"/>
      <c r="O428" s="5"/>
      <c r="P428" s="5"/>
      <c r="Q428" s="5"/>
      <c r="R428" s="5"/>
      <c r="S428" s="5"/>
      <c r="T428" s="5"/>
    </row>
    <row r="429" spans="1:20" s="4" customFormat="1" ht="42.75" x14ac:dyDescent="0.2">
      <c r="A429" s="376"/>
      <c r="B429" s="377"/>
      <c r="C429" s="378"/>
      <c r="D429" s="379"/>
      <c r="E429" s="790">
        <v>3</v>
      </c>
      <c r="F429" s="1195" t="s">
        <v>416</v>
      </c>
      <c r="G429" s="888"/>
      <c r="H429" s="169">
        <v>3</v>
      </c>
      <c r="I429" s="681">
        <f>IF(AND(OR(A429="x", A429="p"),NOT(B429="n")),H429,0)</f>
        <v>0</v>
      </c>
      <c r="J429" s="651">
        <f>IF(OR(D429="m", C429="y"),H429,0)</f>
        <v>0</v>
      </c>
      <c r="K429" s="43">
        <f>IF(AND(J429&gt;0,C429="y"),H429,0)</f>
        <v>0</v>
      </c>
      <c r="L429" s="25" t="s">
        <v>517</v>
      </c>
      <c r="M429" s="725"/>
      <c r="N429" s="5"/>
      <c r="O429" s="5"/>
      <c r="P429" s="5"/>
      <c r="Q429" s="5"/>
      <c r="R429" s="5"/>
      <c r="S429" s="5"/>
      <c r="T429" s="5"/>
    </row>
    <row r="430" spans="1:20" s="4" customFormat="1" ht="30" customHeight="1" x14ac:dyDescent="0.2">
      <c r="A430" s="428"/>
      <c r="B430" s="429"/>
      <c r="C430" s="429"/>
      <c r="D430" s="430"/>
      <c r="E430" s="830">
        <v>4</v>
      </c>
      <c r="F430" s="1387" t="s">
        <v>648</v>
      </c>
      <c r="G430" s="1388"/>
      <c r="H430" s="170"/>
      <c r="I430" s="712"/>
      <c r="J430" s="713"/>
      <c r="K430" s="171"/>
      <c r="L430" s="1211" t="s">
        <v>417</v>
      </c>
      <c r="M430" s="401"/>
      <c r="N430" s="5"/>
      <c r="O430" s="977" t="s">
        <v>40</v>
      </c>
      <c r="P430" s="930"/>
      <c r="Q430" s="930"/>
      <c r="R430" s="930"/>
      <c r="S430" s="930"/>
      <c r="T430" s="5"/>
    </row>
    <row r="431" spans="1:20" s="4" customFormat="1" ht="14.25" x14ac:dyDescent="0.2">
      <c r="A431" s="431"/>
      <c r="B431" s="432"/>
      <c r="C431" s="433"/>
      <c r="D431" s="434"/>
      <c r="E431" s="172" t="s">
        <v>97</v>
      </c>
      <c r="F431" s="1372" t="s">
        <v>557</v>
      </c>
      <c r="G431" s="1175"/>
      <c r="H431" s="173">
        <v>1</v>
      </c>
      <c r="I431" s="652">
        <f t="shared" ref="I431:I437" si="25">IF(AND(OR(A431="x", A431="p"),NOT(B431="n")),H431,0)</f>
        <v>0</v>
      </c>
      <c r="J431" s="653">
        <f t="shared" ref="J431:J437" si="26">IF(OR(D431="m", C431="y"),H431,0)</f>
        <v>0</v>
      </c>
      <c r="K431" s="174">
        <f t="shared" ref="K431:K436" si="27">IF(AND(J431&gt;0,C431="y"),H431,0)</f>
        <v>0</v>
      </c>
      <c r="L431" s="1212"/>
      <c r="M431" s="740"/>
      <c r="N431" s="5"/>
      <c r="O431" s="198" t="str">
        <f>HYPERLINK("https://p2infohouse.org/ref/11/10171.pdf","Builders Field Guide to Residential Construction Waste")</f>
        <v>Builders Field Guide to Residential Construction Waste</v>
      </c>
      <c r="P431" s="5"/>
      <c r="Q431" s="5"/>
      <c r="R431" s="5"/>
      <c r="S431" s="5"/>
      <c r="T431" s="5"/>
    </row>
    <row r="432" spans="1:20" s="4" customFormat="1" ht="14.25" x14ac:dyDescent="0.2">
      <c r="A432" s="423" t="s">
        <v>465</v>
      </c>
      <c r="B432" s="424"/>
      <c r="C432" s="425" t="s">
        <v>787</v>
      </c>
      <c r="D432" s="426"/>
      <c r="E432" s="175" t="s">
        <v>99</v>
      </c>
      <c r="F432" s="1389" t="s">
        <v>558</v>
      </c>
      <c r="G432" s="884"/>
      <c r="H432" s="173">
        <v>1</v>
      </c>
      <c r="I432" s="652">
        <f t="shared" si="25"/>
        <v>1</v>
      </c>
      <c r="J432" s="653">
        <f t="shared" si="26"/>
        <v>1</v>
      </c>
      <c r="K432" s="174">
        <f t="shared" si="27"/>
        <v>1</v>
      </c>
      <c r="L432" s="1212"/>
      <c r="M432" s="740" t="s">
        <v>732</v>
      </c>
      <c r="N432" s="5"/>
      <c r="O432" s="5"/>
      <c r="P432" s="5"/>
      <c r="Q432" s="5"/>
      <c r="R432" s="5"/>
      <c r="S432" s="5"/>
      <c r="T432" s="5"/>
    </row>
    <row r="433" spans="1:20" s="4" customFormat="1" ht="14.25" x14ac:dyDescent="0.2">
      <c r="A433" s="423"/>
      <c r="B433" s="424"/>
      <c r="C433" s="425"/>
      <c r="D433" s="426"/>
      <c r="E433" s="175" t="s">
        <v>101</v>
      </c>
      <c r="F433" s="1389" t="s">
        <v>559</v>
      </c>
      <c r="G433" s="884"/>
      <c r="H433" s="173">
        <v>1</v>
      </c>
      <c r="I433" s="652">
        <f t="shared" si="25"/>
        <v>0</v>
      </c>
      <c r="J433" s="653">
        <f t="shared" si="26"/>
        <v>0</v>
      </c>
      <c r="K433" s="174">
        <f t="shared" si="27"/>
        <v>0</v>
      </c>
      <c r="L433" s="1212"/>
      <c r="M433" s="740"/>
      <c r="N433" s="5"/>
      <c r="O433" s="5"/>
      <c r="P433" s="5"/>
      <c r="Q433" s="5"/>
      <c r="R433" s="5"/>
      <c r="S433" s="5"/>
      <c r="T433" s="5"/>
    </row>
    <row r="434" spans="1:20" s="4" customFormat="1" ht="14.25" x14ac:dyDescent="0.2">
      <c r="A434" s="435"/>
      <c r="B434" s="436"/>
      <c r="C434" s="437"/>
      <c r="D434" s="438"/>
      <c r="E434" s="176" t="s">
        <v>103</v>
      </c>
      <c r="F434" s="1389" t="s">
        <v>560</v>
      </c>
      <c r="G434" s="884"/>
      <c r="H434" s="177">
        <v>1</v>
      </c>
      <c r="I434" s="652">
        <f t="shared" si="25"/>
        <v>0</v>
      </c>
      <c r="J434" s="653">
        <f t="shared" si="26"/>
        <v>0</v>
      </c>
      <c r="K434" s="174">
        <f t="shared" si="27"/>
        <v>0</v>
      </c>
      <c r="L434" s="1212"/>
      <c r="M434" s="738"/>
      <c r="N434" s="5"/>
      <c r="O434" s="5"/>
      <c r="P434" s="5"/>
      <c r="Q434" s="5"/>
      <c r="R434" s="5"/>
      <c r="S434" s="5"/>
      <c r="T434" s="5"/>
    </row>
    <row r="435" spans="1:20" s="4" customFormat="1" ht="14.25" x14ac:dyDescent="0.2">
      <c r="A435" s="435"/>
      <c r="B435" s="436"/>
      <c r="C435" s="437"/>
      <c r="D435" s="438"/>
      <c r="E435" s="176" t="s">
        <v>168</v>
      </c>
      <c r="F435" s="1390" t="s">
        <v>561</v>
      </c>
      <c r="G435" s="858"/>
      <c r="H435" s="177">
        <v>1</v>
      </c>
      <c r="I435" s="652">
        <f t="shared" si="25"/>
        <v>0</v>
      </c>
      <c r="J435" s="653">
        <f t="shared" si="26"/>
        <v>0</v>
      </c>
      <c r="K435" s="174">
        <f t="shared" si="27"/>
        <v>0</v>
      </c>
      <c r="L435" s="1212"/>
      <c r="M435" s="738"/>
      <c r="N435" s="5"/>
      <c r="O435" s="12"/>
      <c r="P435" s="5"/>
      <c r="Q435" s="5"/>
      <c r="R435" s="5"/>
      <c r="S435" s="5"/>
      <c r="T435" s="5"/>
    </row>
    <row r="436" spans="1:20" s="4" customFormat="1" ht="14.25" x14ac:dyDescent="0.2">
      <c r="A436" s="439"/>
      <c r="B436" s="440"/>
      <c r="C436" s="441"/>
      <c r="D436" s="442"/>
      <c r="E436" s="178" t="s">
        <v>165</v>
      </c>
      <c r="F436" s="1391" t="s">
        <v>471</v>
      </c>
      <c r="G436" s="899"/>
      <c r="H436" s="177">
        <v>1</v>
      </c>
      <c r="I436" s="664">
        <f t="shared" si="25"/>
        <v>0</v>
      </c>
      <c r="J436" s="688">
        <f t="shared" si="26"/>
        <v>0</v>
      </c>
      <c r="K436" s="174">
        <f t="shared" si="27"/>
        <v>0</v>
      </c>
      <c r="L436" s="1213"/>
      <c r="M436" s="738"/>
      <c r="N436" s="5"/>
      <c r="O436" s="5"/>
      <c r="P436" s="5"/>
      <c r="Q436" s="5"/>
      <c r="R436" s="5"/>
      <c r="S436" s="5"/>
      <c r="T436" s="5"/>
    </row>
    <row r="437" spans="1:20" s="4" customFormat="1" ht="27.75" customHeight="1" thickBot="1" x14ac:dyDescent="0.25">
      <c r="A437" s="386"/>
      <c r="B437" s="387"/>
      <c r="C437" s="388"/>
      <c r="D437" s="389"/>
      <c r="E437" s="786">
        <v>5</v>
      </c>
      <c r="F437" s="1392" t="s">
        <v>418</v>
      </c>
      <c r="G437" s="1393"/>
      <c r="H437" s="427"/>
      <c r="I437" s="714">
        <f t="shared" si="25"/>
        <v>0</v>
      </c>
      <c r="J437" s="141">
        <f t="shared" si="26"/>
        <v>0</v>
      </c>
      <c r="K437" s="36">
        <f>IF(AND(J437&gt;0,C437="y"),H437,0)</f>
        <v>0</v>
      </c>
      <c r="L437" s="197"/>
      <c r="M437" s="724"/>
      <c r="N437" s="6"/>
      <c r="O437" s="977" t="s">
        <v>40</v>
      </c>
      <c r="P437" s="930"/>
      <c r="Q437" s="930"/>
      <c r="R437" s="930"/>
      <c r="S437" s="930"/>
      <c r="T437" s="6"/>
    </row>
    <row r="438" spans="1:20" s="474" customFormat="1" ht="21" customHeight="1" x14ac:dyDescent="0.2">
      <c r="A438" s="435"/>
      <c r="B438" s="436"/>
      <c r="C438" s="437"/>
      <c r="D438" s="438"/>
      <c r="E438" s="466"/>
      <c r="F438" s="535">
        <v>0</v>
      </c>
      <c r="G438" s="467" t="s">
        <v>419</v>
      </c>
      <c r="H438" s="468" t="s">
        <v>420</v>
      </c>
      <c r="I438" s="715">
        <f>IF(AND(NOT(B438="n"),A438="p",ISNUMBER(F438),F438&gt;-0.01),MIN(8,MAX(ROUNDDOWN(((4.667-F438)/4.667*10),0))),I9)</f>
        <v>0</v>
      </c>
      <c r="J438" s="716">
        <f>IF(AND(OR(C438="y",D438="m"),ISNUMBER(F438),F438&gt;-0.01),MIN(8,MAX(ROUNDDOWN(((4.667-F438)/4.667*10),0))),0)</f>
        <v>0</v>
      </c>
      <c r="K438" s="469">
        <f>IF(AND(OR(C438="y"),ISNUMBER(F438),F438&gt;-0.01),MIN(8,MAX(ROUNDDOWN(((4.667-F438)/4.667*10),0))),0)</f>
        <v>0</v>
      </c>
      <c r="L438" s="470" t="s">
        <v>421</v>
      </c>
      <c r="M438" s="739"/>
      <c r="N438" s="471"/>
      <c r="O438" s="472" t="str">
        <f>HYPERLINK("https://p2infohouse.org/ref/11/10171.pdf","Builders Field Guide to Residential Construction Waste")</f>
        <v>Builders Field Guide to Residential Construction Waste</v>
      </c>
      <c r="P438" s="473"/>
      <c r="Q438" s="473"/>
      <c r="R438" s="473"/>
      <c r="S438" s="473"/>
      <c r="T438" s="473"/>
    </row>
    <row r="439" spans="1:20" s="4" customFormat="1" thickBot="1" x14ac:dyDescent="0.25">
      <c r="A439" s="462"/>
      <c r="B439" s="463"/>
      <c r="C439" s="464"/>
      <c r="D439" s="465"/>
      <c r="E439" s="179"/>
      <c r="F439" s="536">
        <v>0</v>
      </c>
      <c r="G439" s="255" t="s">
        <v>422</v>
      </c>
      <c r="H439" s="455" t="s">
        <v>423</v>
      </c>
      <c r="I439" s="703">
        <f>IF(AND(NOT(B439="n"),A439="p",NOT(I429&gt;0),ISNUMBER(F439),F439&gt;0),MIN(10,MAX(0,ROUNDDOWN(F439/10,0))),0)</f>
        <v>0</v>
      </c>
      <c r="J439" s="717">
        <f>IF(AND(OR(D439="m",C439="y"),ISNUMBER(F439),F439&gt;0),MIN(10,MAX(0,ROUNDDOWN(F439/10,0))),0)</f>
        <v>0</v>
      </c>
      <c r="K439" s="180">
        <f>IF(AND(OR(C439="y"),ISNUMBER(F439),F439&gt;0),MIN(10,MAX(0,ROUNDDOWN(F439/10,0))),0)</f>
        <v>0</v>
      </c>
      <c r="L439" s="181" t="s">
        <v>77</v>
      </c>
      <c r="M439" s="738"/>
      <c r="N439" s="6"/>
      <c r="O439" s="6"/>
      <c r="P439" s="5"/>
      <c r="Q439" s="5"/>
      <c r="R439" s="5"/>
      <c r="S439" s="5"/>
      <c r="T439" s="5"/>
    </row>
    <row r="440" spans="1:20" s="7" customFormat="1" ht="14.25" customHeight="1" thickBot="1" x14ac:dyDescent="0.3">
      <c r="A440" s="476"/>
      <c r="B440" s="478"/>
      <c r="C440" s="478"/>
      <c r="D440" s="481" t="s">
        <v>424</v>
      </c>
      <c r="E440" s="130"/>
      <c r="F440" s="131"/>
      <c r="G440" s="167"/>
      <c r="H440" s="69"/>
      <c r="I440" s="70"/>
      <c r="J440" s="659"/>
      <c r="K440" s="76"/>
      <c r="L440" s="491"/>
      <c r="M440" s="500"/>
      <c r="N440" s="12"/>
      <c r="O440" s="12"/>
      <c r="P440" s="12"/>
      <c r="Q440" s="12"/>
      <c r="R440" s="12"/>
      <c r="S440" s="12"/>
      <c r="T440" s="12"/>
    </row>
    <row r="441" spans="1:20" s="4" customFormat="1" ht="30.75" customHeight="1" x14ac:dyDescent="0.2">
      <c r="A441" s="317"/>
      <c r="B441" s="318"/>
      <c r="C441" s="319"/>
      <c r="D441" s="320"/>
      <c r="E441" s="785">
        <v>6</v>
      </c>
      <c r="F441" s="1394" t="s">
        <v>649</v>
      </c>
      <c r="G441" s="1395"/>
      <c r="H441" s="127">
        <v>1</v>
      </c>
      <c r="I441" s="44">
        <f t="shared" ref="I441:I451" si="28">IF(AND(OR(A441="x", A441="p"),NOT(B441="n")),H441,0)</f>
        <v>0</v>
      </c>
      <c r="J441" s="45">
        <f t="shared" ref="J441:J451" si="29">IF(OR(D441="m", C441="y"),H441,0)</f>
        <v>0</v>
      </c>
      <c r="K441" s="43">
        <f t="shared" ref="K441:K451" si="30">IF(AND(J441&gt;0,C441="y"),H441,0)</f>
        <v>0</v>
      </c>
      <c r="L441" s="25" t="s">
        <v>425</v>
      </c>
      <c r="M441" s="283"/>
      <c r="N441" s="5"/>
      <c r="O441" s="242" t="str">
        <f>HYPERLINK("https://www.energystar.gov/ia/partners/bldrs_lenders_raters/downloads/water_mgmt_sys_bldr_req.pdf","Energy Star Water Management Checklist")</f>
        <v>Energy Star Water Management Checklist</v>
      </c>
      <c r="P441" s="5"/>
      <c r="Q441" s="5"/>
      <c r="R441" s="5"/>
      <c r="S441" s="5"/>
      <c r="T441" s="5"/>
    </row>
    <row r="442" spans="1:20" s="4" customFormat="1" ht="14.25" customHeight="1" x14ac:dyDescent="0.2">
      <c r="A442" s="317" t="s">
        <v>465</v>
      </c>
      <c r="B442" s="318"/>
      <c r="C442" s="319" t="s">
        <v>787</v>
      </c>
      <c r="D442" s="320"/>
      <c r="E442" s="793">
        <v>7</v>
      </c>
      <c r="F442" s="1279" t="s">
        <v>426</v>
      </c>
      <c r="G442" s="919"/>
      <c r="H442" s="127">
        <v>1</v>
      </c>
      <c r="I442" s="44">
        <f t="shared" si="28"/>
        <v>1</v>
      </c>
      <c r="J442" s="45">
        <f t="shared" si="29"/>
        <v>1</v>
      </c>
      <c r="K442" s="43">
        <f t="shared" si="30"/>
        <v>1</v>
      </c>
      <c r="L442" s="25" t="s">
        <v>288</v>
      </c>
      <c r="M442" s="283" t="s">
        <v>732</v>
      </c>
      <c r="N442" s="5"/>
      <c r="O442" s="242" t="str">
        <f>HYPERLINK("https://www.epa.gov/sites/production/files/2014-08/documents/moisture-control.pdf","EPA: Moisture Control Guidance")</f>
        <v>EPA: Moisture Control Guidance</v>
      </c>
      <c r="P442" s="5"/>
      <c r="Q442" s="5"/>
      <c r="R442" s="5"/>
      <c r="S442" s="5"/>
      <c r="T442" s="5"/>
    </row>
    <row r="443" spans="1:20" s="4" customFormat="1" ht="14.25" customHeight="1" x14ac:dyDescent="0.2">
      <c r="A443" s="317"/>
      <c r="B443" s="318"/>
      <c r="C443" s="319"/>
      <c r="D443" s="320"/>
      <c r="E443" s="793">
        <v>8</v>
      </c>
      <c r="F443" s="1228" t="s">
        <v>725</v>
      </c>
      <c r="G443" s="922"/>
      <c r="H443" s="127">
        <v>2</v>
      </c>
      <c r="I443" s="44">
        <f t="shared" si="28"/>
        <v>0</v>
      </c>
      <c r="J443" s="45">
        <f t="shared" si="29"/>
        <v>0</v>
      </c>
      <c r="K443" s="43">
        <f t="shared" si="30"/>
        <v>0</v>
      </c>
      <c r="L443" s="25" t="s">
        <v>310</v>
      </c>
      <c r="M443" s="283"/>
      <c r="N443" s="5"/>
      <c r="O443" s="242" t="s">
        <v>427</v>
      </c>
      <c r="P443" s="5"/>
      <c r="Q443" s="5"/>
      <c r="R443" s="5"/>
      <c r="S443" s="5"/>
      <c r="T443" s="5"/>
    </row>
    <row r="444" spans="1:20" s="4" customFormat="1" ht="14.25" customHeight="1" x14ac:dyDescent="0.2">
      <c r="A444" s="317"/>
      <c r="B444" s="318"/>
      <c r="C444" s="319"/>
      <c r="D444" s="320"/>
      <c r="E444" s="793">
        <v>9</v>
      </c>
      <c r="F444" s="1228" t="s">
        <v>428</v>
      </c>
      <c r="G444" s="922"/>
      <c r="H444" s="127">
        <v>2</v>
      </c>
      <c r="I444" s="44">
        <f t="shared" si="28"/>
        <v>0</v>
      </c>
      <c r="J444" s="45">
        <f t="shared" si="29"/>
        <v>0</v>
      </c>
      <c r="K444" s="43">
        <f t="shared" si="30"/>
        <v>0</v>
      </c>
      <c r="L444" s="25" t="s">
        <v>288</v>
      </c>
      <c r="M444" s="283"/>
      <c r="N444" s="5"/>
      <c r="O444" s="242" t="str">
        <f>HYPERLINK("https://foundationhandbook.ornl.gov/handbook/toc.shtml","Oak Ridge/DOE Foundation Wall Handbook")</f>
        <v>Oak Ridge/DOE Foundation Wall Handbook</v>
      </c>
      <c r="S444" s="5"/>
      <c r="T444" s="5"/>
    </row>
    <row r="445" spans="1:20" s="4" customFormat="1" ht="14.25" customHeight="1" x14ac:dyDescent="0.2">
      <c r="A445" s="348" t="s">
        <v>465</v>
      </c>
      <c r="B445" s="349"/>
      <c r="C445" s="350" t="s">
        <v>787</v>
      </c>
      <c r="D445" s="351"/>
      <c r="E445" s="792">
        <v>10</v>
      </c>
      <c r="F445" s="1228" t="s">
        <v>429</v>
      </c>
      <c r="G445" s="922"/>
      <c r="H445" s="202">
        <v>2</v>
      </c>
      <c r="I445" s="658">
        <f t="shared" si="28"/>
        <v>2</v>
      </c>
      <c r="J445" s="141">
        <f t="shared" si="29"/>
        <v>2</v>
      </c>
      <c r="K445" s="36">
        <f t="shared" si="30"/>
        <v>2</v>
      </c>
      <c r="L445" s="197" t="s">
        <v>288</v>
      </c>
      <c r="M445" s="451" t="s">
        <v>732</v>
      </c>
      <c r="N445" s="5"/>
      <c r="O445" s="5"/>
      <c r="P445" s="42"/>
      <c r="Q445" s="42"/>
      <c r="R445" s="5"/>
      <c r="S445" s="5"/>
      <c r="T445" s="5"/>
    </row>
    <row r="446" spans="1:20" s="4" customFormat="1" ht="14.25" x14ac:dyDescent="0.2">
      <c r="A446" s="317" t="s">
        <v>465</v>
      </c>
      <c r="B446" s="318"/>
      <c r="C446" s="319" t="s">
        <v>787</v>
      </c>
      <c r="D446" s="320"/>
      <c r="E446" s="793">
        <v>11</v>
      </c>
      <c r="F446" s="1025" t="s">
        <v>430</v>
      </c>
      <c r="G446" s="922"/>
      <c r="H446" s="127">
        <v>1</v>
      </c>
      <c r="I446" s="44">
        <f t="shared" si="28"/>
        <v>1</v>
      </c>
      <c r="J446" s="45">
        <f t="shared" si="29"/>
        <v>1</v>
      </c>
      <c r="K446" s="43">
        <f t="shared" si="30"/>
        <v>1</v>
      </c>
      <c r="L446" s="25" t="s">
        <v>588</v>
      </c>
      <c r="M446" s="284" t="s">
        <v>733</v>
      </c>
      <c r="N446" s="5"/>
      <c r="O446" s="933" t="str">
        <f>HYPERLINK("https://www.epa.gov/sites/production/files/2014-08/documents/moisture-control.pdf","EPA: Moisture Control Guidance")</f>
        <v>EPA: Moisture Control Guidance</v>
      </c>
      <c r="P446" s="930"/>
      <c r="Q446" s="930"/>
      <c r="R446" s="930"/>
      <c r="S446" s="5"/>
      <c r="T446" s="5"/>
    </row>
    <row r="447" spans="1:20" s="4" customFormat="1" ht="14.25" x14ac:dyDescent="0.2">
      <c r="A447" s="317" t="s">
        <v>465</v>
      </c>
      <c r="B447" s="318"/>
      <c r="C447" s="325" t="s">
        <v>787</v>
      </c>
      <c r="D447" s="326"/>
      <c r="E447" s="793">
        <v>12</v>
      </c>
      <c r="F447" s="1025" t="s">
        <v>587</v>
      </c>
      <c r="G447" s="922"/>
      <c r="H447" s="127">
        <v>1</v>
      </c>
      <c r="I447" s="667">
        <f t="shared" si="28"/>
        <v>1</v>
      </c>
      <c r="J447" s="45">
        <f t="shared" si="29"/>
        <v>1</v>
      </c>
      <c r="K447" s="43">
        <f t="shared" si="30"/>
        <v>1</v>
      </c>
      <c r="L447" s="25" t="s">
        <v>117</v>
      </c>
      <c r="M447" s="283" t="s">
        <v>733</v>
      </c>
      <c r="N447" s="5"/>
      <c r="O447" s="933" t="s">
        <v>431</v>
      </c>
      <c r="P447" s="930"/>
      <c r="Q447" s="930"/>
      <c r="R447" s="930"/>
      <c r="S447" s="5"/>
      <c r="T447" s="5"/>
    </row>
    <row r="448" spans="1:20" s="4" customFormat="1" ht="14.25" customHeight="1" x14ac:dyDescent="0.2">
      <c r="A448" s="317" t="s">
        <v>465</v>
      </c>
      <c r="B448" s="318"/>
      <c r="C448" s="325" t="s">
        <v>787</v>
      </c>
      <c r="D448" s="326"/>
      <c r="E448" s="793">
        <v>13</v>
      </c>
      <c r="F448" s="1025" t="s">
        <v>432</v>
      </c>
      <c r="G448" s="922"/>
      <c r="H448" s="127">
        <v>1</v>
      </c>
      <c r="I448" s="667">
        <f t="shared" si="28"/>
        <v>1</v>
      </c>
      <c r="J448" s="45">
        <f t="shared" si="29"/>
        <v>1</v>
      </c>
      <c r="K448" s="43">
        <f t="shared" si="30"/>
        <v>1</v>
      </c>
      <c r="L448" s="25" t="s">
        <v>77</v>
      </c>
      <c r="M448" s="283" t="s">
        <v>733</v>
      </c>
      <c r="N448" s="5"/>
      <c r="O448" s="5"/>
      <c r="P448" s="5"/>
      <c r="Q448" s="5"/>
      <c r="R448" s="5"/>
      <c r="S448" s="5"/>
      <c r="T448" s="5"/>
    </row>
    <row r="449" spans="1:20" s="4" customFormat="1" ht="14.25" customHeight="1" x14ac:dyDescent="0.2">
      <c r="A449" s="317"/>
      <c r="B449" s="318"/>
      <c r="C449" s="325"/>
      <c r="D449" s="326"/>
      <c r="E449" s="793">
        <v>14</v>
      </c>
      <c r="F449" s="1025" t="s">
        <v>433</v>
      </c>
      <c r="G449" s="922"/>
      <c r="H449" s="127">
        <v>2</v>
      </c>
      <c r="I449" s="667">
        <f t="shared" si="28"/>
        <v>0</v>
      </c>
      <c r="J449" s="45">
        <f t="shared" si="29"/>
        <v>0</v>
      </c>
      <c r="K449" s="43">
        <f t="shared" si="30"/>
        <v>0</v>
      </c>
      <c r="L449" s="25" t="s">
        <v>77</v>
      </c>
      <c r="M449" s="284"/>
      <c r="N449" s="5"/>
      <c r="O449" s="5"/>
      <c r="P449" s="5"/>
      <c r="Q449" s="5"/>
      <c r="R449" s="5"/>
      <c r="S449" s="5"/>
      <c r="T449" s="5"/>
    </row>
    <row r="450" spans="1:20" s="4" customFormat="1" ht="24.75" customHeight="1" x14ac:dyDescent="0.2">
      <c r="A450" s="321"/>
      <c r="B450" s="322"/>
      <c r="C450" s="323"/>
      <c r="D450" s="324"/>
      <c r="E450" s="788">
        <v>15</v>
      </c>
      <c r="F450" s="1282" t="s">
        <v>434</v>
      </c>
      <c r="G450" s="948"/>
      <c r="H450" s="207">
        <v>3</v>
      </c>
      <c r="I450" s="656">
        <f t="shared" si="28"/>
        <v>0</v>
      </c>
      <c r="J450" s="651">
        <f t="shared" si="29"/>
        <v>0</v>
      </c>
      <c r="K450" s="36">
        <f t="shared" si="30"/>
        <v>0</v>
      </c>
      <c r="L450" s="199" t="s">
        <v>141</v>
      </c>
      <c r="M450" s="452"/>
      <c r="N450" s="5"/>
      <c r="O450" s="242" t="s">
        <v>435</v>
      </c>
      <c r="P450" s="5"/>
      <c r="Q450" s="5"/>
      <c r="R450" s="5"/>
      <c r="S450" s="5"/>
      <c r="T450" s="5"/>
    </row>
    <row r="451" spans="1:20" s="4" customFormat="1" ht="14.25" x14ac:dyDescent="0.2">
      <c r="A451" s="317"/>
      <c r="B451" s="318"/>
      <c r="C451" s="319"/>
      <c r="D451" s="320"/>
      <c r="E451" s="796">
        <v>16</v>
      </c>
      <c r="F451" s="1251" t="s">
        <v>589</v>
      </c>
      <c r="G451" s="922"/>
      <c r="H451" s="40">
        <v>3</v>
      </c>
      <c r="I451" s="44">
        <f t="shared" si="28"/>
        <v>0</v>
      </c>
      <c r="J451" s="45">
        <f t="shared" si="29"/>
        <v>0</v>
      </c>
      <c r="K451" s="43">
        <f t="shared" si="30"/>
        <v>0</v>
      </c>
      <c r="L451" s="25" t="s">
        <v>141</v>
      </c>
      <c r="M451" s="283"/>
      <c r="N451" s="6"/>
      <c r="O451" s="6"/>
      <c r="P451" s="6"/>
      <c r="Q451" s="6"/>
      <c r="R451" s="6"/>
      <c r="S451" s="6"/>
      <c r="T451" s="6"/>
    </row>
    <row r="452" spans="1:20" s="4" customFormat="1" ht="15" customHeight="1" x14ac:dyDescent="0.2">
      <c r="A452" s="335"/>
      <c r="B452" s="336"/>
      <c r="C452" s="410"/>
      <c r="D452" s="411"/>
      <c r="E452" s="792">
        <v>17</v>
      </c>
      <c r="F452" s="1195" t="s">
        <v>436</v>
      </c>
      <c r="G452" s="888"/>
      <c r="H452" s="208"/>
      <c r="I452" s="140"/>
      <c r="J452" s="141"/>
      <c r="K452" s="43"/>
      <c r="L452" s="865" t="s">
        <v>437</v>
      </c>
      <c r="M452" s="874" t="s">
        <v>776</v>
      </c>
      <c r="N452" s="6"/>
      <c r="O452" s="6"/>
      <c r="P452" s="6"/>
      <c r="Q452" s="6"/>
      <c r="R452" s="6"/>
      <c r="S452" s="6"/>
      <c r="T452" s="6"/>
    </row>
    <row r="453" spans="1:20" s="4" customFormat="1" ht="14.25" customHeight="1" x14ac:dyDescent="0.2">
      <c r="A453" s="338"/>
      <c r="B453" s="339"/>
      <c r="C453" s="340"/>
      <c r="D453" s="341"/>
      <c r="E453" s="182" t="s">
        <v>97</v>
      </c>
      <c r="F453" s="1334" t="s">
        <v>438</v>
      </c>
      <c r="G453" s="884"/>
      <c r="H453" s="183">
        <v>1</v>
      </c>
      <c r="I453" s="652">
        <f>IF(AND(OR(A453="x", A453="p"),NOT(OR(B453="n", A454="x", A454="p"))),H453,0)</f>
        <v>0</v>
      </c>
      <c r="J453" s="691">
        <f>IF(AND(OR(D453="m", C453="y"),NOT(D454="m"),NOT(C454="y")),H453,0)</f>
        <v>0</v>
      </c>
      <c r="K453" s="43">
        <f>IF(AND(J453&gt;0,C453="y"),H453,0)</f>
        <v>0</v>
      </c>
      <c r="L453" s="927"/>
      <c r="M453" s="940"/>
      <c r="N453" s="6"/>
      <c r="O453" s="6"/>
      <c r="P453" s="5"/>
      <c r="Q453" s="5"/>
      <c r="R453" s="5"/>
      <c r="S453" s="5"/>
      <c r="T453" s="5"/>
    </row>
    <row r="454" spans="1:20" s="4" customFormat="1" ht="14.25" customHeight="1" x14ac:dyDescent="0.2">
      <c r="A454" s="313" t="s">
        <v>465</v>
      </c>
      <c r="B454" s="314"/>
      <c r="C454" s="315" t="s">
        <v>787</v>
      </c>
      <c r="D454" s="316"/>
      <c r="E454" s="142" t="s">
        <v>99</v>
      </c>
      <c r="F454" s="1396" t="s">
        <v>439</v>
      </c>
      <c r="G454" s="899"/>
      <c r="H454" s="143">
        <v>2</v>
      </c>
      <c r="I454" s="661">
        <f>IF(AND(OR(A454="x", A454="p"),NOT(OR(B454="n", A453="x", A453="p"))),H454,0)</f>
        <v>2</v>
      </c>
      <c r="J454" s="662">
        <f>IF(AND(OR(D454="m", C454="y"),NOT(D453="m"),NOT(C453="y")),H454,0)</f>
        <v>2</v>
      </c>
      <c r="K454" s="43">
        <f>IF(AND(J454&gt;0,C454="y"),H454,0)</f>
        <v>2</v>
      </c>
      <c r="L454" s="927"/>
      <c r="M454" s="940"/>
      <c r="N454" s="5"/>
      <c r="O454" s="5"/>
      <c r="P454" s="5"/>
      <c r="Q454" s="5"/>
      <c r="R454" s="5"/>
      <c r="S454" s="5"/>
      <c r="T454" s="5"/>
    </row>
    <row r="455" spans="1:20" s="4" customFormat="1" ht="14.25" customHeight="1" x14ac:dyDescent="0.2">
      <c r="A455" s="335"/>
      <c r="B455" s="336"/>
      <c r="C455" s="336"/>
      <c r="D455" s="337"/>
      <c r="E455" s="792">
        <v>18</v>
      </c>
      <c r="F455" s="1195" t="s">
        <v>440</v>
      </c>
      <c r="G455" s="888"/>
      <c r="H455" s="208"/>
      <c r="I455" s="140"/>
      <c r="J455" s="141"/>
      <c r="K455" s="43"/>
      <c r="L455" s="865" t="s">
        <v>437</v>
      </c>
      <c r="M455" s="874"/>
      <c r="N455" s="5"/>
      <c r="O455" s="5"/>
      <c r="P455" s="5"/>
      <c r="Q455" s="5"/>
      <c r="R455" s="5"/>
      <c r="S455" s="5"/>
      <c r="T455" s="5"/>
    </row>
    <row r="456" spans="1:20" s="4" customFormat="1" ht="14.25" customHeight="1" x14ac:dyDescent="0.2">
      <c r="A456" s="338"/>
      <c r="B456" s="339"/>
      <c r="C456" s="340"/>
      <c r="D456" s="341"/>
      <c r="E456" s="182" t="s">
        <v>97</v>
      </c>
      <c r="F456" s="1334" t="s">
        <v>441</v>
      </c>
      <c r="G456" s="884"/>
      <c r="H456" s="143">
        <v>1</v>
      </c>
      <c r="I456" s="652">
        <f>IF(AND(OR(A456="x", A456="p"),NOT(OR(B456="n", A457="x", A457="p"))),H456,0)</f>
        <v>0</v>
      </c>
      <c r="J456" s="660">
        <f>IF(AND(OR(D456="m", C456="y"),NOT(D457="m"),NOT(C457="y")),H456,0)</f>
        <v>0</v>
      </c>
      <c r="K456" s="43">
        <f t="shared" ref="K456:K461" si="31">IF(AND(J456&gt;0,C456="y"),H456,0)</f>
        <v>0</v>
      </c>
      <c r="L456" s="927"/>
      <c r="M456" s="940"/>
      <c r="N456" s="5"/>
      <c r="O456" s="5"/>
      <c r="P456" s="5"/>
      <c r="Q456" s="5"/>
      <c r="R456" s="5"/>
      <c r="S456" s="5"/>
      <c r="T456" s="5"/>
    </row>
    <row r="457" spans="1:20" s="4" customFormat="1" ht="14.25" customHeight="1" x14ac:dyDescent="0.2">
      <c r="A457" s="321"/>
      <c r="B457" s="322"/>
      <c r="C457" s="323"/>
      <c r="D457" s="324"/>
      <c r="E457" s="142" t="s">
        <v>99</v>
      </c>
      <c r="F457" s="1396" t="s">
        <v>442</v>
      </c>
      <c r="G457" s="899"/>
      <c r="H457" s="183">
        <v>2</v>
      </c>
      <c r="I457" s="661">
        <f>IF(AND(OR(A457="x", A457="p"),NOT(OR(B457="n", A456="x", A456="p"))),H457,0)</f>
        <v>0</v>
      </c>
      <c r="J457" s="662">
        <f>IF(AND(OR(D457="m", C457="y"),NOT(D456="m"),NOT(C456="y")),H457,0)</f>
        <v>0</v>
      </c>
      <c r="K457" s="43">
        <f t="shared" si="31"/>
        <v>0</v>
      </c>
      <c r="L457" s="928"/>
      <c r="M457" s="946"/>
      <c r="N457" s="5"/>
      <c r="O457" s="5"/>
      <c r="P457" s="5"/>
      <c r="Q457" s="5"/>
      <c r="R457" s="5"/>
      <c r="S457" s="5"/>
      <c r="T457" s="5"/>
    </row>
    <row r="458" spans="1:20" s="4" customFormat="1" ht="14.25" customHeight="1" x14ac:dyDescent="0.2">
      <c r="A458" s="317" t="s">
        <v>465</v>
      </c>
      <c r="B458" s="318"/>
      <c r="C458" s="319" t="s">
        <v>787</v>
      </c>
      <c r="D458" s="320"/>
      <c r="E458" s="788">
        <v>19</v>
      </c>
      <c r="F458" s="1282" t="s">
        <v>443</v>
      </c>
      <c r="G458" s="948"/>
      <c r="H458" s="40">
        <v>2</v>
      </c>
      <c r="I458" s="656">
        <f>IF(AND(OR(A458="x", A458="p"),NOT(B458="n")),H458,0)</f>
        <v>2</v>
      </c>
      <c r="J458" s="651">
        <f>IF(OR(D458="m", C458="y"),H458,0)</f>
        <v>2</v>
      </c>
      <c r="K458" s="36">
        <f t="shared" si="31"/>
        <v>2</v>
      </c>
      <c r="L458" s="199" t="s">
        <v>141</v>
      </c>
      <c r="M458" s="452" t="s">
        <v>732</v>
      </c>
      <c r="N458" s="5"/>
      <c r="O458" s="5"/>
      <c r="P458" s="6"/>
      <c r="Q458" s="6"/>
      <c r="R458" s="6"/>
      <c r="S458" s="6"/>
      <c r="T458" s="6"/>
    </row>
    <row r="459" spans="1:20" s="4" customFormat="1" ht="14.25" customHeight="1" x14ac:dyDescent="0.2">
      <c r="A459" s="348" t="s">
        <v>465</v>
      </c>
      <c r="B459" s="349"/>
      <c r="C459" s="350" t="s">
        <v>787</v>
      </c>
      <c r="D459" s="351"/>
      <c r="E459" s="789">
        <v>20</v>
      </c>
      <c r="F459" s="1017" t="s">
        <v>444</v>
      </c>
      <c r="G459" s="888"/>
      <c r="H459" s="206">
        <v>2</v>
      </c>
      <c r="I459" s="658">
        <f>IF(AND(OR(A459="x", A459="p"),NOT(B459="n")),H459,0)</f>
        <v>2</v>
      </c>
      <c r="J459" s="141">
        <f>IF(OR(D459="m", C459="y"),H459,0)</f>
        <v>2</v>
      </c>
      <c r="K459" s="36">
        <f t="shared" si="31"/>
        <v>2</v>
      </c>
      <c r="L459" s="197" t="s">
        <v>141</v>
      </c>
      <c r="M459" s="451" t="s">
        <v>732</v>
      </c>
      <c r="N459" s="6"/>
      <c r="O459" s="6"/>
      <c r="P459" s="6"/>
      <c r="Q459" s="6"/>
      <c r="R459" s="6"/>
      <c r="S459" s="6"/>
      <c r="T459" s="6"/>
    </row>
    <row r="460" spans="1:20" s="4" customFormat="1" ht="12.75" customHeight="1" x14ac:dyDescent="0.2">
      <c r="A460" s="317"/>
      <c r="B460" s="318"/>
      <c r="C460" s="319"/>
      <c r="D460" s="320"/>
      <c r="E460" s="793">
        <v>21</v>
      </c>
      <c r="F460" s="1017" t="s">
        <v>445</v>
      </c>
      <c r="G460" s="888"/>
      <c r="H460" s="127">
        <v>1</v>
      </c>
      <c r="I460" s="44">
        <f>IF(AND(OR(A460="x", A460="p"),NOT(B460="n")),H460,0)</f>
        <v>0</v>
      </c>
      <c r="J460" s="45">
        <f>IF(OR(D460="m", C460="y"),H460,0)</f>
        <v>0</v>
      </c>
      <c r="K460" s="43">
        <f t="shared" si="31"/>
        <v>0</v>
      </c>
      <c r="L460" s="25" t="s">
        <v>288</v>
      </c>
      <c r="M460" s="283"/>
      <c r="N460" s="5"/>
      <c r="O460" s="242" t="str">
        <f>HYPERLINK("https://basc.pnnl.gov/resource-guides/corrosion-proof-rodentbird-vent-screens","DOE Guidance: Rodent/Bird Screens")</f>
        <v>DOE Guidance: Rodent/Bird Screens</v>
      </c>
      <c r="P460" s="5"/>
      <c r="Q460" s="5"/>
      <c r="R460" s="5"/>
      <c r="S460" s="5"/>
      <c r="T460" s="5"/>
    </row>
    <row r="461" spans="1:20" s="4" customFormat="1" ht="12.75" customHeight="1" x14ac:dyDescent="0.2">
      <c r="A461" s="317"/>
      <c r="B461" s="318"/>
      <c r="C461" s="319"/>
      <c r="D461" s="320"/>
      <c r="E461" s="793">
        <v>22</v>
      </c>
      <c r="F461" s="1017" t="s">
        <v>446</v>
      </c>
      <c r="G461" s="888"/>
      <c r="H461" s="127">
        <v>1</v>
      </c>
      <c r="I461" s="44">
        <f>IF(AND(OR(A461="x", A461="p"),NOT(B461="n")),H461,0)</f>
        <v>0</v>
      </c>
      <c r="J461" s="45">
        <f>IF(OR(D461="m", C461="y"),H461,0)</f>
        <v>0</v>
      </c>
      <c r="K461" s="43">
        <f t="shared" si="31"/>
        <v>0</v>
      </c>
      <c r="L461" s="25" t="s">
        <v>288</v>
      </c>
      <c r="M461" s="283"/>
      <c r="N461" s="5"/>
      <c r="O461" s="12"/>
      <c r="P461" s="5"/>
      <c r="Q461" s="5"/>
      <c r="R461" s="5"/>
      <c r="S461" s="5"/>
      <c r="T461" s="5"/>
    </row>
    <row r="462" spans="1:20" s="4" customFormat="1" ht="12.75" customHeight="1" thickBot="1" x14ac:dyDescent="0.25">
      <c r="A462" s="317"/>
      <c r="B462" s="318"/>
      <c r="C462" s="319"/>
      <c r="D462" s="320"/>
      <c r="E462" s="793">
        <v>23</v>
      </c>
      <c r="F462" s="1017" t="s">
        <v>447</v>
      </c>
      <c r="G462" s="888"/>
      <c r="H462" s="127">
        <v>1</v>
      </c>
      <c r="I462" s="44">
        <f>IF(AND(OR(A462="x", A462="p"),NOT(B462="n")),H462,0)</f>
        <v>0</v>
      </c>
      <c r="J462" s="45">
        <f>IF(OR(D462="m", C462="y"),H462,0)</f>
        <v>0</v>
      </c>
      <c r="K462" s="43">
        <f>IF(AND(J462&gt;0,C462="y"),H462,0)</f>
        <v>0</v>
      </c>
      <c r="L462" s="25" t="s">
        <v>288</v>
      </c>
      <c r="M462" s="283"/>
      <c r="N462" s="5"/>
      <c r="O462" s="1398"/>
      <c r="P462" s="930"/>
      <c r="Q462" s="930"/>
      <c r="R462" s="930"/>
      <c r="S462" s="930"/>
      <c r="T462" s="930"/>
    </row>
    <row r="463" spans="1:20" s="7" customFormat="1" ht="13.5" customHeight="1" thickBot="1" x14ac:dyDescent="0.3">
      <c r="A463" s="476"/>
      <c r="B463" s="478"/>
      <c r="C463" s="478"/>
      <c r="D463" s="481" t="s">
        <v>449</v>
      </c>
      <c r="E463" s="130"/>
      <c r="F463" s="505"/>
      <c r="G463" s="506"/>
      <c r="H463" s="69"/>
      <c r="I463" s="70"/>
      <c r="J463" s="675"/>
      <c r="K463" s="76"/>
      <c r="L463" s="491"/>
      <c r="M463" s="500"/>
      <c r="N463" s="17"/>
      <c r="O463" s="17"/>
      <c r="P463" s="12"/>
      <c r="Q463" s="12"/>
      <c r="R463" s="12"/>
      <c r="S463" s="12"/>
      <c r="T463" s="12"/>
    </row>
    <row r="464" spans="1:20" s="4" customFormat="1" ht="54" customHeight="1" x14ac:dyDescent="0.2">
      <c r="A464" s="335"/>
      <c r="B464" s="336"/>
      <c r="C464" s="336"/>
      <c r="D464" s="337"/>
      <c r="E464" s="828">
        <v>24</v>
      </c>
      <c r="F464" s="1335" t="s">
        <v>605</v>
      </c>
      <c r="G464" s="932"/>
      <c r="H464" s="208"/>
      <c r="I464" s="140"/>
      <c r="J464" s="141"/>
      <c r="K464" s="39"/>
      <c r="L464" s="865" t="s">
        <v>450</v>
      </c>
      <c r="M464" s="730"/>
      <c r="N464" s="5"/>
      <c r="O464" s="1397"/>
      <c r="P464" s="930"/>
      <c r="Q464" s="930"/>
      <c r="R464" s="930"/>
      <c r="S464" s="5"/>
      <c r="T464" s="5"/>
    </row>
    <row r="465" spans="1:20" s="4" customFormat="1" ht="14.25" customHeight="1" x14ac:dyDescent="0.2">
      <c r="A465" s="443"/>
      <c r="B465" s="444"/>
      <c r="C465" s="445"/>
      <c r="D465" s="446"/>
      <c r="E465" s="182" t="s">
        <v>97</v>
      </c>
      <c r="F465" s="883" t="s">
        <v>451</v>
      </c>
      <c r="G465" s="884"/>
      <c r="H465" s="781">
        <v>1</v>
      </c>
      <c r="I465" s="652">
        <f t="shared" ref="I465:I495" si="32">IF(AND(OR(A465="x", A465="p"),NOT(B465="n")),H465,0)</f>
        <v>0</v>
      </c>
      <c r="J465" s="653">
        <f t="shared" ref="J465:J495" si="33">IF(OR(D465="m", C465="y"),H465,0)</f>
        <v>0</v>
      </c>
      <c r="K465" s="39">
        <f t="shared" ref="K465:K472" si="34">IF(AND(J465&gt;0,C465="y"),H465,0)</f>
        <v>0</v>
      </c>
      <c r="L465" s="927"/>
      <c r="M465" s="453"/>
      <c r="N465" s="5"/>
      <c r="O465" s="933" t="str">
        <f>HYPERLINK("https://www.greenbuilt.org/articles/maggie-leslie-choosing-green-materials/","Choosing Green Materials")</f>
        <v>Choosing Green Materials</v>
      </c>
      <c r="P465" s="930"/>
      <c r="Q465" s="930"/>
      <c r="R465" s="930"/>
      <c r="S465" s="5"/>
      <c r="T465" s="5"/>
    </row>
    <row r="466" spans="1:20" s="4" customFormat="1" ht="15" customHeight="1" x14ac:dyDescent="0.2">
      <c r="A466" s="305"/>
      <c r="B466" s="306"/>
      <c r="C466" s="307"/>
      <c r="D466" s="308"/>
      <c r="E466" s="182" t="s">
        <v>99</v>
      </c>
      <c r="F466" s="1334" t="s">
        <v>452</v>
      </c>
      <c r="G466" s="884"/>
      <c r="H466" s="143">
        <v>2</v>
      </c>
      <c r="I466" s="652">
        <f t="shared" si="32"/>
        <v>0</v>
      </c>
      <c r="J466" s="653">
        <f t="shared" si="33"/>
        <v>0</v>
      </c>
      <c r="K466" s="43">
        <f t="shared" si="34"/>
        <v>0</v>
      </c>
      <c r="L466" s="927"/>
      <c r="M466" s="453"/>
      <c r="N466" s="5"/>
      <c r="O466" s="933" t="str">
        <f>HYPERLINK("https://www.greenbuildingadvisor.com/article/product-guide","Building Green Product Guide")</f>
        <v>Building Green Product Guide</v>
      </c>
      <c r="P466" s="930"/>
      <c r="Q466" s="930"/>
      <c r="R466" s="930"/>
      <c r="S466" s="5"/>
      <c r="T466" s="5"/>
    </row>
    <row r="467" spans="1:20" s="4" customFormat="1" ht="15" customHeight="1" x14ac:dyDescent="0.25">
      <c r="A467" s="305"/>
      <c r="B467" s="306"/>
      <c r="C467" s="307"/>
      <c r="D467" s="308"/>
      <c r="E467" s="182" t="s">
        <v>101</v>
      </c>
      <c r="F467" s="1334" t="s">
        <v>453</v>
      </c>
      <c r="G467" s="884"/>
      <c r="H467" s="143">
        <v>2</v>
      </c>
      <c r="I467" s="652">
        <f t="shared" si="32"/>
        <v>0</v>
      </c>
      <c r="J467" s="653">
        <f t="shared" si="33"/>
        <v>0</v>
      </c>
      <c r="K467" s="43">
        <f t="shared" si="34"/>
        <v>0</v>
      </c>
      <c r="L467" s="927"/>
      <c r="M467" s="453"/>
      <c r="N467" s="5"/>
      <c r="O467" s="748" t="str">
        <f>HYPERLINK("https://www.scsglobalservices.com/services/recycled-content-certification","SCS recycled content verification info")</f>
        <v>SCS recycled content verification info</v>
      </c>
      <c r="P467" s="5"/>
      <c r="Q467" s="5"/>
      <c r="R467" s="5"/>
      <c r="S467" s="5"/>
      <c r="T467" s="5"/>
    </row>
    <row r="468" spans="1:20" s="4" customFormat="1" ht="15" customHeight="1" x14ac:dyDescent="0.2">
      <c r="A468" s="305" t="s">
        <v>465</v>
      </c>
      <c r="B468" s="306"/>
      <c r="C468" s="307" t="s">
        <v>787</v>
      </c>
      <c r="D468" s="308"/>
      <c r="E468" s="182" t="s">
        <v>103</v>
      </c>
      <c r="F468" s="1334" t="s">
        <v>454</v>
      </c>
      <c r="G468" s="884"/>
      <c r="H468" s="143">
        <v>2</v>
      </c>
      <c r="I468" s="652">
        <f t="shared" si="32"/>
        <v>2</v>
      </c>
      <c r="J468" s="653">
        <f t="shared" si="33"/>
        <v>2</v>
      </c>
      <c r="K468" s="43">
        <f t="shared" si="34"/>
        <v>2</v>
      </c>
      <c r="L468" s="927"/>
      <c r="M468" s="453" t="s">
        <v>777</v>
      </c>
      <c r="N468" s="5"/>
      <c r="P468" s="5"/>
      <c r="Q468" s="5"/>
      <c r="R468" s="5"/>
      <c r="S468" s="5"/>
      <c r="T468" s="5"/>
    </row>
    <row r="469" spans="1:20" s="4" customFormat="1" ht="15" customHeight="1" x14ac:dyDescent="0.2">
      <c r="A469" s="305" t="s">
        <v>465</v>
      </c>
      <c r="B469" s="306"/>
      <c r="C469" s="307" t="s">
        <v>787</v>
      </c>
      <c r="D469" s="308"/>
      <c r="E469" s="182" t="s">
        <v>168</v>
      </c>
      <c r="F469" s="1334" t="s">
        <v>455</v>
      </c>
      <c r="G469" s="884"/>
      <c r="H469" s="143">
        <v>2</v>
      </c>
      <c r="I469" s="652">
        <f t="shared" si="32"/>
        <v>2</v>
      </c>
      <c r="J469" s="653">
        <f t="shared" si="33"/>
        <v>2</v>
      </c>
      <c r="K469" s="43">
        <f t="shared" si="34"/>
        <v>2</v>
      </c>
      <c r="L469" s="927"/>
      <c r="M469" s="453" t="s">
        <v>777</v>
      </c>
      <c r="N469" s="5"/>
      <c r="P469" s="42"/>
      <c r="Q469" s="42"/>
      <c r="R469" s="42"/>
      <c r="S469" s="5"/>
      <c r="T469" s="5"/>
    </row>
    <row r="470" spans="1:20" s="4" customFormat="1" ht="14.25" customHeight="1" x14ac:dyDescent="0.2">
      <c r="A470" s="305"/>
      <c r="B470" s="306"/>
      <c r="C470" s="307"/>
      <c r="D470" s="308"/>
      <c r="E470" s="182" t="s">
        <v>165</v>
      </c>
      <c r="F470" s="1334" t="s">
        <v>456</v>
      </c>
      <c r="G470" s="884"/>
      <c r="H470" s="143">
        <v>1</v>
      </c>
      <c r="I470" s="652">
        <f t="shared" si="32"/>
        <v>0</v>
      </c>
      <c r="J470" s="653">
        <f t="shared" si="33"/>
        <v>0</v>
      </c>
      <c r="K470" s="43">
        <f t="shared" si="34"/>
        <v>0</v>
      </c>
      <c r="L470" s="927"/>
      <c r="M470" s="736"/>
      <c r="N470" s="5"/>
      <c r="O470" s="242"/>
      <c r="P470" s="5"/>
      <c r="Q470" s="5"/>
      <c r="R470" s="5"/>
      <c r="S470" s="5"/>
      <c r="T470" s="5"/>
    </row>
    <row r="471" spans="1:20" s="4" customFormat="1" ht="14.25" customHeight="1" x14ac:dyDescent="0.2">
      <c r="A471" s="305"/>
      <c r="B471" s="306"/>
      <c r="C471" s="307"/>
      <c r="D471" s="308"/>
      <c r="E471" s="182" t="s">
        <v>314</v>
      </c>
      <c r="F471" s="1334" t="s">
        <v>457</v>
      </c>
      <c r="G471" s="884"/>
      <c r="H471" s="143">
        <v>1</v>
      </c>
      <c r="I471" s="652">
        <f t="shared" si="32"/>
        <v>0</v>
      </c>
      <c r="J471" s="653">
        <f t="shared" si="33"/>
        <v>0</v>
      </c>
      <c r="K471" s="43">
        <f t="shared" si="34"/>
        <v>0</v>
      </c>
      <c r="L471" s="927"/>
      <c r="M471" s="736"/>
      <c r="N471" s="5"/>
      <c r="O471" s="5"/>
      <c r="P471" s="5"/>
      <c r="Q471" s="5"/>
      <c r="R471" s="5"/>
      <c r="S471" s="5"/>
      <c r="T471" s="5"/>
    </row>
    <row r="472" spans="1:20" s="4" customFormat="1" ht="15" customHeight="1" x14ac:dyDescent="0.2">
      <c r="A472" s="365"/>
      <c r="B472" s="366"/>
      <c r="C472" s="367"/>
      <c r="D472" s="368"/>
      <c r="E472" s="182" t="s">
        <v>401</v>
      </c>
      <c r="F472" s="1334" t="s">
        <v>675</v>
      </c>
      <c r="G472" s="884"/>
      <c r="H472" s="143">
        <v>1</v>
      </c>
      <c r="I472" s="652">
        <f t="shared" si="32"/>
        <v>0</v>
      </c>
      <c r="J472" s="653">
        <f t="shared" si="33"/>
        <v>0</v>
      </c>
      <c r="K472" s="43">
        <f t="shared" si="34"/>
        <v>0</v>
      </c>
      <c r="L472" s="927"/>
      <c r="M472" s="736"/>
      <c r="N472" s="5"/>
      <c r="O472" s="5"/>
      <c r="P472" s="5"/>
      <c r="Q472" s="5"/>
      <c r="R472" s="5"/>
      <c r="S472" s="5"/>
      <c r="T472" s="5"/>
    </row>
    <row r="473" spans="1:20" s="4" customFormat="1" ht="15" customHeight="1" x14ac:dyDescent="0.2">
      <c r="A473" s="305"/>
      <c r="B473" s="306"/>
      <c r="C473" s="307"/>
      <c r="D473" s="308"/>
      <c r="E473" s="182" t="s">
        <v>402</v>
      </c>
      <c r="F473" s="1334" t="s">
        <v>458</v>
      </c>
      <c r="G473" s="884"/>
      <c r="H473" s="143">
        <v>2</v>
      </c>
      <c r="I473" s="652">
        <f t="shared" si="32"/>
        <v>0</v>
      </c>
      <c r="J473" s="653">
        <f t="shared" si="33"/>
        <v>0</v>
      </c>
      <c r="K473" s="43">
        <f t="shared" ref="K473:K484" si="35">IF(AND(J473&gt;0,C473="y"),H473,0)</f>
        <v>0</v>
      </c>
      <c r="L473" s="927"/>
      <c r="M473" s="737"/>
      <c r="N473" s="5"/>
      <c r="O473" s="5"/>
      <c r="P473" s="5"/>
      <c r="Q473" s="5"/>
      <c r="R473" s="5"/>
      <c r="S473" s="5"/>
      <c r="T473" s="5"/>
    </row>
    <row r="474" spans="1:20" s="4" customFormat="1" ht="15" customHeight="1" x14ac:dyDescent="0.2">
      <c r="A474" s="447"/>
      <c r="B474" s="448"/>
      <c r="C474" s="449"/>
      <c r="D474" s="450"/>
      <c r="E474" s="182" t="s">
        <v>403</v>
      </c>
      <c r="F474" s="1334" t="s">
        <v>459</v>
      </c>
      <c r="G474" s="884"/>
      <c r="H474" s="143">
        <v>2</v>
      </c>
      <c r="I474" s="652">
        <f t="shared" si="32"/>
        <v>0</v>
      </c>
      <c r="J474" s="653">
        <f t="shared" si="33"/>
        <v>0</v>
      </c>
      <c r="K474" s="39">
        <f t="shared" si="35"/>
        <v>0</v>
      </c>
      <c r="L474" s="927"/>
      <c r="M474" s="736"/>
      <c r="N474" s="5"/>
      <c r="O474" s="5"/>
      <c r="P474" s="5"/>
      <c r="Q474" s="5"/>
      <c r="R474" s="5"/>
      <c r="S474" s="5"/>
      <c r="T474" s="5"/>
    </row>
    <row r="475" spans="1:20" s="4" customFormat="1" ht="15" customHeight="1" x14ac:dyDescent="0.2">
      <c r="A475" s="447" t="s">
        <v>465</v>
      </c>
      <c r="B475" s="448"/>
      <c r="C475" s="449" t="s">
        <v>787</v>
      </c>
      <c r="D475" s="450"/>
      <c r="E475" s="182" t="s">
        <v>404</v>
      </c>
      <c r="F475" s="1334" t="s">
        <v>460</v>
      </c>
      <c r="G475" s="884"/>
      <c r="H475" s="143">
        <v>1</v>
      </c>
      <c r="I475" s="652">
        <f t="shared" si="32"/>
        <v>1</v>
      </c>
      <c r="J475" s="653">
        <f t="shared" si="33"/>
        <v>1</v>
      </c>
      <c r="K475" s="39">
        <f t="shared" si="35"/>
        <v>1</v>
      </c>
      <c r="L475" s="927"/>
      <c r="M475" s="736" t="s">
        <v>778</v>
      </c>
      <c r="N475" s="5"/>
      <c r="O475" s="5"/>
      <c r="P475" s="5"/>
      <c r="Q475" s="5"/>
      <c r="R475" s="5"/>
      <c r="S475" s="5"/>
      <c r="T475" s="5"/>
    </row>
    <row r="476" spans="1:20" s="4" customFormat="1" ht="15" customHeight="1" x14ac:dyDescent="0.2">
      <c r="A476" s="305"/>
      <c r="B476" s="306"/>
      <c r="C476" s="307"/>
      <c r="D476" s="308"/>
      <c r="E476" s="182" t="s">
        <v>405</v>
      </c>
      <c r="F476" s="1334" t="s">
        <v>461</v>
      </c>
      <c r="G476" s="884"/>
      <c r="H476" s="143">
        <v>1</v>
      </c>
      <c r="I476" s="652">
        <f t="shared" si="32"/>
        <v>0</v>
      </c>
      <c r="J476" s="653">
        <f t="shared" si="33"/>
        <v>0</v>
      </c>
      <c r="K476" s="39">
        <f t="shared" si="35"/>
        <v>0</v>
      </c>
      <c r="L476" s="927"/>
      <c r="M476" s="736"/>
      <c r="N476" s="5"/>
      <c r="O476" s="5"/>
      <c r="P476" s="5"/>
      <c r="Q476" s="5"/>
      <c r="R476" s="5"/>
      <c r="S476" s="5"/>
      <c r="T476" s="5"/>
    </row>
    <row r="477" spans="1:20" s="4" customFormat="1" ht="15" customHeight="1" x14ac:dyDescent="0.2">
      <c r="A477" s="305"/>
      <c r="B477" s="306"/>
      <c r="C477" s="307"/>
      <c r="D477" s="308"/>
      <c r="E477" s="182" t="s">
        <v>406</v>
      </c>
      <c r="F477" s="1334" t="s">
        <v>462</v>
      </c>
      <c r="G477" s="884"/>
      <c r="H477" s="143">
        <v>1</v>
      </c>
      <c r="I477" s="652">
        <f t="shared" si="32"/>
        <v>0</v>
      </c>
      <c r="J477" s="653">
        <f t="shared" si="33"/>
        <v>0</v>
      </c>
      <c r="K477" s="39">
        <f t="shared" si="35"/>
        <v>0</v>
      </c>
      <c r="L477" s="927"/>
      <c r="M477" s="736"/>
      <c r="N477" s="5"/>
      <c r="O477" s="5"/>
      <c r="P477" s="5"/>
      <c r="Q477" s="5"/>
      <c r="R477" s="5"/>
      <c r="S477" s="5"/>
      <c r="T477" s="5"/>
    </row>
    <row r="478" spans="1:20" s="4" customFormat="1" ht="15" customHeight="1" x14ac:dyDescent="0.2">
      <c r="A478" s="305" t="s">
        <v>465</v>
      </c>
      <c r="B478" s="306"/>
      <c r="C478" s="307" t="s">
        <v>787</v>
      </c>
      <c r="D478" s="308"/>
      <c r="E478" s="182" t="s">
        <v>407</v>
      </c>
      <c r="F478" s="1334" t="s">
        <v>463</v>
      </c>
      <c r="G478" s="884"/>
      <c r="H478" s="143">
        <v>1</v>
      </c>
      <c r="I478" s="652">
        <f t="shared" si="32"/>
        <v>1</v>
      </c>
      <c r="J478" s="653">
        <f t="shared" si="33"/>
        <v>1</v>
      </c>
      <c r="K478" s="39">
        <f t="shared" si="35"/>
        <v>1</v>
      </c>
      <c r="L478" s="927"/>
      <c r="M478" s="736" t="s">
        <v>779</v>
      </c>
      <c r="N478" s="5"/>
      <c r="O478" s="5"/>
      <c r="P478" s="5"/>
      <c r="Q478" s="5"/>
      <c r="R478" s="5"/>
      <c r="S478" s="5"/>
      <c r="T478" s="5"/>
    </row>
    <row r="479" spans="1:20" s="4" customFormat="1" ht="15" customHeight="1" x14ac:dyDescent="0.2">
      <c r="A479" s="305"/>
      <c r="B479" s="306"/>
      <c r="C479" s="307"/>
      <c r="D479" s="308"/>
      <c r="E479" s="182" t="s">
        <v>408</v>
      </c>
      <c r="F479" s="1334" t="s">
        <v>464</v>
      </c>
      <c r="G479" s="884"/>
      <c r="H479" s="143">
        <v>1</v>
      </c>
      <c r="I479" s="652">
        <f t="shared" si="32"/>
        <v>0</v>
      </c>
      <c r="J479" s="653">
        <f t="shared" si="33"/>
        <v>0</v>
      </c>
      <c r="K479" s="39">
        <f t="shared" si="35"/>
        <v>0</v>
      </c>
      <c r="L479" s="927"/>
      <c r="M479" s="735"/>
      <c r="N479" s="5"/>
      <c r="O479" s="242"/>
      <c r="P479" s="5"/>
      <c r="Q479" s="5"/>
      <c r="R479" s="5"/>
      <c r="S479" s="5"/>
      <c r="T479" s="5"/>
    </row>
    <row r="480" spans="1:20" s="4" customFormat="1" ht="15" customHeight="1" x14ac:dyDescent="0.2">
      <c r="A480" s="305"/>
      <c r="B480" s="306"/>
      <c r="C480" s="307"/>
      <c r="D480" s="308"/>
      <c r="E480" s="182" t="s">
        <v>465</v>
      </c>
      <c r="F480" s="1334" t="s">
        <v>466</v>
      </c>
      <c r="G480" s="884"/>
      <c r="H480" s="143">
        <v>1</v>
      </c>
      <c r="I480" s="652">
        <f t="shared" si="32"/>
        <v>0</v>
      </c>
      <c r="J480" s="653">
        <f t="shared" si="33"/>
        <v>0</v>
      </c>
      <c r="K480" s="39">
        <f t="shared" si="35"/>
        <v>0</v>
      </c>
      <c r="L480" s="927"/>
      <c r="M480" s="453"/>
      <c r="N480" s="5"/>
      <c r="O480" s="5"/>
      <c r="P480" s="5"/>
      <c r="Q480" s="5"/>
      <c r="R480" s="5"/>
      <c r="S480" s="5"/>
      <c r="T480" s="5"/>
    </row>
    <row r="481" spans="1:20" s="4" customFormat="1" ht="15" customHeight="1" x14ac:dyDescent="0.2">
      <c r="A481" s="305"/>
      <c r="B481" s="306"/>
      <c r="C481" s="307"/>
      <c r="D481" s="308"/>
      <c r="E481" s="182" t="s">
        <v>467</v>
      </c>
      <c r="F481" s="1334" t="s">
        <v>674</v>
      </c>
      <c r="G481" s="884"/>
      <c r="H481" s="143">
        <v>1</v>
      </c>
      <c r="I481" s="652">
        <f t="shared" si="32"/>
        <v>0</v>
      </c>
      <c r="J481" s="653">
        <f t="shared" si="33"/>
        <v>0</v>
      </c>
      <c r="K481" s="39">
        <f t="shared" si="35"/>
        <v>0</v>
      </c>
      <c r="L481" s="927"/>
      <c r="M481" s="454"/>
      <c r="N481" s="5"/>
      <c r="O481" s="5"/>
      <c r="P481" s="5"/>
      <c r="Q481" s="5"/>
      <c r="R481" s="5"/>
      <c r="S481" s="5"/>
      <c r="T481" s="5"/>
    </row>
    <row r="482" spans="1:20" s="4" customFormat="1" ht="14.25" customHeight="1" x14ac:dyDescent="0.2">
      <c r="A482" s="365"/>
      <c r="B482" s="366"/>
      <c r="C482" s="367"/>
      <c r="D482" s="368"/>
      <c r="E482" s="205" t="s">
        <v>468</v>
      </c>
      <c r="F482" s="1350" t="s">
        <v>469</v>
      </c>
      <c r="G482" s="858"/>
      <c r="H482" s="183">
        <v>2</v>
      </c>
      <c r="I482" s="654">
        <f t="shared" si="32"/>
        <v>0</v>
      </c>
      <c r="J482" s="655">
        <f t="shared" si="33"/>
        <v>0</v>
      </c>
      <c r="K482" s="36">
        <f t="shared" si="35"/>
        <v>0</v>
      </c>
      <c r="L482" s="927"/>
      <c r="M482" s="454"/>
      <c r="N482" s="5"/>
      <c r="O482" s="5"/>
      <c r="P482" s="5"/>
      <c r="Q482" s="5"/>
      <c r="R482" s="5"/>
      <c r="S482" s="5"/>
      <c r="T482" s="5"/>
    </row>
    <row r="483" spans="1:20" s="4" customFormat="1" ht="14.25" customHeight="1" x14ac:dyDescent="0.2">
      <c r="A483" s="365"/>
      <c r="B483" s="366"/>
      <c r="C483" s="367"/>
      <c r="D483" s="368"/>
      <c r="E483" s="205" t="s">
        <v>470</v>
      </c>
      <c r="F483" s="1350" t="s">
        <v>659</v>
      </c>
      <c r="G483" s="858"/>
      <c r="H483" s="183">
        <v>1</v>
      </c>
      <c r="I483" s="654">
        <f t="shared" ref="I483" si="36">IF(AND(OR(A483="x", A483="p"),NOT(B483="n")),H483,0)</f>
        <v>0</v>
      </c>
      <c r="J483" s="655">
        <f t="shared" ref="J483" si="37">IF(OR(D483="m", C483="y"),H483,0)</f>
        <v>0</v>
      </c>
      <c r="K483" s="36">
        <f t="shared" ref="K483" si="38">IF(AND(J483&gt;0,C483="y"),H483,0)</f>
        <v>0</v>
      </c>
      <c r="L483" s="973"/>
      <c r="M483" s="453"/>
      <c r="N483" s="5"/>
      <c r="O483" s="5"/>
      <c r="P483" s="5"/>
      <c r="Q483" s="5"/>
      <c r="R483" s="5"/>
      <c r="S483" s="5"/>
      <c r="T483" s="5"/>
    </row>
    <row r="484" spans="1:20" s="4" customFormat="1" ht="15" customHeight="1" x14ac:dyDescent="0.2">
      <c r="A484" s="435"/>
      <c r="B484" s="436"/>
      <c r="C484" s="437"/>
      <c r="D484" s="438"/>
      <c r="E484" s="184" t="s">
        <v>657</v>
      </c>
      <c r="F484" s="1375" t="s">
        <v>471</v>
      </c>
      <c r="G484" s="858"/>
      <c r="H484" s="185">
        <v>1</v>
      </c>
      <c r="I484" s="652">
        <f t="shared" si="32"/>
        <v>0</v>
      </c>
      <c r="J484" s="653">
        <f t="shared" si="33"/>
        <v>0</v>
      </c>
      <c r="K484" s="43">
        <f t="shared" si="35"/>
        <v>0</v>
      </c>
      <c r="L484" s="928"/>
      <c r="M484" s="732"/>
      <c r="N484" s="5"/>
      <c r="O484" s="5"/>
      <c r="P484" s="5"/>
      <c r="Q484" s="5"/>
      <c r="R484" s="5"/>
      <c r="S484" s="5"/>
      <c r="T484" s="5"/>
    </row>
    <row r="485" spans="1:20" s="4" customFormat="1" ht="24" customHeight="1" x14ac:dyDescent="0.2">
      <c r="A485" s="317"/>
      <c r="B485" s="318"/>
      <c r="C485" s="319"/>
      <c r="D485" s="320"/>
      <c r="E485" s="796">
        <v>25</v>
      </c>
      <c r="F485" s="1251" t="s">
        <v>472</v>
      </c>
      <c r="G485" s="922"/>
      <c r="H485" s="127">
        <v>1</v>
      </c>
      <c r="I485" s="44">
        <f t="shared" si="32"/>
        <v>0</v>
      </c>
      <c r="J485" s="45">
        <f t="shared" si="33"/>
        <v>0</v>
      </c>
      <c r="K485" s="43">
        <f t="shared" ref="K485:K496" si="39">IF(AND(J485&gt;0,C485="y"),H485,0)</f>
        <v>0</v>
      </c>
      <c r="L485" s="25" t="s">
        <v>376</v>
      </c>
      <c r="M485" s="284"/>
      <c r="N485" s="6"/>
      <c r="O485" s="209"/>
      <c r="P485" s="209"/>
      <c r="Q485" s="209"/>
      <c r="R485" s="209"/>
      <c r="S485" s="6"/>
      <c r="T485" s="6"/>
    </row>
    <row r="486" spans="1:20" s="4" customFormat="1" ht="14.25" x14ac:dyDescent="0.2">
      <c r="A486" s="317"/>
      <c r="B486" s="318"/>
      <c r="C486" s="319"/>
      <c r="D486" s="320"/>
      <c r="E486" s="796">
        <v>26</v>
      </c>
      <c r="F486" s="1251" t="s">
        <v>473</v>
      </c>
      <c r="G486" s="922"/>
      <c r="H486" s="127">
        <v>1</v>
      </c>
      <c r="I486" s="44">
        <f t="shared" si="32"/>
        <v>0</v>
      </c>
      <c r="J486" s="45">
        <f t="shared" si="33"/>
        <v>0</v>
      </c>
      <c r="K486" s="43">
        <f t="shared" si="39"/>
        <v>0</v>
      </c>
      <c r="L486" s="25" t="s">
        <v>77</v>
      </c>
      <c r="M486" s="284"/>
      <c r="N486" s="6"/>
      <c r="O486" s="198"/>
      <c r="P486" s="6"/>
      <c r="Q486" s="6"/>
      <c r="R486" s="6"/>
      <c r="S486" s="6"/>
      <c r="T486" s="6"/>
    </row>
    <row r="487" spans="1:20" s="4" customFormat="1" ht="24.75" customHeight="1" x14ac:dyDescent="0.2">
      <c r="A487" s="317"/>
      <c r="B487" s="318"/>
      <c r="C487" s="319"/>
      <c r="D487" s="320"/>
      <c r="E487" s="796">
        <v>27</v>
      </c>
      <c r="F487" s="1251" t="s">
        <v>474</v>
      </c>
      <c r="G487" s="922"/>
      <c r="H487" s="127">
        <v>1</v>
      </c>
      <c r="I487" s="44">
        <f t="shared" si="32"/>
        <v>0</v>
      </c>
      <c r="J487" s="45">
        <f t="shared" si="33"/>
        <v>0</v>
      </c>
      <c r="K487" s="43">
        <f t="shared" si="39"/>
        <v>0</v>
      </c>
      <c r="L487" s="25" t="s">
        <v>77</v>
      </c>
      <c r="M487" s="284"/>
      <c r="N487" s="6"/>
      <c r="O487" s="198" t="str">
        <f>HYPERLINK("https://www.udinstitute.org/","Universal Design Institute")</f>
        <v>Universal Design Institute</v>
      </c>
      <c r="P487" s="6"/>
      <c r="Q487" s="6"/>
      <c r="R487" s="6"/>
      <c r="S487" s="6"/>
      <c r="T487" s="6"/>
    </row>
    <row r="488" spans="1:20" s="4" customFormat="1" ht="39" customHeight="1" x14ac:dyDescent="0.2">
      <c r="A488" s="317"/>
      <c r="B488" s="318"/>
      <c r="C488" s="319"/>
      <c r="D488" s="320"/>
      <c r="E488" s="796">
        <v>28</v>
      </c>
      <c r="F488" s="1251" t="s">
        <v>475</v>
      </c>
      <c r="G488" s="922"/>
      <c r="H488" s="127">
        <v>1</v>
      </c>
      <c r="I488" s="44">
        <f t="shared" si="32"/>
        <v>0</v>
      </c>
      <c r="J488" s="45">
        <f t="shared" si="33"/>
        <v>0</v>
      </c>
      <c r="K488" s="43">
        <f t="shared" si="39"/>
        <v>0</v>
      </c>
      <c r="L488" s="25" t="s">
        <v>376</v>
      </c>
      <c r="M488" s="284"/>
      <c r="N488" s="6"/>
      <c r="O488" s="6"/>
      <c r="P488" s="6"/>
      <c r="Q488" s="6"/>
      <c r="R488" s="6"/>
      <c r="S488" s="6"/>
      <c r="T488" s="6"/>
    </row>
    <row r="489" spans="1:20" s="4" customFormat="1" ht="14.25" customHeight="1" x14ac:dyDescent="0.2">
      <c r="A489" s="317"/>
      <c r="B489" s="318"/>
      <c r="C489" s="319"/>
      <c r="D489" s="320"/>
      <c r="E489" s="796">
        <v>29</v>
      </c>
      <c r="F489" s="1251" t="s">
        <v>476</v>
      </c>
      <c r="G489" s="922"/>
      <c r="H489" s="127">
        <v>1</v>
      </c>
      <c r="I489" s="44">
        <f t="shared" si="32"/>
        <v>0</v>
      </c>
      <c r="J489" s="45">
        <f t="shared" si="33"/>
        <v>0</v>
      </c>
      <c r="K489" s="43">
        <f t="shared" si="39"/>
        <v>0</v>
      </c>
      <c r="L489" s="25" t="s">
        <v>376</v>
      </c>
      <c r="M489" s="284"/>
      <c r="N489" s="6"/>
      <c r="O489" s="6"/>
      <c r="P489" s="6"/>
      <c r="Q489" s="6"/>
      <c r="R489" s="6"/>
      <c r="S489" s="6"/>
      <c r="T489" s="6"/>
    </row>
    <row r="490" spans="1:20" s="4" customFormat="1" ht="24.75" customHeight="1" x14ac:dyDescent="0.2">
      <c r="A490" s="317"/>
      <c r="B490" s="318"/>
      <c r="C490" s="319"/>
      <c r="D490" s="320"/>
      <c r="E490" s="796">
        <v>30</v>
      </c>
      <c r="F490" s="1251" t="s">
        <v>477</v>
      </c>
      <c r="G490" s="922"/>
      <c r="H490" s="127">
        <v>1</v>
      </c>
      <c r="I490" s="44">
        <f t="shared" si="32"/>
        <v>0</v>
      </c>
      <c r="J490" s="45">
        <f t="shared" si="33"/>
        <v>0</v>
      </c>
      <c r="K490" s="43">
        <f t="shared" si="39"/>
        <v>0</v>
      </c>
      <c r="L490" s="25" t="s">
        <v>77</v>
      </c>
      <c r="M490" s="284"/>
      <c r="N490" s="6"/>
      <c r="O490" s="6"/>
      <c r="P490" s="6"/>
      <c r="Q490" s="6"/>
      <c r="R490" s="6"/>
      <c r="S490" s="6"/>
      <c r="T490" s="6"/>
    </row>
    <row r="491" spans="1:20" s="4" customFormat="1" ht="14.25" customHeight="1" x14ac:dyDescent="0.2">
      <c r="A491" s="317"/>
      <c r="B491" s="318"/>
      <c r="C491" s="319"/>
      <c r="D491" s="320"/>
      <c r="E491" s="796">
        <v>31</v>
      </c>
      <c r="F491" s="1251" t="s">
        <v>478</v>
      </c>
      <c r="G491" s="922"/>
      <c r="H491" s="127">
        <v>1</v>
      </c>
      <c r="I491" s="44">
        <f t="shared" si="32"/>
        <v>0</v>
      </c>
      <c r="J491" s="45">
        <f t="shared" si="33"/>
        <v>0</v>
      </c>
      <c r="K491" s="43">
        <f t="shared" si="39"/>
        <v>0</v>
      </c>
      <c r="L491" s="25" t="s">
        <v>376</v>
      </c>
      <c r="M491" s="284"/>
      <c r="N491" s="6"/>
      <c r="O491" s="6"/>
      <c r="P491" s="6"/>
      <c r="Q491" s="6"/>
      <c r="R491" s="6"/>
      <c r="S491" s="6"/>
      <c r="T491" s="6"/>
    </row>
    <row r="492" spans="1:20" s="4" customFormat="1" ht="14.25" customHeight="1" x14ac:dyDescent="0.2">
      <c r="A492" s="317" t="s">
        <v>465</v>
      </c>
      <c r="B492" s="318"/>
      <c r="C492" s="319" t="s">
        <v>787</v>
      </c>
      <c r="D492" s="320"/>
      <c r="E492" s="796">
        <v>32</v>
      </c>
      <c r="F492" s="1251" t="s">
        <v>479</v>
      </c>
      <c r="G492" s="922"/>
      <c r="H492" s="127">
        <v>1</v>
      </c>
      <c r="I492" s="44">
        <f t="shared" si="32"/>
        <v>1</v>
      </c>
      <c r="J492" s="45">
        <f t="shared" si="33"/>
        <v>1</v>
      </c>
      <c r="K492" s="43">
        <f t="shared" si="39"/>
        <v>1</v>
      </c>
      <c r="L492" s="25" t="s">
        <v>376</v>
      </c>
      <c r="M492" s="284" t="s">
        <v>733</v>
      </c>
      <c r="N492" s="6"/>
      <c r="O492" s="6"/>
      <c r="P492" s="6"/>
      <c r="Q492" s="6"/>
      <c r="R492" s="6"/>
      <c r="S492" s="6"/>
      <c r="T492" s="6"/>
    </row>
    <row r="493" spans="1:20" s="4" customFormat="1" ht="26.25" customHeight="1" x14ac:dyDescent="0.2">
      <c r="A493" s="317"/>
      <c r="B493" s="318"/>
      <c r="C493" s="319"/>
      <c r="D493" s="320"/>
      <c r="E493" s="796">
        <v>33</v>
      </c>
      <c r="F493" s="1251" t="s">
        <v>480</v>
      </c>
      <c r="G493" s="922"/>
      <c r="H493" s="127">
        <v>1</v>
      </c>
      <c r="I493" s="44">
        <f t="shared" si="32"/>
        <v>0</v>
      </c>
      <c r="J493" s="45">
        <f t="shared" si="33"/>
        <v>0</v>
      </c>
      <c r="K493" s="43">
        <f t="shared" si="39"/>
        <v>0</v>
      </c>
      <c r="L493" s="25" t="s">
        <v>77</v>
      </c>
      <c r="M493" s="284"/>
      <c r="N493" s="6"/>
      <c r="O493" s="6"/>
      <c r="P493" s="6"/>
      <c r="Q493" s="6"/>
      <c r="R493" s="6"/>
      <c r="S493" s="6"/>
      <c r="T493" s="6"/>
    </row>
    <row r="494" spans="1:20" s="4" customFormat="1" ht="40.5" customHeight="1" x14ac:dyDescent="0.2">
      <c r="A494" s="317"/>
      <c r="B494" s="318"/>
      <c r="C494" s="319"/>
      <c r="D494" s="320"/>
      <c r="E494" s="796">
        <v>34</v>
      </c>
      <c r="F494" s="1251" t="s">
        <v>481</v>
      </c>
      <c r="G494" s="922"/>
      <c r="H494" s="127">
        <v>1</v>
      </c>
      <c r="I494" s="44">
        <f t="shared" si="32"/>
        <v>0</v>
      </c>
      <c r="J494" s="45">
        <f t="shared" si="33"/>
        <v>0</v>
      </c>
      <c r="K494" s="43">
        <f t="shared" si="39"/>
        <v>0</v>
      </c>
      <c r="L494" s="25" t="s">
        <v>376</v>
      </c>
      <c r="M494" s="284"/>
      <c r="N494" s="6"/>
      <c r="O494" s="6"/>
      <c r="P494" s="6"/>
      <c r="Q494" s="6"/>
      <c r="R494" s="6"/>
      <c r="S494" s="6"/>
      <c r="T494" s="6"/>
    </row>
    <row r="495" spans="1:20" s="4" customFormat="1" ht="14.25" x14ac:dyDescent="0.2">
      <c r="A495" s="348"/>
      <c r="B495" s="349"/>
      <c r="C495" s="350"/>
      <c r="D495" s="351"/>
      <c r="E495" s="789">
        <v>35</v>
      </c>
      <c r="F495" s="1251" t="s">
        <v>482</v>
      </c>
      <c r="G495" s="922"/>
      <c r="H495" s="202">
        <v>3</v>
      </c>
      <c r="I495" s="658">
        <f t="shared" si="32"/>
        <v>0</v>
      </c>
      <c r="J495" s="141">
        <f t="shared" si="33"/>
        <v>0</v>
      </c>
      <c r="K495" s="43">
        <f t="shared" si="39"/>
        <v>0</v>
      </c>
      <c r="L495" s="197" t="s">
        <v>77</v>
      </c>
      <c r="M495" s="724"/>
      <c r="N495" s="6"/>
      <c r="O495" s="6"/>
      <c r="P495" s="6"/>
      <c r="Q495" s="6"/>
      <c r="R495" s="6"/>
      <c r="S495" s="6"/>
      <c r="T495" s="6"/>
    </row>
    <row r="496" spans="1:20" s="4" customFormat="1" ht="33.75" customHeight="1" thickBot="1" x14ac:dyDescent="0.25">
      <c r="A496" s="348"/>
      <c r="B496" s="349"/>
      <c r="C496" s="350"/>
      <c r="D496" s="351"/>
      <c r="E496" s="792">
        <v>36</v>
      </c>
      <c r="F496" s="1192" t="s">
        <v>151</v>
      </c>
      <c r="G496" s="1193"/>
      <c r="H496" s="457" t="s">
        <v>152</v>
      </c>
      <c r="I496" s="658">
        <f>IF(AND(OR(A496="x", A496="p"),NOT(B496="n"), H496&lt;=7),H496,0)</f>
        <v>0</v>
      </c>
      <c r="J496" s="141">
        <f>IF(AND(OR(D496="m", C496="y"), H496&lt;=7),H496,0)</f>
        <v>0</v>
      </c>
      <c r="K496" s="43">
        <f t="shared" si="39"/>
        <v>0</v>
      </c>
      <c r="L496" s="197" t="s">
        <v>195</v>
      </c>
      <c r="M496" s="724"/>
      <c r="N496" s="6"/>
      <c r="O496" s="6"/>
      <c r="P496" s="6"/>
      <c r="Q496" s="6"/>
      <c r="R496" s="6"/>
      <c r="S496" s="6"/>
      <c r="T496" s="6"/>
    </row>
    <row r="497" spans="1:20" s="4" customFormat="1" ht="14.25" customHeight="1" thickTop="1" thickBot="1" x14ac:dyDescent="0.3">
      <c r="A497" s="1183" t="s">
        <v>483</v>
      </c>
      <c r="B497" s="1184"/>
      <c r="C497" s="1184"/>
      <c r="D497" s="1184"/>
      <c r="E497" s="1184"/>
      <c r="F497" s="1184"/>
      <c r="G497" s="1184"/>
      <c r="H497" s="1185"/>
      <c r="I497" s="666">
        <f>SUM(I425:I496)</f>
        <v>20</v>
      </c>
      <c r="J497" s="666">
        <f>SUM(J425:J496)</f>
        <v>20</v>
      </c>
      <c r="K497" s="151">
        <f>SUM(K425:K496)</f>
        <v>20</v>
      </c>
      <c r="L497" s="119"/>
      <c r="M497" s="164"/>
      <c r="N497" s="6"/>
      <c r="O497" s="6"/>
      <c r="P497" s="6"/>
      <c r="Q497" s="6"/>
      <c r="R497" s="6"/>
      <c r="S497" s="6"/>
      <c r="T497" s="6"/>
    </row>
    <row r="498" spans="1:20" s="456" customFormat="1" ht="35.1" customHeight="1" thickTop="1" thickBot="1" x14ac:dyDescent="0.25">
      <c r="A498" s="1186" t="s">
        <v>58</v>
      </c>
      <c r="B498" s="1186"/>
      <c r="C498" s="1186"/>
      <c r="D498" s="1186"/>
      <c r="E498" s="1186"/>
      <c r="F498" s="1186"/>
      <c r="G498" s="1186"/>
      <c r="H498" s="1186"/>
      <c r="I498" s="1186"/>
      <c r="J498" s="1186"/>
      <c r="K498" s="1186"/>
      <c r="L498" s="1186"/>
      <c r="M498" s="1186"/>
      <c r="N498" s="458"/>
      <c r="O498" s="459"/>
      <c r="P498" s="459"/>
      <c r="Q498" s="459"/>
      <c r="R498" s="459"/>
      <c r="S498" s="459"/>
      <c r="T498" s="459"/>
    </row>
    <row r="499" spans="1:20" s="4" customFormat="1" ht="15.75" thickBot="1" x14ac:dyDescent="0.3">
      <c r="A499" s="1352" t="s">
        <v>0</v>
      </c>
      <c r="B499" s="1364" t="s">
        <v>1</v>
      </c>
      <c r="C499" s="1366" t="s">
        <v>91</v>
      </c>
      <c r="D499" s="1368" t="s">
        <v>92</v>
      </c>
      <c r="E499" s="1381" t="s">
        <v>595</v>
      </c>
      <c r="F499" s="1197"/>
      <c r="G499" s="1382"/>
      <c r="H499" s="877" t="s">
        <v>87</v>
      </c>
      <c r="I499" s="1005" t="s">
        <v>88</v>
      </c>
      <c r="J499" s="1006"/>
      <c r="K499" s="569"/>
      <c r="L499" s="1007" t="s">
        <v>89</v>
      </c>
      <c r="M499" s="1370" t="s">
        <v>197</v>
      </c>
      <c r="N499" s="9"/>
      <c r="O499" s="6"/>
      <c r="P499" s="6"/>
      <c r="Q499" s="6"/>
      <c r="R499" s="6"/>
      <c r="S499" s="6"/>
      <c r="T499" s="6"/>
    </row>
    <row r="500" spans="1:20" s="4" customFormat="1" ht="15.75" customHeight="1" thickBot="1" x14ac:dyDescent="0.25">
      <c r="A500" s="1353"/>
      <c r="B500" s="1365"/>
      <c r="C500" s="1367"/>
      <c r="D500" s="1369"/>
      <c r="E500" s="1383"/>
      <c r="F500" s="1384"/>
      <c r="G500" s="1385"/>
      <c r="H500" s="878"/>
      <c r="I500" s="649" t="s">
        <v>93</v>
      </c>
      <c r="J500" s="650" t="s">
        <v>94</v>
      </c>
      <c r="K500" s="570"/>
      <c r="L500" s="1351"/>
      <c r="M500" s="1371"/>
      <c r="N500" s="9"/>
      <c r="O500" s="6"/>
      <c r="P500" s="6"/>
      <c r="Q500" s="6"/>
      <c r="R500" s="6"/>
      <c r="S500" s="6"/>
      <c r="T500" s="6"/>
    </row>
    <row r="501" spans="1:20" s="4" customFormat="1" ht="14.25" customHeight="1" x14ac:dyDescent="0.2">
      <c r="A501" s="591"/>
      <c r="B501" s="592"/>
      <c r="C501" s="592"/>
      <c r="D501" s="593"/>
      <c r="E501" s="831">
        <v>1</v>
      </c>
      <c r="F501" s="1373" t="s">
        <v>484</v>
      </c>
      <c r="G501" s="1374"/>
      <c r="H501" s="206"/>
      <c r="I501" s="658"/>
      <c r="J501" s="141"/>
      <c r="K501" s="43"/>
      <c r="L501" s="1329" t="s">
        <v>77</v>
      </c>
      <c r="M501" s="1210" t="s">
        <v>780</v>
      </c>
      <c r="O501" s="5"/>
      <c r="P501" s="5"/>
      <c r="Q501" s="5"/>
      <c r="R501" s="5"/>
      <c r="S501" s="5"/>
      <c r="T501" s="5"/>
    </row>
    <row r="502" spans="1:20" s="4" customFormat="1" ht="23.25" customHeight="1" x14ac:dyDescent="0.2">
      <c r="A502" s="338"/>
      <c r="B502" s="339"/>
      <c r="C502" s="340"/>
      <c r="D502" s="341"/>
      <c r="E502" s="52" t="s">
        <v>97</v>
      </c>
      <c r="F502" s="1380" t="s">
        <v>514</v>
      </c>
      <c r="G502" s="1175"/>
      <c r="H502" s="207">
        <v>1</v>
      </c>
      <c r="I502" s="718">
        <f t="shared" ref="I502:I507" si="40">IF(AND(OR(A502="x", A502="p"),NOT(B502="n")),H502,0)</f>
        <v>0</v>
      </c>
      <c r="J502" s="651">
        <f t="shared" ref="J502:J507" si="41">IF(OR(D502="m", C502="y"),H502,0)</f>
        <v>0</v>
      </c>
      <c r="K502" s="43">
        <f t="shared" ref="K502:K507" si="42">IF(AND(J502&gt;0,C502="y"),H502,0)</f>
        <v>0</v>
      </c>
      <c r="L502" s="866"/>
      <c r="M502" s="875"/>
      <c r="O502" s="5"/>
      <c r="P502" s="5"/>
      <c r="Q502" s="5"/>
      <c r="R502" s="5"/>
      <c r="S502" s="5"/>
      <c r="T502" s="5"/>
    </row>
    <row r="503" spans="1:20" s="4" customFormat="1" ht="14.25" customHeight="1" x14ac:dyDescent="0.2">
      <c r="A503" s="305" t="s">
        <v>465</v>
      </c>
      <c r="B503" s="306"/>
      <c r="C503" s="307" t="s">
        <v>787</v>
      </c>
      <c r="D503" s="308"/>
      <c r="E503" s="52" t="s">
        <v>99</v>
      </c>
      <c r="F503" s="1378" t="s">
        <v>624</v>
      </c>
      <c r="G503" s="1175"/>
      <c r="H503" s="50">
        <v>2</v>
      </c>
      <c r="I503" s="652">
        <f t="shared" si="40"/>
        <v>2</v>
      </c>
      <c r="J503" s="653">
        <f t="shared" si="41"/>
        <v>2</v>
      </c>
      <c r="K503" s="43">
        <f t="shared" si="42"/>
        <v>2</v>
      </c>
      <c r="L503" s="866"/>
      <c r="M503" s="875"/>
      <c r="O503" s="241" t="str">
        <f>HYPERLINK("https://www.greenbuilt.org/wp-content/uploads/2018/10/Green-Built-Homeowner-Guide.pdf?x74149","Green Built Alliance Homeowner Resources")</f>
        <v>Green Built Alliance Homeowner Resources</v>
      </c>
      <c r="P503" s="186"/>
      <c r="Q503" s="186"/>
      <c r="R503" s="186"/>
      <c r="S503" s="186"/>
      <c r="T503" s="186"/>
    </row>
    <row r="504" spans="1:20" s="4" customFormat="1" ht="24" customHeight="1" x14ac:dyDescent="0.2">
      <c r="A504" s="365" t="s">
        <v>465</v>
      </c>
      <c r="B504" s="366"/>
      <c r="C504" s="367" t="s">
        <v>787</v>
      </c>
      <c r="D504" s="368"/>
      <c r="E504" s="110" t="s">
        <v>101</v>
      </c>
      <c r="F504" s="1379" t="s">
        <v>515</v>
      </c>
      <c r="G504" s="1175"/>
      <c r="H504" s="62">
        <v>1</v>
      </c>
      <c r="I504" s="652">
        <f t="shared" si="40"/>
        <v>1</v>
      </c>
      <c r="J504" s="653">
        <f t="shared" si="41"/>
        <v>1</v>
      </c>
      <c r="K504" s="43">
        <f t="shared" si="42"/>
        <v>1</v>
      </c>
      <c r="L504" s="866"/>
      <c r="M504" s="875"/>
      <c r="O504" s="242"/>
      <c r="P504" s="5"/>
      <c r="Q504" s="5"/>
      <c r="R504" s="5"/>
      <c r="S504" s="5"/>
      <c r="T504" s="5"/>
    </row>
    <row r="505" spans="1:20" s="4" customFormat="1" ht="39" customHeight="1" x14ac:dyDescent="0.2">
      <c r="A505" s="365"/>
      <c r="B505" s="366"/>
      <c r="C505" s="367"/>
      <c r="D505" s="368"/>
      <c r="E505" s="110" t="s">
        <v>103</v>
      </c>
      <c r="F505" s="1377" t="s">
        <v>625</v>
      </c>
      <c r="G505" s="884"/>
      <c r="H505" s="62">
        <v>1</v>
      </c>
      <c r="I505" s="652">
        <f t="shared" si="40"/>
        <v>0</v>
      </c>
      <c r="J505" s="653">
        <f t="shared" si="41"/>
        <v>0</v>
      </c>
      <c r="K505" s="43">
        <f t="shared" si="42"/>
        <v>0</v>
      </c>
      <c r="L505" s="866"/>
      <c r="M505" s="875"/>
      <c r="O505" s="5"/>
      <c r="P505" s="5"/>
      <c r="Q505" s="5"/>
      <c r="R505" s="5"/>
      <c r="S505" s="5"/>
      <c r="T505" s="5"/>
    </row>
    <row r="506" spans="1:20" s="4" customFormat="1" ht="14.25" x14ac:dyDescent="0.2">
      <c r="A506" s="365"/>
      <c r="B506" s="366"/>
      <c r="C506" s="367"/>
      <c r="D506" s="368"/>
      <c r="E506" s="110" t="s">
        <v>168</v>
      </c>
      <c r="F506" s="1376" t="s">
        <v>614</v>
      </c>
      <c r="G506" s="858"/>
      <c r="H506" s="62">
        <v>2</v>
      </c>
      <c r="I506" s="654">
        <f t="shared" ref="I506" si="43">IF(AND(OR(A506="x", A506="p"),NOT(B506="n")),H506,0)</f>
        <v>0</v>
      </c>
      <c r="J506" s="655">
        <f t="shared" ref="J506" si="44">IF(OR(D506="m", C506="y"),H506,0)</f>
        <v>0</v>
      </c>
      <c r="K506" s="43">
        <f t="shared" ref="K506" si="45">IF(AND(J506&gt;0,C506="y"),H506,0)</f>
        <v>0</v>
      </c>
      <c r="L506" s="866"/>
      <c r="M506" s="875"/>
      <c r="O506" s="509"/>
      <c r="P506" s="5"/>
      <c r="Q506" s="5"/>
      <c r="R506" s="5"/>
      <c r="S506" s="5"/>
      <c r="T506" s="5"/>
    </row>
    <row r="507" spans="1:20" s="4" customFormat="1" ht="27.75" customHeight="1" x14ac:dyDescent="0.2">
      <c r="A507" s="365"/>
      <c r="B507" s="366"/>
      <c r="C507" s="367"/>
      <c r="D507" s="368"/>
      <c r="E507" s="110" t="s">
        <v>165</v>
      </c>
      <c r="F507" s="1376" t="s">
        <v>630</v>
      </c>
      <c r="G507" s="858"/>
      <c r="H507" s="62">
        <v>2</v>
      </c>
      <c r="I507" s="654">
        <f t="shared" si="40"/>
        <v>0</v>
      </c>
      <c r="J507" s="655">
        <f t="shared" si="41"/>
        <v>0</v>
      </c>
      <c r="K507" s="43">
        <f t="shared" si="42"/>
        <v>0</v>
      </c>
      <c r="L507" s="866"/>
      <c r="M507" s="875"/>
      <c r="O507" s="503" t="s">
        <v>650</v>
      </c>
      <c r="P507" s="5"/>
      <c r="Q507" s="5"/>
      <c r="R507" s="5"/>
      <c r="S507" s="5"/>
      <c r="T507" s="5"/>
    </row>
    <row r="508" spans="1:20" s="4" customFormat="1" ht="14.25" customHeight="1" x14ac:dyDescent="0.2">
      <c r="A508" s="335"/>
      <c r="B508" s="336"/>
      <c r="C508" s="336"/>
      <c r="D508" s="337"/>
      <c r="E508" s="156">
        <v>2</v>
      </c>
      <c r="F508" s="1355" t="s">
        <v>485</v>
      </c>
      <c r="G508" s="1356"/>
      <c r="H508" s="206"/>
      <c r="I508" s="140"/>
      <c r="J508" s="141"/>
      <c r="K508" s="43"/>
      <c r="L508" s="865" t="s">
        <v>77</v>
      </c>
      <c r="M508" s="874" t="s">
        <v>752</v>
      </c>
      <c r="O508" s="5"/>
      <c r="P508" s="5"/>
      <c r="Q508" s="5"/>
      <c r="R508" s="5"/>
      <c r="S508" s="5"/>
      <c r="T508" s="5"/>
    </row>
    <row r="509" spans="1:20" s="4" customFormat="1" ht="14.25" customHeight="1" x14ac:dyDescent="0.2">
      <c r="A509" s="338" t="s">
        <v>465</v>
      </c>
      <c r="B509" s="339"/>
      <c r="C509" s="340" t="s">
        <v>787</v>
      </c>
      <c r="D509" s="341"/>
      <c r="E509" s="52" t="s">
        <v>97</v>
      </c>
      <c r="F509" s="883" t="s">
        <v>486</v>
      </c>
      <c r="G509" s="884"/>
      <c r="H509" s="62">
        <v>1</v>
      </c>
      <c r="I509" s="654">
        <f>IF(AND(OR(A509="x", A509="p"),NOT(B509="n")),H509,0)</f>
        <v>1</v>
      </c>
      <c r="J509" s="655">
        <f>IF(OR(D509="m", C509="y"),H509,0)</f>
        <v>1</v>
      </c>
      <c r="K509" s="43">
        <f t="shared" ref="K509:K515" si="46">IF(AND(J509&gt;0,C509="y"),H509,0)</f>
        <v>1</v>
      </c>
      <c r="L509" s="927"/>
      <c r="M509" s="1257"/>
      <c r="O509" s="5"/>
      <c r="P509" s="5"/>
      <c r="Q509" s="5"/>
      <c r="R509" s="5"/>
      <c r="S509" s="5"/>
      <c r="T509" s="5"/>
    </row>
    <row r="510" spans="1:20" s="4" customFormat="1" ht="15" customHeight="1" x14ac:dyDescent="0.2">
      <c r="A510" s="305"/>
      <c r="B510" s="306"/>
      <c r="C510" s="307"/>
      <c r="D510" s="308"/>
      <c r="E510" s="52" t="s">
        <v>99</v>
      </c>
      <c r="F510" s="1300" t="s">
        <v>487</v>
      </c>
      <c r="G510" s="884"/>
      <c r="H510" s="50">
        <v>1</v>
      </c>
      <c r="I510" s="652">
        <f>IF(AND(OR(A510="x", A510="p"),NOT(B510="n")),H510,0)</f>
        <v>0</v>
      </c>
      <c r="J510" s="653">
        <f>IF(OR(D510="m", C510="y"),H510,0)</f>
        <v>0</v>
      </c>
      <c r="K510" s="43">
        <f t="shared" si="46"/>
        <v>0</v>
      </c>
      <c r="L510" s="927"/>
      <c r="M510" s="1257"/>
      <c r="O510" s="242" t="s">
        <v>488</v>
      </c>
      <c r="S510" s="5"/>
      <c r="T510" s="5"/>
    </row>
    <row r="511" spans="1:20" s="4" customFormat="1" ht="23.25" customHeight="1" x14ac:dyDescent="0.2">
      <c r="A511" s="342"/>
      <c r="B511" s="343"/>
      <c r="C511" s="344"/>
      <c r="D511" s="345"/>
      <c r="E511" s="118" t="s">
        <v>101</v>
      </c>
      <c r="F511" s="1301" t="s">
        <v>489</v>
      </c>
      <c r="G511" s="899"/>
      <c r="H511" s="72">
        <v>1</v>
      </c>
      <c r="I511" s="664">
        <f>IF(AND(OR(A511="x", A511="p"),NOT(B511="n")),H511,0)</f>
        <v>0</v>
      </c>
      <c r="J511" s="688">
        <f>IF(OR(D511="m", C511="y"),H511,0)</f>
        <v>0</v>
      </c>
      <c r="K511" s="43">
        <f t="shared" si="46"/>
        <v>0</v>
      </c>
      <c r="L511" s="928"/>
      <c r="M511" s="1258"/>
      <c r="O511" s="5"/>
      <c r="P511" s="5"/>
      <c r="Q511" s="5"/>
      <c r="R511" s="5"/>
      <c r="S511" s="5"/>
      <c r="T511" s="5"/>
    </row>
    <row r="512" spans="1:20" s="4" customFormat="1" ht="64.5" customHeight="1" x14ac:dyDescent="0.2">
      <c r="A512" s="317"/>
      <c r="B512" s="318"/>
      <c r="C512" s="319"/>
      <c r="D512" s="320"/>
      <c r="E512" s="793">
        <v>3</v>
      </c>
      <c r="F512" s="921" t="s">
        <v>615</v>
      </c>
      <c r="G512" s="922"/>
      <c r="H512" s="127">
        <v>2</v>
      </c>
      <c r="I512" s="44">
        <f>IF(AND(OR(A512="x", A512="p"),NOT(B512="n")),H512,0)</f>
        <v>0</v>
      </c>
      <c r="J512" s="45">
        <f>IF(OR(D512="m", C512="y"),H512,0)</f>
        <v>0</v>
      </c>
      <c r="K512" s="43">
        <f t="shared" si="46"/>
        <v>0</v>
      </c>
      <c r="L512" s="25" t="s">
        <v>490</v>
      </c>
      <c r="M512" s="284"/>
      <c r="O512" s="243" t="s">
        <v>491</v>
      </c>
      <c r="P512" s="201"/>
      <c r="Q512" s="201"/>
      <c r="R512" s="201"/>
      <c r="S512" s="201"/>
      <c r="T512" s="201"/>
    </row>
    <row r="513" spans="1:20" s="4" customFormat="1" ht="14.25" x14ac:dyDescent="0.2">
      <c r="A513" s="910"/>
      <c r="B513" s="891"/>
      <c r="C513" s="991"/>
      <c r="D513" s="894"/>
      <c r="E513" s="1359">
        <v>4</v>
      </c>
      <c r="F513" s="1360" t="s">
        <v>492</v>
      </c>
      <c r="G513" s="888"/>
      <c r="H513" s="1362">
        <v>2</v>
      </c>
      <c r="I513" s="936">
        <f>IF(AND(OR(A513="x", A513="p"),NOT(B513="n")),H513,0)</f>
        <v>0</v>
      </c>
      <c r="J513" s="938">
        <f>IF(OR(D513="m", C513="y"),H513,0)</f>
        <v>0</v>
      </c>
      <c r="K513" s="1158">
        <f>IF(AND(J513&gt;0,C513="y"),H513,0)</f>
        <v>0</v>
      </c>
      <c r="L513" s="865" t="s">
        <v>493</v>
      </c>
      <c r="M513" s="874" t="s">
        <v>494</v>
      </c>
      <c r="N513" s="9"/>
      <c r="O513" s="198" t="str">
        <f>HYPERLINK("https://medium.com/@seembu/3-simple-ways-to-design-a-biophilic-home-7e93fafdb0c2","Medium: 3 Simple Ways to Design a Biophilic Home")</f>
        <v>Medium: 3 Simple Ways to Design a Biophilic Home</v>
      </c>
      <c r="P513" s="6"/>
      <c r="Q513" s="6"/>
      <c r="R513" s="6"/>
      <c r="S513" s="6"/>
      <c r="T513" s="6"/>
    </row>
    <row r="514" spans="1:20" s="4" customFormat="1" ht="14.25" x14ac:dyDescent="0.2">
      <c r="A514" s="1357"/>
      <c r="B514" s="1289"/>
      <c r="C514" s="1358"/>
      <c r="D514" s="1215"/>
      <c r="E514" s="924"/>
      <c r="F514" s="1361"/>
      <c r="G514" s="948"/>
      <c r="H514" s="1363"/>
      <c r="I514" s="924"/>
      <c r="J514" s="939"/>
      <c r="K514" s="1354"/>
      <c r="L514" s="927"/>
      <c r="M514" s="1257"/>
      <c r="N514" s="9"/>
      <c r="O514" s="242" t="str">
        <f>HYPERLINK("https://www2.living-future.org/l/464132/2019-03-25/ghpnlf?RD_Scheduler=BD","Biophilic Design Guidebook")</f>
        <v>Biophilic Design Guidebook</v>
      </c>
      <c r="P514" s="42"/>
      <c r="Q514" s="42"/>
      <c r="R514" s="42"/>
      <c r="S514" s="242" t="str">
        <f>HYPERLINK("http://www.biophilicdesign.net/uploads/8/4/5/6/8456913/bd_viewingguide_revised.pdf","BiophilicDesign.net Viewing Guide")</f>
        <v>BiophilicDesign.net Viewing Guide</v>
      </c>
      <c r="T514" s="6"/>
    </row>
    <row r="515" spans="1:20" s="4" customFormat="1" ht="27.75" customHeight="1" x14ac:dyDescent="0.2">
      <c r="A515" s="348"/>
      <c r="B515" s="349"/>
      <c r="C515" s="350"/>
      <c r="D515" s="351"/>
      <c r="E515" s="832">
        <v>5</v>
      </c>
      <c r="F515" s="921" t="s">
        <v>726</v>
      </c>
      <c r="G515" s="922"/>
      <c r="H515" s="782">
        <v>2</v>
      </c>
      <c r="I515" s="658">
        <f t="shared" ref="I515:I519" si="47">IF(AND(OR(A515="x", A515="p"),NOT(B515="n")),H515,0)</f>
        <v>0</v>
      </c>
      <c r="J515" s="141">
        <f t="shared" ref="J515:J519" si="48">IF(OR(D515="m", C515="y"),H515,0)</f>
        <v>0</v>
      </c>
      <c r="K515" s="43">
        <f t="shared" si="46"/>
        <v>0</v>
      </c>
      <c r="L515" s="197" t="s">
        <v>495</v>
      </c>
      <c r="M515" s="734"/>
      <c r="N515" s="9"/>
      <c r="O515" s="245" t="str">
        <f>HYPERLINK("http://buildcarbonneutral.org/","Build Carbon Neutral")</f>
        <v>Build Carbon Neutral</v>
      </c>
      <c r="P515" s="6"/>
      <c r="R515" s="242" t="str">
        <f>HYPERLINK(" https://buildingtransparency.org/auth/register","Buidling Transparency ")</f>
        <v xml:space="preserve">Buidling Transparency </v>
      </c>
      <c r="S515" s="6"/>
      <c r="T515" s="6"/>
    </row>
    <row r="516" spans="1:20" s="4" customFormat="1" ht="14.25" x14ac:dyDescent="0.2">
      <c r="A516" s="348"/>
      <c r="B516" s="349"/>
      <c r="C516" s="350"/>
      <c r="D516" s="351"/>
      <c r="E516" s="832">
        <v>6</v>
      </c>
      <c r="F516" s="921" t="s">
        <v>727</v>
      </c>
      <c r="G516" s="922"/>
      <c r="H516" s="782">
        <v>1</v>
      </c>
      <c r="I516" s="658">
        <f t="shared" si="47"/>
        <v>0</v>
      </c>
      <c r="J516" s="141">
        <f t="shared" si="48"/>
        <v>0</v>
      </c>
      <c r="K516" s="43">
        <f>IF(AND(J516&gt;0,C516="y"),H516,0)</f>
        <v>0</v>
      </c>
      <c r="L516" s="197" t="s">
        <v>495</v>
      </c>
      <c r="M516" s="734"/>
      <c r="N516" s="9"/>
      <c r="O516" s="242" t="str">
        <f>HYPERLINK("https://www.cutmycarbon.org/","CutMyCarbon.org")</f>
        <v>CutMyCarbon.org</v>
      </c>
      <c r="P516" s="6"/>
      <c r="Q516" s="6"/>
      <c r="R516" s="6"/>
      <c r="S516" s="6"/>
      <c r="T516" s="6"/>
    </row>
    <row r="517" spans="1:20" s="4" customFormat="1" ht="23.25" customHeight="1" x14ac:dyDescent="0.2">
      <c r="A517" s="348"/>
      <c r="B517" s="349"/>
      <c r="C517" s="350"/>
      <c r="D517" s="351"/>
      <c r="E517" s="792">
        <v>7</v>
      </c>
      <c r="F517" s="1025" t="s">
        <v>616</v>
      </c>
      <c r="G517" s="922"/>
      <c r="H517" s="202">
        <v>2</v>
      </c>
      <c r="I517" s="658">
        <f t="shared" si="47"/>
        <v>0</v>
      </c>
      <c r="J517" s="141">
        <f t="shared" si="48"/>
        <v>0</v>
      </c>
      <c r="K517" s="43">
        <f>IF(AND(J517&gt;0,C517="y"),H517,0)</f>
        <v>0</v>
      </c>
      <c r="L517" s="197" t="s">
        <v>496</v>
      </c>
      <c r="M517" s="734"/>
      <c r="N517" s="9"/>
      <c r="O517" s="5"/>
      <c r="P517" s="6"/>
      <c r="Q517" s="6"/>
      <c r="R517" s="6"/>
      <c r="S517" s="6"/>
      <c r="T517" s="6"/>
    </row>
    <row r="518" spans="1:20" s="4" customFormat="1" ht="27" customHeight="1" x14ac:dyDescent="0.2">
      <c r="A518" s="348"/>
      <c r="B518" s="349"/>
      <c r="C518" s="350"/>
      <c r="D518" s="351"/>
      <c r="E518" s="832">
        <v>8</v>
      </c>
      <c r="F518" s="921" t="s">
        <v>497</v>
      </c>
      <c r="G518" s="922"/>
      <c r="H518" s="202">
        <v>2</v>
      </c>
      <c r="I518" s="658">
        <f t="shared" si="47"/>
        <v>0</v>
      </c>
      <c r="J518" s="141">
        <f t="shared" si="48"/>
        <v>0</v>
      </c>
      <c r="K518" s="43">
        <f>IF(AND(J518&gt;0,C518="y"),H518,0)</f>
        <v>0</v>
      </c>
      <c r="L518" s="197" t="s">
        <v>498</v>
      </c>
      <c r="M518" s="734"/>
      <c r="N518" s="9"/>
      <c r="O518" s="242"/>
      <c r="P518" s="6"/>
      <c r="Q518" s="6"/>
      <c r="R518" s="6"/>
      <c r="S518" s="6"/>
      <c r="T518" s="6"/>
    </row>
    <row r="519" spans="1:20" s="4" customFormat="1" ht="14.25" x14ac:dyDescent="0.2">
      <c r="A519" s="348"/>
      <c r="B519" s="349"/>
      <c r="C519" s="350"/>
      <c r="D519" s="351"/>
      <c r="E519" s="832">
        <v>9</v>
      </c>
      <c r="F519" s="921" t="s">
        <v>499</v>
      </c>
      <c r="G519" s="922"/>
      <c r="H519" s="127">
        <v>2</v>
      </c>
      <c r="I519" s="44">
        <f t="shared" si="47"/>
        <v>0</v>
      </c>
      <c r="J519" s="45">
        <f t="shared" si="48"/>
        <v>0</v>
      </c>
      <c r="K519" s="43">
        <f>IF(AND(J519&gt;0,C519="y"),H519,0)</f>
        <v>0</v>
      </c>
      <c r="L519" s="197" t="s">
        <v>500</v>
      </c>
      <c r="M519" s="734"/>
      <c r="N519" s="9"/>
      <c r="O519" s="242" t="str">
        <f>HYPERLINK("http://oasisdesign.net/greywater/law/","Oasis Design: Greywater law")</f>
        <v>Oasis Design: Greywater law</v>
      </c>
      <c r="P519" s="6"/>
      <c r="Q519" s="6"/>
      <c r="R519" s="6"/>
      <c r="S519" s="6"/>
      <c r="T519" s="6"/>
    </row>
    <row r="520" spans="1:20" s="4" customFormat="1" ht="27.75" customHeight="1" x14ac:dyDescent="0.2">
      <c r="A520" s="335"/>
      <c r="B520" s="336"/>
      <c r="C520" s="336"/>
      <c r="D520" s="337"/>
      <c r="E520" s="797">
        <v>10</v>
      </c>
      <c r="F520" s="1311" t="s">
        <v>501</v>
      </c>
      <c r="G520" s="1342"/>
      <c r="H520" s="187"/>
      <c r="I520" s="188"/>
      <c r="J520" s="189"/>
      <c r="K520" s="43"/>
      <c r="L520" s="865" t="s">
        <v>502</v>
      </c>
      <c r="M520" s="1346" t="s">
        <v>752</v>
      </c>
      <c r="N520" s="9"/>
      <c r="O520" s="6"/>
      <c r="P520" s="6"/>
      <c r="Q520" s="6"/>
      <c r="R520" s="6"/>
      <c r="S520" s="6"/>
      <c r="T520" s="6"/>
    </row>
    <row r="521" spans="1:20" s="4" customFormat="1" ht="14.25" customHeight="1" x14ac:dyDescent="0.2">
      <c r="A521" s="376"/>
      <c r="B521" s="377"/>
      <c r="C521" s="378"/>
      <c r="D521" s="379"/>
      <c r="E521" s="182" t="s">
        <v>97</v>
      </c>
      <c r="F521" s="1334" t="s">
        <v>503</v>
      </c>
      <c r="G521" s="884"/>
      <c r="H521" s="143">
        <v>1</v>
      </c>
      <c r="I521" s="652">
        <f t="shared" ref="I521:I529" si="49">IF(AND(OR(A521="x", A521="p"),NOT(B521="n")),H521,0)</f>
        <v>0</v>
      </c>
      <c r="J521" s="653">
        <f t="shared" ref="J521:J529" si="50">IF(OR(D521="m", C521="y"),H521,0)</f>
        <v>0</v>
      </c>
      <c r="K521" s="43">
        <f t="shared" ref="K521:K530" si="51">IF(AND(J521&gt;0,C521="y"),H521,0)</f>
        <v>0</v>
      </c>
      <c r="L521" s="927"/>
      <c r="M521" s="940"/>
      <c r="N521" s="9"/>
      <c r="O521" s="1341" t="str">
        <f>HYPERLINK("http://www.greenbuilt.org/","Green Built Website")</f>
        <v>Green Built Website</v>
      </c>
      <c r="P521" s="930"/>
      <c r="Q521" s="930"/>
      <c r="R521" s="6"/>
      <c r="S521" s="6"/>
      <c r="T521" s="6"/>
    </row>
    <row r="522" spans="1:20" s="4" customFormat="1" ht="14.25" customHeight="1" x14ac:dyDescent="0.2">
      <c r="A522" s="305"/>
      <c r="B522" s="306"/>
      <c r="C522" s="307"/>
      <c r="D522" s="308"/>
      <c r="E522" s="182" t="s">
        <v>99</v>
      </c>
      <c r="F522" s="1334" t="s">
        <v>504</v>
      </c>
      <c r="G522" s="884"/>
      <c r="H522" s="143">
        <v>1</v>
      </c>
      <c r="I522" s="652">
        <f t="shared" si="49"/>
        <v>0</v>
      </c>
      <c r="J522" s="653">
        <f t="shared" si="50"/>
        <v>0</v>
      </c>
      <c r="K522" s="43">
        <f t="shared" si="51"/>
        <v>0</v>
      </c>
      <c r="L522" s="927"/>
      <c r="M522" s="940"/>
      <c r="N522" s="9"/>
      <c r="O522" s="6"/>
      <c r="P522" s="6"/>
      <c r="Q522" s="6"/>
      <c r="R522" s="6"/>
      <c r="S522" s="6"/>
      <c r="T522" s="6"/>
    </row>
    <row r="523" spans="1:20" s="4" customFormat="1" ht="27.75" customHeight="1" x14ac:dyDescent="0.2">
      <c r="A523" s="305"/>
      <c r="B523" s="306"/>
      <c r="C523" s="307"/>
      <c r="D523" s="308"/>
      <c r="E523" s="182" t="s">
        <v>101</v>
      </c>
      <c r="F523" s="1347" t="s">
        <v>505</v>
      </c>
      <c r="G523" s="884"/>
      <c r="H523" s="143">
        <v>1</v>
      </c>
      <c r="I523" s="652">
        <f t="shared" si="49"/>
        <v>0</v>
      </c>
      <c r="J523" s="653">
        <f t="shared" si="50"/>
        <v>0</v>
      </c>
      <c r="K523" s="43">
        <f t="shared" si="51"/>
        <v>0</v>
      </c>
      <c r="L523" s="927"/>
      <c r="M523" s="940"/>
      <c r="N523" s="9"/>
      <c r="O523" s="6"/>
      <c r="P523" s="6"/>
      <c r="Q523" s="6"/>
      <c r="R523" s="6"/>
      <c r="S523" s="6"/>
      <c r="T523" s="6"/>
    </row>
    <row r="524" spans="1:20" s="4" customFormat="1" ht="14.25" customHeight="1" x14ac:dyDescent="0.2">
      <c r="A524" s="305" t="s">
        <v>465</v>
      </c>
      <c r="B524" s="306"/>
      <c r="C524" s="307" t="s">
        <v>787</v>
      </c>
      <c r="D524" s="308"/>
      <c r="E524" s="182" t="s">
        <v>103</v>
      </c>
      <c r="F524" s="1334" t="s">
        <v>506</v>
      </c>
      <c r="G524" s="884"/>
      <c r="H524" s="143">
        <v>2</v>
      </c>
      <c r="I524" s="652">
        <f t="shared" si="49"/>
        <v>2</v>
      </c>
      <c r="J524" s="653">
        <f t="shared" si="50"/>
        <v>2</v>
      </c>
      <c r="K524" s="43">
        <f t="shared" si="51"/>
        <v>2</v>
      </c>
      <c r="L524" s="927"/>
      <c r="M524" s="940"/>
      <c r="N524" s="9"/>
      <c r="O524" s="6"/>
      <c r="P524" s="6"/>
      <c r="Q524" s="6"/>
      <c r="R524" s="6"/>
      <c r="S524" s="6"/>
      <c r="T524" s="6"/>
    </row>
    <row r="525" spans="1:20" s="4" customFormat="1" ht="14.25" customHeight="1" x14ac:dyDescent="0.2">
      <c r="A525" s="305"/>
      <c r="B525" s="306"/>
      <c r="C525" s="307"/>
      <c r="D525" s="308"/>
      <c r="E525" s="182" t="s">
        <v>168</v>
      </c>
      <c r="F525" s="1347" t="s">
        <v>507</v>
      </c>
      <c r="G525" s="884"/>
      <c r="H525" s="143">
        <v>2</v>
      </c>
      <c r="I525" s="652">
        <f t="shared" si="49"/>
        <v>0</v>
      </c>
      <c r="J525" s="653">
        <f t="shared" si="50"/>
        <v>0</v>
      </c>
      <c r="K525" s="43">
        <f t="shared" si="51"/>
        <v>0</v>
      </c>
      <c r="L525" s="927"/>
      <c r="M525" s="940"/>
      <c r="N525" s="9"/>
      <c r="O525" s="6"/>
      <c r="P525" s="6"/>
      <c r="Q525" s="6"/>
      <c r="R525" s="6"/>
      <c r="S525" s="6"/>
      <c r="T525" s="6"/>
    </row>
    <row r="526" spans="1:20" s="4" customFormat="1" ht="14.25" customHeight="1" x14ac:dyDescent="0.2">
      <c r="A526" s="305"/>
      <c r="B526" s="306"/>
      <c r="C526" s="307"/>
      <c r="D526" s="307"/>
      <c r="E526" s="182" t="s">
        <v>165</v>
      </c>
      <c r="F526" s="1348" t="s">
        <v>508</v>
      </c>
      <c r="G526" s="1349"/>
      <c r="H526" s="143">
        <v>2</v>
      </c>
      <c r="I526" s="652">
        <f t="shared" si="49"/>
        <v>0</v>
      </c>
      <c r="J526" s="653">
        <f t="shared" si="50"/>
        <v>0</v>
      </c>
      <c r="K526" s="43">
        <f t="shared" si="51"/>
        <v>0</v>
      </c>
      <c r="L526" s="927"/>
      <c r="M526" s="940"/>
      <c r="N526" s="9"/>
      <c r="O526" s="6"/>
      <c r="P526" s="6"/>
      <c r="Q526" s="6"/>
      <c r="R526" s="6"/>
      <c r="S526" s="6"/>
      <c r="T526" s="6"/>
    </row>
    <row r="527" spans="1:20" s="4" customFormat="1" ht="14.25" customHeight="1" x14ac:dyDescent="0.2">
      <c r="A527" s="305"/>
      <c r="B527" s="306"/>
      <c r="C527" s="307"/>
      <c r="D527" s="308"/>
      <c r="E527" s="205" t="s">
        <v>314</v>
      </c>
      <c r="F527" s="1350" t="s">
        <v>509</v>
      </c>
      <c r="G527" s="858"/>
      <c r="H527" s="190">
        <v>1</v>
      </c>
      <c r="I527" s="652">
        <f t="shared" si="49"/>
        <v>0</v>
      </c>
      <c r="J527" s="653">
        <f t="shared" si="50"/>
        <v>0</v>
      </c>
      <c r="K527" s="43">
        <f t="shared" si="51"/>
        <v>0</v>
      </c>
      <c r="L527" s="927"/>
      <c r="M527" s="940"/>
      <c r="N527" s="9"/>
      <c r="O527" s="6"/>
      <c r="P527" s="5"/>
      <c r="Q527" s="5"/>
      <c r="R527" s="5"/>
      <c r="S527" s="5"/>
      <c r="T527" s="5"/>
    </row>
    <row r="528" spans="1:20" s="4" customFormat="1" ht="14.25" customHeight="1" x14ac:dyDescent="0.2">
      <c r="A528" s="342"/>
      <c r="B528" s="343"/>
      <c r="C528" s="344"/>
      <c r="D528" s="345"/>
      <c r="E528" s="142" t="s">
        <v>401</v>
      </c>
      <c r="F528" s="1343" t="s">
        <v>510</v>
      </c>
      <c r="G528" s="899"/>
      <c r="H528" s="191">
        <v>2</v>
      </c>
      <c r="I528" s="702">
        <f t="shared" si="49"/>
        <v>0</v>
      </c>
      <c r="J528" s="651">
        <f t="shared" si="50"/>
        <v>0</v>
      </c>
      <c r="K528" s="43">
        <f t="shared" si="51"/>
        <v>0</v>
      </c>
      <c r="L528" s="928"/>
      <c r="M528" s="946"/>
      <c r="O528" s="5"/>
      <c r="P528" s="5"/>
      <c r="Q528" s="5"/>
      <c r="R528" s="5"/>
      <c r="S528" s="5"/>
      <c r="T528" s="5"/>
    </row>
    <row r="529" spans="1:20" s="4" customFormat="1" ht="14.25" customHeight="1" x14ac:dyDescent="0.2">
      <c r="A529" s="317"/>
      <c r="B529" s="318"/>
      <c r="C529" s="319"/>
      <c r="D529" s="320"/>
      <c r="E529" s="793">
        <v>11</v>
      </c>
      <c r="F529" s="1344" t="s">
        <v>511</v>
      </c>
      <c r="G529" s="1345"/>
      <c r="H529" s="192">
        <v>2</v>
      </c>
      <c r="I529" s="44">
        <f t="shared" si="49"/>
        <v>0</v>
      </c>
      <c r="J529" s="45">
        <f t="shared" si="50"/>
        <v>0</v>
      </c>
      <c r="K529" s="43">
        <f t="shared" si="51"/>
        <v>0</v>
      </c>
      <c r="L529" s="25" t="s">
        <v>512</v>
      </c>
      <c r="M529" s="733"/>
      <c r="O529" s="1182" t="s">
        <v>49</v>
      </c>
      <c r="P529" s="930"/>
      <c r="Q529" s="930"/>
      <c r="R529" s="5"/>
      <c r="S529" s="5"/>
      <c r="T529" s="5"/>
    </row>
    <row r="530" spans="1:20" s="4" customFormat="1" ht="26.25" customHeight="1" thickBot="1" x14ac:dyDescent="0.25">
      <c r="A530" s="348"/>
      <c r="B530" s="349"/>
      <c r="C530" s="350"/>
      <c r="D530" s="351"/>
      <c r="E530" s="792">
        <v>12</v>
      </c>
      <c r="F530" s="1192" t="s">
        <v>151</v>
      </c>
      <c r="G530" s="1193"/>
      <c r="H530" s="457" t="s">
        <v>105</v>
      </c>
      <c r="I530" s="658">
        <f>IF(AND(OR(A530="x", A530="p"),NOT(B530="n"), H530&lt;=7),H530,0)</f>
        <v>0</v>
      </c>
      <c r="J530" s="141">
        <f>IF(AND(OR(D530="m", C530="y"), H530&lt;=7),H530,0)</f>
        <v>0</v>
      </c>
      <c r="K530" s="43">
        <f t="shared" si="51"/>
        <v>0</v>
      </c>
      <c r="L530" s="197" t="s">
        <v>195</v>
      </c>
      <c r="M530" s="724"/>
      <c r="O530" s="5"/>
      <c r="P530" s="5"/>
      <c r="Q530" s="5"/>
      <c r="R530" s="5"/>
      <c r="S530" s="5"/>
      <c r="T530" s="5"/>
    </row>
    <row r="531" spans="1:20" s="4" customFormat="1" ht="19.5" customHeight="1" thickTop="1" thickBot="1" x14ac:dyDescent="0.3">
      <c r="A531" s="1183" t="s">
        <v>562</v>
      </c>
      <c r="B531" s="1184"/>
      <c r="C531" s="1184"/>
      <c r="D531" s="1184"/>
      <c r="E531" s="1184"/>
      <c r="F531" s="1184"/>
      <c r="G531" s="1184"/>
      <c r="H531" s="1185"/>
      <c r="I531" s="666">
        <f>SUM(I501:I530)</f>
        <v>6</v>
      </c>
      <c r="J531" s="666">
        <f>SUM(J501:J530)</f>
        <v>6</v>
      </c>
      <c r="K531" s="151">
        <f>SUM(K501:K530)</f>
        <v>6</v>
      </c>
      <c r="L531" s="119"/>
      <c r="M531" s="120"/>
      <c r="O531" s="5"/>
      <c r="P531" s="5"/>
      <c r="Q531" s="5"/>
      <c r="R531" s="5"/>
      <c r="S531" s="5"/>
      <c r="T531" s="5"/>
    </row>
    <row r="532" spans="1:20" s="4" customFormat="1" ht="35.1" customHeight="1" thickTop="1" x14ac:dyDescent="0.2">
      <c r="A532" s="861" t="s">
        <v>58</v>
      </c>
      <c r="B532" s="861"/>
      <c r="C532" s="861"/>
      <c r="D532" s="861"/>
      <c r="E532" s="861"/>
      <c r="F532" s="861"/>
      <c r="G532" s="861"/>
      <c r="H532" s="861"/>
      <c r="I532" s="861"/>
      <c r="J532" s="861"/>
      <c r="K532" s="861"/>
      <c r="L532" s="861"/>
      <c r="M532" s="861"/>
      <c r="O532" s="5"/>
      <c r="P532" s="5"/>
      <c r="Q532" s="5"/>
      <c r="R532" s="5"/>
      <c r="S532" s="5"/>
      <c r="T532" s="5"/>
    </row>
    <row r="533" spans="1:20" ht="15" customHeight="1" x14ac:dyDescent="0.25">
      <c r="A533" s="4" t="s">
        <v>718</v>
      </c>
      <c r="B533" s="4"/>
      <c r="C533" s="4"/>
      <c r="D533" s="4"/>
      <c r="E533" s="22"/>
      <c r="F533" s="193"/>
      <c r="G533" s="194"/>
      <c r="H533" s="16"/>
      <c r="I533" s="195"/>
      <c r="J533" s="195"/>
      <c r="K533" s="16"/>
      <c r="L533" s="16"/>
      <c r="M533" s="196"/>
      <c r="N533" s="4"/>
      <c r="O533" s="5"/>
      <c r="P533" s="5"/>
      <c r="Q533" s="5"/>
      <c r="R533" s="5"/>
      <c r="S533" s="5"/>
      <c r="T533" s="5"/>
    </row>
    <row r="534" spans="1:20" ht="14.25" customHeight="1" x14ac:dyDescent="0.25">
      <c r="A534" s="4"/>
      <c r="B534" s="4"/>
      <c r="C534" s="4"/>
      <c r="D534" s="4"/>
      <c r="E534" s="22"/>
      <c r="F534" s="193"/>
      <c r="G534" s="194"/>
      <c r="H534" s="16"/>
      <c r="I534" s="195"/>
      <c r="J534" s="195"/>
      <c r="K534" s="16"/>
      <c r="L534" s="16"/>
      <c r="M534" s="196"/>
      <c r="N534" s="4"/>
      <c r="O534" s="5"/>
      <c r="P534" s="5"/>
      <c r="Q534" s="5"/>
      <c r="R534" s="5"/>
      <c r="S534" s="5"/>
      <c r="T534" s="5"/>
    </row>
  </sheetData>
  <mergeCells count="925">
    <mergeCell ref="F272:G272"/>
    <mergeCell ref="F273:G273"/>
    <mergeCell ref="F277:G277"/>
    <mergeCell ref="O265:R265"/>
    <mergeCell ref="O266:Q266"/>
    <mergeCell ref="O267:R267"/>
    <mergeCell ref="O268:R268"/>
    <mergeCell ref="F257:G257"/>
    <mergeCell ref="F258:G258"/>
    <mergeCell ref="F259:G259"/>
    <mergeCell ref="F271:G271"/>
    <mergeCell ref="F270:G270"/>
    <mergeCell ref="O120:Q120"/>
    <mergeCell ref="M299:M301"/>
    <mergeCell ref="L186:L187"/>
    <mergeCell ref="F301:G301"/>
    <mergeCell ref="L290:L291"/>
    <mergeCell ref="H290:H291"/>
    <mergeCell ref="I290:I291"/>
    <mergeCell ref="J290:J291"/>
    <mergeCell ref="K290:K291"/>
    <mergeCell ref="E289:G289"/>
    <mergeCell ref="L262:L263"/>
    <mergeCell ref="M262:M263"/>
    <mergeCell ref="L264:M264"/>
    <mergeCell ref="L272:L274"/>
    <mergeCell ref="M272:M274"/>
    <mergeCell ref="L277:L279"/>
    <mergeCell ref="O246:R246"/>
    <mergeCell ref="F248:G248"/>
    <mergeCell ref="F249:G249"/>
    <mergeCell ref="F250:G250"/>
    <mergeCell ref="F251:G251"/>
    <mergeCell ref="A260:H260"/>
    <mergeCell ref="F253:G253"/>
    <mergeCell ref="O274:R274"/>
    <mergeCell ref="O332:R332"/>
    <mergeCell ref="L337:L339"/>
    <mergeCell ref="O326:R326"/>
    <mergeCell ref="O291:R291"/>
    <mergeCell ref="O294:Q294"/>
    <mergeCell ref="O324:R324"/>
    <mergeCell ref="O325:R325"/>
    <mergeCell ref="M313:M314"/>
    <mergeCell ref="M307:M309"/>
    <mergeCell ref="L334:L336"/>
    <mergeCell ref="M334:M336"/>
    <mergeCell ref="M316:M318"/>
    <mergeCell ref="L316:L318"/>
    <mergeCell ref="O307:S307"/>
    <mergeCell ref="M290:M291"/>
    <mergeCell ref="L323:L328"/>
    <mergeCell ref="M323:M328"/>
    <mergeCell ref="O283:Q283"/>
    <mergeCell ref="O288:R288"/>
    <mergeCell ref="O317:R317"/>
    <mergeCell ref="O319:R319"/>
    <mergeCell ref="O322:Q322"/>
    <mergeCell ref="A312:M312"/>
    <mergeCell ref="F79:G79"/>
    <mergeCell ref="H79:H80"/>
    <mergeCell ref="I79:I80"/>
    <mergeCell ref="J79:J80"/>
    <mergeCell ref="K79:K80"/>
    <mergeCell ref="H83:H84"/>
    <mergeCell ref="I83:I84"/>
    <mergeCell ref="J83:J84"/>
    <mergeCell ref="K83:K84"/>
    <mergeCell ref="O309:R309"/>
    <mergeCell ref="L296:L298"/>
    <mergeCell ref="M296:M298"/>
    <mergeCell ref="L299:L301"/>
    <mergeCell ref="L307:L309"/>
    <mergeCell ref="O300:P300"/>
    <mergeCell ref="F297:G297"/>
    <mergeCell ref="F290:G290"/>
    <mergeCell ref="F299:G299"/>
    <mergeCell ref="I423:J423"/>
    <mergeCell ref="F413:G413"/>
    <mergeCell ref="F418:G418"/>
    <mergeCell ref="L401:L418"/>
    <mergeCell ref="F417:G417"/>
    <mergeCell ref="F416:G416"/>
    <mergeCell ref="F415:G415"/>
    <mergeCell ref="F428:G428"/>
    <mergeCell ref="F429:G429"/>
    <mergeCell ref="K425:K426"/>
    <mergeCell ref="F425:G425"/>
    <mergeCell ref="I425:I426"/>
    <mergeCell ref="J425:J426"/>
    <mergeCell ref="H425:H426"/>
    <mergeCell ref="F420:G420"/>
    <mergeCell ref="A421:H421"/>
    <mergeCell ref="H423:H424"/>
    <mergeCell ref="E423:G424"/>
    <mergeCell ref="F414:G414"/>
    <mergeCell ref="F407:G407"/>
    <mergeCell ref="F408:G408"/>
    <mergeCell ref="F409:G409"/>
    <mergeCell ref="F410:G410"/>
    <mergeCell ref="F411:G411"/>
    <mergeCell ref="O394:R396"/>
    <mergeCell ref="O404:R404"/>
    <mergeCell ref="O407:T407"/>
    <mergeCell ref="L385:L390"/>
    <mergeCell ref="L391:L394"/>
    <mergeCell ref="M391:M394"/>
    <mergeCell ref="F391:G391"/>
    <mergeCell ref="F392:G392"/>
    <mergeCell ref="F393:G393"/>
    <mergeCell ref="F394:G394"/>
    <mergeCell ref="O406:P406"/>
    <mergeCell ref="F387:G387"/>
    <mergeCell ref="F390:G390"/>
    <mergeCell ref="F388:G388"/>
    <mergeCell ref="F396:G396"/>
    <mergeCell ref="O342:Q342"/>
    <mergeCell ref="F339:G339"/>
    <mergeCell ref="F340:G340"/>
    <mergeCell ref="H340:H341"/>
    <mergeCell ref="O352:R352"/>
    <mergeCell ref="O353:Q353"/>
    <mergeCell ref="F389:G389"/>
    <mergeCell ref="O381:S381"/>
    <mergeCell ref="O386:R386"/>
    <mergeCell ref="L355:L358"/>
    <mergeCell ref="M355:M358"/>
    <mergeCell ref="L340:L341"/>
    <mergeCell ref="M340:M341"/>
    <mergeCell ref="O341:Q341"/>
    <mergeCell ref="L380:L383"/>
    <mergeCell ref="M380:M383"/>
    <mergeCell ref="F381:G381"/>
    <mergeCell ref="F382:G382"/>
    <mergeCell ref="F383:G383"/>
    <mergeCell ref="F375:G375"/>
    <mergeCell ref="L376:L379"/>
    <mergeCell ref="M376:M379"/>
    <mergeCell ref="M385:M390"/>
    <mergeCell ref="F386:G386"/>
    <mergeCell ref="O408:P408"/>
    <mergeCell ref="O377:P377"/>
    <mergeCell ref="O373:R373"/>
    <mergeCell ref="O335:P335"/>
    <mergeCell ref="F330:G330"/>
    <mergeCell ref="F331:G331"/>
    <mergeCell ref="F326:G326"/>
    <mergeCell ref="F327:G327"/>
    <mergeCell ref="F328:G328"/>
    <mergeCell ref="F338:G338"/>
    <mergeCell ref="O329:R329"/>
    <mergeCell ref="I340:I341"/>
    <mergeCell ref="J340:J341"/>
    <mergeCell ref="K340:K341"/>
    <mergeCell ref="M337:M339"/>
    <mergeCell ref="F342:G342"/>
    <mergeCell ref="O338:S338"/>
    <mergeCell ref="F332:G332"/>
    <mergeCell ref="F333:G333"/>
    <mergeCell ref="F336:G336"/>
    <mergeCell ref="F337:G337"/>
    <mergeCell ref="L329:L331"/>
    <mergeCell ref="M329:M331"/>
    <mergeCell ref="F380:G380"/>
    <mergeCell ref="O466:R466"/>
    <mergeCell ref="L423:L424"/>
    <mergeCell ref="M423:M424"/>
    <mergeCell ref="L425:L426"/>
    <mergeCell ref="M425:M426"/>
    <mergeCell ref="L430:L436"/>
    <mergeCell ref="L452:L454"/>
    <mergeCell ref="M452:M454"/>
    <mergeCell ref="O437:S437"/>
    <mergeCell ref="O430:S430"/>
    <mergeCell ref="O446:R446"/>
    <mergeCell ref="O447:R447"/>
    <mergeCell ref="L455:L457"/>
    <mergeCell ref="M455:M457"/>
    <mergeCell ref="O464:R464"/>
    <mergeCell ref="O462:T462"/>
    <mergeCell ref="O465:R465"/>
    <mergeCell ref="F445:G445"/>
    <mergeCell ref="F446:G446"/>
    <mergeCell ref="F447:G447"/>
    <mergeCell ref="F457:G457"/>
    <mergeCell ref="F448:G448"/>
    <mergeCell ref="F449:G449"/>
    <mergeCell ref="F450:G450"/>
    <mergeCell ref="F451:G451"/>
    <mergeCell ref="F452:G452"/>
    <mergeCell ref="F453:G453"/>
    <mergeCell ref="F454:G454"/>
    <mergeCell ref="F455:G455"/>
    <mergeCell ref="F456:G456"/>
    <mergeCell ref="F412:G412"/>
    <mergeCell ref="F444:G444"/>
    <mergeCell ref="F443:G443"/>
    <mergeCell ref="F430:G430"/>
    <mergeCell ref="F432:G432"/>
    <mergeCell ref="F433:G433"/>
    <mergeCell ref="F434:G434"/>
    <mergeCell ref="F435:G435"/>
    <mergeCell ref="F436:G436"/>
    <mergeCell ref="F437:G437"/>
    <mergeCell ref="F441:G441"/>
    <mergeCell ref="F442:G442"/>
    <mergeCell ref="F505:G505"/>
    <mergeCell ref="F507:G507"/>
    <mergeCell ref="F473:G473"/>
    <mergeCell ref="F474:G474"/>
    <mergeCell ref="F475:G475"/>
    <mergeCell ref="F476:G476"/>
    <mergeCell ref="F477:G477"/>
    <mergeCell ref="F478:G478"/>
    <mergeCell ref="F486:G486"/>
    <mergeCell ref="F496:G496"/>
    <mergeCell ref="F483:G483"/>
    <mergeCell ref="F503:G503"/>
    <mergeCell ref="F504:G504"/>
    <mergeCell ref="F479:G479"/>
    <mergeCell ref="F480:G480"/>
    <mergeCell ref="F485:G485"/>
    <mergeCell ref="F487:G487"/>
    <mergeCell ref="F488:G488"/>
    <mergeCell ref="F502:G502"/>
    <mergeCell ref="E499:G500"/>
    <mergeCell ref="M499:M500"/>
    <mergeCell ref="F431:G431"/>
    <mergeCell ref="F501:G501"/>
    <mergeCell ref="L464:L484"/>
    <mergeCell ref="F465:G465"/>
    <mergeCell ref="F466:G466"/>
    <mergeCell ref="F467:G467"/>
    <mergeCell ref="F468:G468"/>
    <mergeCell ref="F484:G484"/>
    <mergeCell ref="F481:G481"/>
    <mergeCell ref="F482:G482"/>
    <mergeCell ref="A498:M498"/>
    <mergeCell ref="F489:G489"/>
    <mergeCell ref="F490:G490"/>
    <mergeCell ref="F491:G491"/>
    <mergeCell ref="F492:G492"/>
    <mergeCell ref="F493:G493"/>
    <mergeCell ref="F494:G494"/>
    <mergeCell ref="F495:G495"/>
    <mergeCell ref="A497:H497"/>
    <mergeCell ref="M501:M507"/>
    <mergeCell ref="F506:G506"/>
    <mergeCell ref="L501:L507"/>
    <mergeCell ref="I499:J499"/>
    <mergeCell ref="L499:L500"/>
    <mergeCell ref="A499:A500"/>
    <mergeCell ref="L513:L514"/>
    <mergeCell ref="M513:M514"/>
    <mergeCell ref="F510:G510"/>
    <mergeCell ref="F511:G511"/>
    <mergeCell ref="F512:G512"/>
    <mergeCell ref="K513:K514"/>
    <mergeCell ref="L508:L511"/>
    <mergeCell ref="M508:M511"/>
    <mergeCell ref="F508:G508"/>
    <mergeCell ref="F509:G509"/>
    <mergeCell ref="A513:A514"/>
    <mergeCell ref="B513:B514"/>
    <mergeCell ref="C513:C514"/>
    <mergeCell ref="D513:D514"/>
    <mergeCell ref="E513:E514"/>
    <mergeCell ref="F513:G514"/>
    <mergeCell ref="H513:H514"/>
    <mergeCell ref="I513:I514"/>
    <mergeCell ref="J513:J514"/>
    <mergeCell ref="B499:B500"/>
    <mergeCell ref="C499:C500"/>
    <mergeCell ref="D499:D500"/>
    <mergeCell ref="F530:G530"/>
    <mergeCell ref="A531:H531"/>
    <mergeCell ref="F521:G521"/>
    <mergeCell ref="F522:G522"/>
    <mergeCell ref="F523:G523"/>
    <mergeCell ref="F524:G524"/>
    <mergeCell ref="F525:G525"/>
    <mergeCell ref="F526:G526"/>
    <mergeCell ref="F527:G527"/>
    <mergeCell ref="O521:Q521"/>
    <mergeCell ref="O529:Q529"/>
    <mergeCell ref="F515:G515"/>
    <mergeCell ref="F516:G516"/>
    <mergeCell ref="F517:G517"/>
    <mergeCell ref="F518:G518"/>
    <mergeCell ref="F519:G519"/>
    <mergeCell ref="F520:G520"/>
    <mergeCell ref="F528:G528"/>
    <mergeCell ref="F529:G529"/>
    <mergeCell ref="L520:L528"/>
    <mergeCell ref="M520:M528"/>
    <mergeCell ref="F461:G461"/>
    <mergeCell ref="F462:G462"/>
    <mergeCell ref="F469:G469"/>
    <mergeCell ref="F470:G470"/>
    <mergeCell ref="F471:G471"/>
    <mergeCell ref="F472:G472"/>
    <mergeCell ref="F464:G464"/>
    <mergeCell ref="F397:G397"/>
    <mergeCell ref="F379:G379"/>
    <mergeCell ref="F395:G395"/>
    <mergeCell ref="F384:G384"/>
    <mergeCell ref="F385:G385"/>
    <mergeCell ref="F458:G458"/>
    <mergeCell ref="F459:G459"/>
    <mergeCell ref="F460:G460"/>
    <mergeCell ref="F398:G398"/>
    <mergeCell ref="F401:G401"/>
    <mergeCell ref="F402:G402"/>
    <mergeCell ref="F403:G403"/>
    <mergeCell ref="F404:G404"/>
    <mergeCell ref="F405:G405"/>
    <mergeCell ref="F406:G406"/>
    <mergeCell ref="F399:G399"/>
    <mergeCell ref="F419:G419"/>
    <mergeCell ref="A370:A371"/>
    <mergeCell ref="B370:B371"/>
    <mergeCell ref="C370:C371"/>
    <mergeCell ref="D370:D371"/>
    <mergeCell ref="E370:E371"/>
    <mergeCell ref="F370:G370"/>
    <mergeCell ref="F376:G376"/>
    <mergeCell ref="F377:G377"/>
    <mergeCell ref="F372:G372"/>
    <mergeCell ref="F373:G373"/>
    <mergeCell ref="H370:H371"/>
    <mergeCell ref="I370:I371"/>
    <mergeCell ref="J370:J371"/>
    <mergeCell ref="K370:K371"/>
    <mergeCell ref="L370:L371"/>
    <mergeCell ref="M370:M371"/>
    <mergeCell ref="F374:G374"/>
    <mergeCell ref="F378:G378"/>
    <mergeCell ref="O370:Q370"/>
    <mergeCell ref="L366:L367"/>
    <mergeCell ref="M366:M367"/>
    <mergeCell ref="O368:Q368"/>
    <mergeCell ref="F362:G362"/>
    <mergeCell ref="F363:G363"/>
    <mergeCell ref="A364:H364"/>
    <mergeCell ref="A365:M365"/>
    <mergeCell ref="E366:G367"/>
    <mergeCell ref="H366:H367"/>
    <mergeCell ref="I366:J366"/>
    <mergeCell ref="F368:G368"/>
    <mergeCell ref="F347:G347"/>
    <mergeCell ref="F349:G349"/>
    <mergeCell ref="F350:G350"/>
    <mergeCell ref="O360:Q360"/>
    <mergeCell ref="O362:P362"/>
    <mergeCell ref="L360:L361"/>
    <mergeCell ref="M360:M361"/>
    <mergeCell ref="J360:J361"/>
    <mergeCell ref="K360:K361"/>
    <mergeCell ref="F359:G359"/>
    <mergeCell ref="F360:G360"/>
    <mergeCell ref="H360:H361"/>
    <mergeCell ref="I360:I361"/>
    <mergeCell ref="L351:L354"/>
    <mergeCell ref="M351:M354"/>
    <mergeCell ref="F351:G351"/>
    <mergeCell ref="F352:G352"/>
    <mergeCell ref="F354:G354"/>
    <mergeCell ref="F358:G358"/>
    <mergeCell ref="F356:G356"/>
    <mergeCell ref="A344:A345"/>
    <mergeCell ref="B344:B345"/>
    <mergeCell ref="A352:A353"/>
    <mergeCell ref="B352:B353"/>
    <mergeCell ref="E352:E353"/>
    <mergeCell ref="C352:C353"/>
    <mergeCell ref="L348:M348"/>
    <mergeCell ref="D352:D353"/>
    <mergeCell ref="I352:I353"/>
    <mergeCell ref="J352:J353"/>
    <mergeCell ref="K352:K353"/>
    <mergeCell ref="C344:C345"/>
    <mergeCell ref="D344:D345"/>
    <mergeCell ref="E344:E345"/>
    <mergeCell ref="F344:G344"/>
    <mergeCell ref="M343:M346"/>
    <mergeCell ref="F343:G343"/>
    <mergeCell ref="F346:G346"/>
    <mergeCell ref="H352:H353"/>
    <mergeCell ref="L343:L345"/>
    <mergeCell ref="H343:H345"/>
    <mergeCell ref="I343:I345"/>
    <mergeCell ref="J343:J345"/>
    <mergeCell ref="K343:K345"/>
    <mergeCell ref="B290:B291"/>
    <mergeCell ref="E290:E291"/>
    <mergeCell ref="C290:C291"/>
    <mergeCell ref="D290:D291"/>
    <mergeCell ref="F310:G310"/>
    <mergeCell ref="E313:G314"/>
    <mergeCell ref="F280:G280"/>
    <mergeCell ref="F281:G281"/>
    <mergeCell ref="F282:G282"/>
    <mergeCell ref="F283:G283"/>
    <mergeCell ref="F305:G305"/>
    <mergeCell ref="F293:G293"/>
    <mergeCell ref="F285:G285"/>
    <mergeCell ref="F286:G286"/>
    <mergeCell ref="F287:G287"/>
    <mergeCell ref="F288:G288"/>
    <mergeCell ref="F294:G294"/>
    <mergeCell ref="F295:G295"/>
    <mergeCell ref="F296:G296"/>
    <mergeCell ref="F298:G298"/>
    <mergeCell ref="F307:G307"/>
    <mergeCell ref="F302:G302"/>
    <mergeCell ref="F300:G300"/>
    <mergeCell ref="F304:G304"/>
    <mergeCell ref="F334:G334"/>
    <mergeCell ref="F318:G318"/>
    <mergeCell ref="F319:G319"/>
    <mergeCell ref="F323:G323"/>
    <mergeCell ref="F324:G324"/>
    <mergeCell ref="F325:G325"/>
    <mergeCell ref="F329:G329"/>
    <mergeCell ref="F335:G335"/>
    <mergeCell ref="F322:G322"/>
    <mergeCell ref="A311:H311"/>
    <mergeCell ref="I313:J313"/>
    <mergeCell ref="L313:L314"/>
    <mergeCell ref="O198:R198"/>
    <mergeCell ref="F265:G265"/>
    <mergeCell ref="F266:G266"/>
    <mergeCell ref="F267:G267"/>
    <mergeCell ref="F268:G268"/>
    <mergeCell ref="F269:G269"/>
    <mergeCell ref="F209:G209"/>
    <mergeCell ref="F210:G210"/>
    <mergeCell ref="F211:G211"/>
    <mergeCell ref="F212:G212"/>
    <mergeCell ref="E213:G213"/>
    <mergeCell ref="F214:G214"/>
    <mergeCell ref="F215:G215"/>
    <mergeCell ref="F216:G216"/>
    <mergeCell ref="F217:G217"/>
    <mergeCell ref="E219:G219"/>
    <mergeCell ref="F220:G220"/>
    <mergeCell ref="F239:G239"/>
    <mergeCell ref="O244:S244"/>
    <mergeCell ref="F240:G240"/>
    <mergeCell ref="A290:A291"/>
    <mergeCell ref="E203:G203"/>
    <mergeCell ref="O227:S227"/>
    <mergeCell ref="O236:R236"/>
    <mergeCell ref="O175:S175"/>
    <mergeCell ref="E184:G185"/>
    <mergeCell ref="F186:G186"/>
    <mergeCell ref="E208:G208"/>
    <mergeCell ref="F224:G224"/>
    <mergeCell ref="F225:G225"/>
    <mergeCell ref="O199:S199"/>
    <mergeCell ref="O200:R200"/>
    <mergeCell ref="O203:S203"/>
    <mergeCell ref="O211:S211"/>
    <mergeCell ref="O215:S215"/>
    <mergeCell ref="O221:R221"/>
    <mergeCell ref="O222:S222"/>
    <mergeCell ref="F199:G199"/>
    <mergeCell ref="F200:G200"/>
    <mergeCell ref="F201:G201"/>
    <mergeCell ref="F202:G202"/>
    <mergeCell ref="F223:G223"/>
    <mergeCell ref="L209:L211"/>
    <mergeCell ref="M178:M180"/>
    <mergeCell ref="L175:L177"/>
    <mergeCell ref="L236:L239"/>
    <mergeCell ref="O186:S186"/>
    <mergeCell ref="O188:S188"/>
    <mergeCell ref="O192:R192"/>
    <mergeCell ref="O197:S197"/>
    <mergeCell ref="M197:M200"/>
    <mergeCell ref="F188:G188"/>
    <mergeCell ref="O224:R224"/>
    <mergeCell ref="O225:R225"/>
    <mergeCell ref="D195:L195"/>
    <mergeCell ref="F194:G194"/>
    <mergeCell ref="E196:G196"/>
    <mergeCell ref="F197:G197"/>
    <mergeCell ref="L197:L200"/>
    <mergeCell ref="M209:M211"/>
    <mergeCell ref="L214:L217"/>
    <mergeCell ref="M214:M217"/>
    <mergeCell ref="L220:L222"/>
    <mergeCell ref="M224:M226"/>
    <mergeCell ref="F221:G221"/>
    <mergeCell ref="F222:G222"/>
    <mergeCell ref="O226:R226"/>
    <mergeCell ref="L191:L194"/>
    <mergeCell ref="M191:M194"/>
    <mergeCell ref="F174:G174"/>
    <mergeCell ref="O241:R241"/>
    <mergeCell ref="O242:Q242"/>
    <mergeCell ref="F204:G204"/>
    <mergeCell ref="F205:G205"/>
    <mergeCell ref="F206:G206"/>
    <mergeCell ref="F207:G207"/>
    <mergeCell ref="M220:M222"/>
    <mergeCell ref="F227:G227"/>
    <mergeCell ref="F228:G228"/>
    <mergeCell ref="F229:G229"/>
    <mergeCell ref="E230:G230"/>
    <mergeCell ref="F231:G231"/>
    <mergeCell ref="F232:G232"/>
    <mergeCell ref="F233:G233"/>
    <mergeCell ref="F234:G234"/>
    <mergeCell ref="F236:G236"/>
    <mergeCell ref="F237:G237"/>
    <mergeCell ref="F238:G238"/>
    <mergeCell ref="M204:M206"/>
    <mergeCell ref="L204:L206"/>
    <mergeCell ref="F241:G241"/>
    <mergeCell ref="L231:L233"/>
    <mergeCell ref="M231:M233"/>
    <mergeCell ref="L167:L171"/>
    <mergeCell ref="M167:M171"/>
    <mergeCell ref="M161:M163"/>
    <mergeCell ref="F150:G150"/>
    <mergeCell ref="F151:G151"/>
    <mergeCell ref="F152:G152"/>
    <mergeCell ref="F172:G172"/>
    <mergeCell ref="I172:I173"/>
    <mergeCell ref="J172:J173"/>
    <mergeCell ref="L164:L166"/>
    <mergeCell ref="L172:L173"/>
    <mergeCell ref="F170:G170"/>
    <mergeCell ref="K172:K173"/>
    <mergeCell ref="B186:B187"/>
    <mergeCell ref="C186:C187"/>
    <mergeCell ref="F176:G176"/>
    <mergeCell ref="F177:G177"/>
    <mergeCell ref="F178:G178"/>
    <mergeCell ref="F179:G179"/>
    <mergeCell ref="A183:M183"/>
    <mergeCell ref="J186:J187"/>
    <mergeCell ref="K186:K187"/>
    <mergeCell ref="F181:G181"/>
    <mergeCell ref="H184:H185"/>
    <mergeCell ref="I184:J184"/>
    <mergeCell ref="M184:M185"/>
    <mergeCell ref="A186:A187"/>
    <mergeCell ref="D186:D187"/>
    <mergeCell ref="M186:M187"/>
    <mergeCell ref="M175:M177"/>
    <mergeCell ref="L178:L180"/>
    <mergeCell ref="L184:L185"/>
    <mergeCell ref="F192:G192"/>
    <mergeCell ref="F193:G193"/>
    <mergeCell ref="F191:G191"/>
    <mergeCell ref="F226:G226"/>
    <mergeCell ref="L188:L190"/>
    <mergeCell ref="M188:M190"/>
    <mergeCell ref="H137:H138"/>
    <mergeCell ref="I137:I138"/>
    <mergeCell ref="J137:J138"/>
    <mergeCell ref="K137:K138"/>
    <mergeCell ref="L137:L138"/>
    <mergeCell ref="M137:M138"/>
    <mergeCell ref="L224:L226"/>
    <mergeCell ref="H186:H187"/>
    <mergeCell ref="I186:I187"/>
    <mergeCell ref="L161:L163"/>
    <mergeCell ref="M164:M166"/>
    <mergeCell ref="M172:M173"/>
    <mergeCell ref="F164:G164"/>
    <mergeCell ref="F165:G165"/>
    <mergeCell ref="F166:G166"/>
    <mergeCell ref="J168:J169"/>
    <mergeCell ref="K168:K169"/>
    <mergeCell ref="F167:G167"/>
    <mergeCell ref="M236:M239"/>
    <mergeCell ref="L240:L243"/>
    <mergeCell ref="L284:L287"/>
    <mergeCell ref="M284:M287"/>
    <mergeCell ref="M240:M243"/>
    <mergeCell ref="M246:M249"/>
    <mergeCell ref="L247:L249"/>
    <mergeCell ref="M250:M252"/>
    <mergeCell ref="L251:L252"/>
    <mergeCell ref="L254:L257"/>
    <mergeCell ref="M254:M257"/>
    <mergeCell ref="M277:M279"/>
    <mergeCell ref="A261:M261"/>
    <mergeCell ref="E262:G263"/>
    <mergeCell ref="H262:H263"/>
    <mergeCell ref="I262:J262"/>
    <mergeCell ref="F274:G274"/>
    <mergeCell ref="E276:G276"/>
    <mergeCell ref="F278:G278"/>
    <mergeCell ref="F255:G255"/>
    <mergeCell ref="F256:G256"/>
    <mergeCell ref="F242:G242"/>
    <mergeCell ref="F243:G243"/>
    <mergeCell ref="F244:G244"/>
    <mergeCell ref="M123:M126"/>
    <mergeCell ref="F120:G120"/>
    <mergeCell ref="J170:J171"/>
    <mergeCell ref="K170:K171"/>
    <mergeCell ref="F155:G155"/>
    <mergeCell ref="F156:G156"/>
    <mergeCell ref="F158:G158"/>
    <mergeCell ref="F161:G161"/>
    <mergeCell ref="F162:G162"/>
    <mergeCell ref="F163:G163"/>
    <mergeCell ref="L158:L160"/>
    <mergeCell ref="M158:M160"/>
    <mergeCell ref="F159:G159"/>
    <mergeCell ref="F160:G160"/>
    <mergeCell ref="M149:M154"/>
    <mergeCell ref="F154:G154"/>
    <mergeCell ref="M139:M144"/>
    <mergeCell ref="E132:G133"/>
    <mergeCell ref="H132:H133"/>
    <mergeCell ref="I170:I171"/>
    <mergeCell ref="I132:J132"/>
    <mergeCell ref="I168:I169"/>
    <mergeCell ref="F168:G168"/>
    <mergeCell ref="L136:M136"/>
    <mergeCell ref="M132:M133"/>
    <mergeCell ref="A137:A138"/>
    <mergeCell ref="O115:S115"/>
    <mergeCell ref="F116:G116"/>
    <mergeCell ref="F117:G117"/>
    <mergeCell ref="F118:G118"/>
    <mergeCell ref="O118:Q118"/>
    <mergeCell ref="F119:G119"/>
    <mergeCell ref="O119:Q119"/>
    <mergeCell ref="O122:P122"/>
    <mergeCell ref="O123:P123"/>
    <mergeCell ref="L115:L119"/>
    <mergeCell ref="M115:M119"/>
    <mergeCell ref="A128:H128"/>
    <mergeCell ref="A129:M131"/>
    <mergeCell ref="F121:G121"/>
    <mergeCell ref="F122:G122"/>
    <mergeCell ref="F123:G123"/>
    <mergeCell ref="F124:G124"/>
    <mergeCell ref="F125:G125"/>
    <mergeCell ref="F126:G126"/>
    <mergeCell ref="F127:G127"/>
    <mergeCell ref="L120:L122"/>
    <mergeCell ref="M120:M122"/>
    <mergeCell ref="O152:Q152"/>
    <mergeCell ref="F153:G153"/>
    <mergeCell ref="L149:L154"/>
    <mergeCell ref="F139:G139"/>
    <mergeCell ref="F140:G140"/>
    <mergeCell ref="F141:G141"/>
    <mergeCell ref="F142:G142"/>
    <mergeCell ref="F143:G143"/>
    <mergeCell ref="F144:G144"/>
    <mergeCell ref="F145:G145"/>
    <mergeCell ref="O141:R141"/>
    <mergeCell ref="F146:G146"/>
    <mergeCell ref="L139:L144"/>
    <mergeCell ref="L145:L148"/>
    <mergeCell ref="M145:M148"/>
    <mergeCell ref="F147:G147"/>
    <mergeCell ref="F148:G148"/>
    <mergeCell ref="O148:R148"/>
    <mergeCell ref="F149:G149"/>
    <mergeCell ref="A88:A89"/>
    <mergeCell ref="A98:A99"/>
    <mergeCell ref="B98:B99"/>
    <mergeCell ref="C98:C99"/>
    <mergeCell ref="F81:G81"/>
    <mergeCell ref="M81:M84"/>
    <mergeCell ref="D88:D89"/>
    <mergeCell ref="E88:E89"/>
    <mergeCell ref="K95:K96"/>
    <mergeCell ref="K98:K99"/>
    <mergeCell ref="L81:L84"/>
    <mergeCell ref="J88:J89"/>
    <mergeCell ref="B83:B84"/>
    <mergeCell ref="C83:C84"/>
    <mergeCell ref="D83:D84"/>
    <mergeCell ref="E83:E84"/>
    <mergeCell ref="F83:G83"/>
    <mergeCell ref="A83:A84"/>
    <mergeCell ref="M44:M45"/>
    <mergeCell ref="I47:J47"/>
    <mergeCell ref="F75:G75"/>
    <mergeCell ref="O75:R75"/>
    <mergeCell ref="F76:G76"/>
    <mergeCell ref="O76:R76"/>
    <mergeCell ref="F78:G78"/>
    <mergeCell ref="C54:H54"/>
    <mergeCell ref="C55:H55"/>
    <mergeCell ref="I55:J55"/>
    <mergeCell ref="C56:H56"/>
    <mergeCell ref="I56:J56"/>
    <mergeCell ref="C57:H57"/>
    <mergeCell ref="I57:J57"/>
    <mergeCell ref="I61:J63"/>
    <mergeCell ref="K61:K63"/>
    <mergeCell ref="L61:L63"/>
    <mergeCell ref="M61:M63"/>
    <mergeCell ref="C58:H58"/>
    <mergeCell ref="I58:J58"/>
    <mergeCell ref="C60:H60"/>
    <mergeCell ref="I60:J60"/>
    <mergeCell ref="O57:R57"/>
    <mergeCell ref="C66:H66"/>
    <mergeCell ref="A41:M41"/>
    <mergeCell ref="B42:H42"/>
    <mergeCell ref="I42:J42"/>
    <mergeCell ref="A38:J40"/>
    <mergeCell ref="A52:A53"/>
    <mergeCell ref="B52:B53"/>
    <mergeCell ref="C52:H53"/>
    <mergeCell ref="I52:J53"/>
    <mergeCell ref="L52:L53"/>
    <mergeCell ref="M52:M53"/>
    <mergeCell ref="C43:H43"/>
    <mergeCell ref="I43:J43"/>
    <mergeCell ref="A44:A45"/>
    <mergeCell ref="B44:B45"/>
    <mergeCell ref="C44:H45"/>
    <mergeCell ref="I44:J45"/>
    <mergeCell ref="K44:K45"/>
    <mergeCell ref="I48:J51"/>
    <mergeCell ref="L48:L51"/>
    <mergeCell ref="C46:H46"/>
    <mergeCell ref="I46:J46"/>
    <mergeCell ref="C47:H47"/>
    <mergeCell ref="A48:A51"/>
    <mergeCell ref="L44:L45"/>
    <mergeCell ref="H31:J31"/>
    <mergeCell ref="H32:J32"/>
    <mergeCell ref="H33:J33"/>
    <mergeCell ref="H34:J34"/>
    <mergeCell ref="H35:J35"/>
    <mergeCell ref="H36:J36"/>
    <mergeCell ref="H37:J37"/>
    <mergeCell ref="A37:G37"/>
    <mergeCell ref="L38:M40"/>
    <mergeCell ref="A1:M3"/>
    <mergeCell ref="A4:K4"/>
    <mergeCell ref="A5:K5"/>
    <mergeCell ref="A6:F6"/>
    <mergeCell ref="G6:K6"/>
    <mergeCell ref="A7:M7"/>
    <mergeCell ref="A8:M8"/>
    <mergeCell ref="A9:M9"/>
    <mergeCell ref="A10:M10"/>
    <mergeCell ref="B11:M11"/>
    <mergeCell ref="B12:M12"/>
    <mergeCell ref="B13:M13"/>
    <mergeCell ref="A14:M14"/>
    <mergeCell ref="A15:M15"/>
    <mergeCell ref="A16:M16"/>
    <mergeCell ref="A17:M17"/>
    <mergeCell ref="C19:M19"/>
    <mergeCell ref="C20:M20"/>
    <mergeCell ref="C22:M22"/>
    <mergeCell ref="C23:M23"/>
    <mergeCell ref="B24:M24"/>
    <mergeCell ref="B25:M25"/>
    <mergeCell ref="B26:M26"/>
    <mergeCell ref="B79:B80"/>
    <mergeCell ref="B48:B51"/>
    <mergeCell ref="C48:H51"/>
    <mergeCell ref="I98:I99"/>
    <mergeCell ref="J98:J99"/>
    <mergeCell ref="L98:L99"/>
    <mergeCell ref="M98:M99"/>
    <mergeCell ref="B88:B89"/>
    <mergeCell ref="F82:G82"/>
    <mergeCell ref="C88:C89"/>
    <mergeCell ref="I59:J59"/>
    <mergeCell ref="E79:E80"/>
    <mergeCell ref="I54:J54"/>
    <mergeCell ref="C59:H59"/>
    <mergeCell ref="A27:G27"/>
    <mergeCell ref="H27:J27"/>
    <mergeCell ref="H28:J28"/>
    <mergeCell ref="H29:J29"/>
    <mergeCell ref="H30:J30"/>
    <mergeCell ref="M100:M103"/>
    <mergeCell ref="F95:G96"/>
    <mergeCell ref="H95:H96"/>
    <mergeCell ref="F88:G88"/>
    <mergeCell ref="H88:H89"/>
    <mergeCell ref="F90:G90"/>
    <mergeCell ref="F91:G91"/>
    <mergeCell ref="F92:G92"/>
    <mergeCell ref="F93:G93"/>
    <mergeCell ref="F94:G94"/>
    <mergeCell ref="K88:K89"/>
    <mergeCell ref="L88:L89"/>
    <mergeCell ref="M88:M89"/>
    <mergeCell ref="O93:R93"/>
    <mergeCell ref="F110:G110"/>
    <mergeCell ref="F111:G111"/>
    <mergeCell ref="F112:G112"/>
    <mergeCell ref="C67:H67"/>
    <mergeCell ref="I67:J67"/>
    <mergeCell ref="C68:H68"/>
    <mergeCell ref="I68:J68"/>
    <mergeCell ref="C69:H69"/>
    <mergeCell ref="I69:J69"/>
    <mergeCell ref="C95:C96"/>
    <mergeCell ref="D95:D96"/>
    <mergeCell ref="E95:E96"/>
    <mergeCell ref="A70:M70"/>
    <mergeCell ref="A71:M71"/>
    <mergeCell ref="E72:G73"/>
    <mergeCell ref="H72:H73"/>
    <mergeCell ref="I72:J72"/>
    <mergeCell ref="L72:L73"/>
    <mergeCell ref="M72:M73"/>
    <mergeCell ref="I88:I89"/>
    <mergeCell ref="A79:A80"/>
    <mergeCell ref="C79:C80"/>
    <mergeCell ref="D79:D80"/>
    <mergeCell ref="O81:R81"/>
    <mergeCell ref="I66:J66"/>
    <mergeCell ref="L74:M74"/>
    <mergeCell ref="L75:L80"/>
    <mergeCell ref="O65:S65"/>
    <mergeCell ref="M64:M65"/>
    <mergeCell ref="M75:M80"/>
    <mergeCell ref="O58:R58"/>
    <mergeCell ref="O60:S60"/>
    <mergeCell ref="O59:R59"/>
    <mergeCell ref="A61:A63"/>
    <mergeCell ref="B61:B63"/>
    <mergeCell ref="C61:H63"/>
    <mergeCell ref="A64:A65"/>
    <mergeCell ref="B64:B65"/>
    <mergeCell ref="I64:J65"/>
    <mergeCell ref="K64:K65"/>
    <mergeCell ref="L64:L65"/>
    <mergeCell ref="C64:H65"/>
    <mergeCell ref="O51:R51"/>
    <mergeCell ref="F135:G135"/>
    <mergeCell ref="F137:G137"/>
    <mergeCell ref="O113:S113"/>
    <mergeCell ref="O102:T102"/>
    <mergeCell ref="F100:G100"/>
    <mergeCell ref="F101:G101"/>
    <mergeCell ref="I95:I96"/>
    <mergeCell ref="J95:J96"/>
    <mergeCell ref="L95:L96"/>
    <mergeCell ref="M95:M96"/>
    <mergeCell ref="O96:R96"/>
    <mergeCell ref="F98:G99"/>
    <mergeCell ref="H98:H99"/>
    <mergeCell ref="F104:G104"/>
    <mergeCell ref="L104:L106"/>
    <mergeCell ref="M104:M106"/>
    <mergeCell ref="F105:G105"/>
    <mergeCell ref="F106:G106"/>
    <mergeCell ref="F107:G107"/>
    <mergeCell ref="F108:G108"/>
    <mergeCell ref="L108:L112"/>
    <mergeCell ref="M108:M112"/>
    <mergeCell ref="F109:G109"/>
    <mergeCell ref="L132:L133"/>
    <mergeCell ref="F113:G113"/>
    <mergeCell ref="F85:G85"/>
    <mergeCell ref="F102:G102"/>
    <mergeCell ref="F103:G103"/>
    <mergeCell ref="F86:G86"/>
    <mergeCell ref="F87:G87"/>
    <mergeCell ref="E98:E99"/>
    <mergeCell ref="F115:G115"/>
    <mergeCell ref="L123:L126"/>
    <mergeCell ref="L100:L103"/>
    <mergeCell ref="F134:G134"/>
    <mergeCell ref="B95:B96"/>
    <mergeCell ref="B137:B138"/>
    <mergeCell ref="C137:C138"/>
    <mergeCell ref="D137:D138"/>
    <mergeCell ref="E137:E138"/>
    <mergeCell ref="F198:G198"/>
    <mergeCell ref="F180:G180"/>
    <mergeCell ref="A182:H182"/>
    <mergeCell ref="D98:D99"/>
    <mergeCell ref="A170:A171"/>
    <mergeCell ref="B170:B171"/>
    <mergeCell ref="C170:C171"/>
    <mergeCell ref="D170:D171"/>
    <mergeCell ref="A168:A169"/>
    <mergeCell ref="B168:B169"/>
    <mergeCell ref="C168:C169"/>
    <mergeCell ref="D168:D169"/>
    <mergeCell ref="A172:A173"/>
    <mergeCell ref="B172:B173"/>
    <mergeCell ref="C172:C173"/>
    <mergeCell ref="D172:D173"/>
    <mergeCell ref="A95:A96"/>
    <mergeCell ref="F175:G175"/>
    <mergeCell ref="F254:G254"/>
    <mergeCell ref="F252:G252"/>
    <mergeCell ref="L114:M114"/>
    <mergeCell ref="A532:M532"/>
    <mergeCell ref="A422:M422"/>
    <mergeCell ref="F306:G306"/>
    <mergeCell ref="L302:L306"/>
    <mergeCell ref="M302:M306"/>
    <mergeCell ref="F320:G320"/>
    <mergeCell ref="F321:G321"/>
    <mergeCell ref="L319:L321"/>
    <mergeCell ref="M319:M321"/>
    <mergeCell ref="L315:M315"/>
    <mergeCell ref="H499:H500"/>
    <mergeCell ref="H313:H314"/>
    <mergeCell ref="F246:G246"/>
    <mergeCell ref="F247:G247"/>
    <mergeCell ref="F316:G316"/>
    <mergeCell ref="F317:G317"/>
    <mergeCell ref="F284:G284"/>
    <mergeCell ref="F279:G279"/>
    <mergeCell ref="F303:G303"/>
    <mergeCell ref="F355:G355"/>
    <mergeCell ref="F357:G357"/>
  </mergeCells>
  <conditionalFormatting sqref="H32:J32">
    <cfRule type="containsBlanks" dxfId="1" priority="3">
      <formula>LEN(TRIM(H32))=0</formula>
    </cfRule>
  </conditionalFormatting>
  <conditionalFormatting sqref="O7">
    <cfRule type="notContainsBlanks" dxfId="0" priority="1">
      <formula>LEN(TRIM(O7))&gt;0</formula>
    </cfRule>
  </conditionalFormatting>
  <hyperlinks>
    <hyperlink ref="O43" r:id="rId1" xr:uid="{00000000-0004-0000-0000-000000000000}"/>
    <hyperlink ref="O44" r:id="rId2" xr:uid="{00000000-0004-0000-0000-000001000000}"/>
    <hyperlink ref="O46" r:id="rId3" xr:uid="{00000000-0004-0000-0000-000002000000}"/>
    <hyperlink ref="O48" r:id="rId4" xr:uid="{00000000-0004-0000-0000-000003000000}"/>
    <hyperlink ref="O54" r:id="rId5" xr:uid="{00000000-0004-0000-0000-000004000000}"/>
    <hyperlink ref="O93" r:id="rId6" xr:uid="{00000000-0004-0000-0000-000006000000}"/>
    <hyperlink ref="O94" r:id="rId7" xr:uid="{00000000-0004-0000-0000-000007000000}"/>
    <hyperlink ref="O113" r:id="rId8" xr:uid="{00000000-0004-0000-0000-000008000000}"/>
    <hyperlink ref="O118" r:id="rId9" xr:uid="{00000000-0004-0000-0000-000009000000}"/>
    <hyperlink ref="O175" r:id="rId10" xr:uid="{00000000-0004-0000-0000-00000A000000}"/>
    <hyperlink ref="O179" r:id="rId11" xr:uid="{00000000-0004-0000-0000-00000B000000}"/>
    <hyperlink ref="O186" r:id="rId12" xr:uid="{00000000-0004-0000-0000-00000C000000}"/>
    <hyperlink ref="O192" r:id="rId13" xr:uid="{00000000-0004-0000-0000-00000D000000}"/>
    <hyperlink ref="O197" r:id="rId14" location="block-views-guide-static-blocks-block-1" xr:uid="{00000000-0004-0000-0000-00000E000000}"/>
    <hyperlink ref="O199" r:id="rId15" xr:uid="{00000000-0004-0000-0000-00000F000000}"/>
    <hyperlink ref="O215" r:id="rId16" xr:uid="{00000000-0004-0000-0000-000012000000}"/>
    <hyperlink ref="O225" r:id="rId17" xr:uid="{00000000-0004-0000-0000-000013000000}"/>
    <hyperlink ref="O227" r:id="rId18" xr:uid="{00000000-0004-0000-0000-000014000000}"/>
    <hyperlink ref="O236" r:id="rId19" xr:uid="{00000000-0004-0000-0000-000015000000}"/>
    <hyperlink ref="O237" r:id="rId20" xr:uid="{00000000-0004-0000-0000-000016000000}"/>
    <hyperlink ref="O238" r:id="rId21" xr:uid="{00000000-0004-0000-0000-000017000000}"/>
    <hyperlink ref="O244" r:id="rId22" xr:uid="{00000000-0004-0000-0000-000018000000}"/>
    <hyperlink ref="O246" r:id="rId23" xr:uid="{00000000-0004-0000-0000-000019000000}"/>
    <hyperlink ref="O250" r:id="rId24" display="DOE: Choosing Energy Efficient Windows" xr:uid="{00000000-0004-0000-0000-00001A000000}"/>
    <hyperlink ref="O267" r:id="rId25" xr:uid="{00000000-0004-0000-0000-00001B000000}"/>
    <hyperlink ref="O268" r:id="rId26" xr:uid="{00000000-0004-0000-0000-00001C000000}"/>
    <hyperlink ref="O280" r:id="rId27" xr:uid="{00000000-0004-0000-0000-00001D000000}"/>
    <hyperlink ref="O285" r:id="rId28" xr:uid="{00000000-0004-0000-0000-00001F000000}"/>
    <hyperlink ref="O288" r:id="rId29" xr:uid="{00000000-0004-0000-0000-000020000000}"/>
    <hyperlink ref="O290" r:id="rId30" xr:uid="{00000000-0004-0000-0000-000021000000}"/>
    <hyperlink ref="O291" r:id="rId31" xr:uid="{00000000-0004-0000-0000-000022000000}"/>
    <hyperlink ref="O294" r:id="rId32" display="ECM Motor" xr:uid="{00000000-0004-0000-0000-000023000000}"/>
    <hyperlink ref="O300" r:id="rId33" xr:uid="{00000000-0004-0000-0000-000025000000}"/>
    <hyperlink ref="O317" r:id="rId34" xr:uid="{00000000-0004-0000-0000-000027000000}"/>
    <hyperlink ref="O319" r:id="rId35" xr:uid="{00000000-0004-0000-0000-000028000000}"/>
    <hyperlink ref="O324" r:id="rId36" xr:uid="{00000000-0004-0000-0000-000029000000}"/>
    <hyperlink ref="O325" r:id="rId37" xr:uid="{00000000-0004-0000-0000-00002A000000}"/>
    <hyperlink ref="O335" r:id="rId38" xr:uid="{00000000-0004-0000-0000-00002B000000}"/>
    <hyperlink ref="O341" r:id="rId39" xr:uid="{00000000-0004-0000-0000-00002C000000}"/>
    <hyperlink ref="O345" r:id="rId40" xr:uid="{00000000-0004-0000-0000-00002D000000}"/>
    <hyperlink ref="O351" r:id="rId41" xr:uid="{00000000-0004-0000-0000-00002E000000}"/>
    <hyperlink ref="O352" r:id="rId42" xr:uid="{00000000-0004-0000-0000-00002F000000}"/>
    <hyperlink ref="O368" r:id="rId43" xr:uid="{00000000-0004-0000-0000-000031000000}"/>
    <hyperlink ref="O371" r:id="rId44" xr:uid="{00000000-0004-0000-0000-000032000000}"/>
    <hyperlink ref="O372" r:id="rId45" xr:uid="{00000000-0004-0000-0000-000033000000}"/>
    <hyperlink ref="O381" r:id="rId46" xr:uid="{00000000-0004-0000-0000-000034000000}"/>
    <hyperlink ref="O386" r:id="rId47" xr:uid="{00000000-0004-0000-0000-000035000000}"/>
    <hyperlink ref="O394" r:id="rId48" location="Detectors" xr:uid="{00000000-0004-0000-0000-000036000000}"/>
    <hyperlink ref="O397" r:id="rId49" display="Green Building Advisor: Low Level CO Monitors" xr:uid="{00000000-0004-0000-0000-000037000000}"/>
    <hyperlink ref="O404" r:id="rId50" xr:uid="{00000000-0004-0000-0000-000039000000}"/>
    <hyperlink ref="O430" r:id="rId51" xr:uid="{00000000-0004-0000-0000-00003A000000}"/>
    <hyperlink ref="O437" r:id="rId52" xr:uid="{00000000-0004-0000-0000-00003B000000}"/>
    <hyperlink ref="O443" r:id="rId53" xr:uid="{00000000-0004-0000-0000-00003C000000}"/>
    <hyperlink ref="O447" r:id="rId54" xr:uid="{00000000-0004-0000-0000-00003D000000}"/>
    <hyperlink ref="O450" r:id="rId55" xr:uid="{00000000-0004-0000-0000-00003E000000}"/>
    <hyperlink ref="O510" r:id="rId56" xr:uid="{00000000-0004-0000-0000-000040000000}"/>
    <hyperlink ref="O512" r:id="rId57" xr:uid="{00000000-0004-0000-0000-000041000000}"/>
    <hyperlink ref="O529" r:id="rId58" xr:uid="{00000000-0004-0000-0000-000042000000}"/>
    <hyperlink ref="O47" r:id="rId59" xr:uid="{00000000-0004-0000-0000-000043000000}"/>
    <hyperlink ref="O277" r:id="rId60" xr:uid="{00000000-0004-0000-0000-000044000000}"/>
    <hyperlink ref="O375" r:id="rId61" xr:uid="{00000000-0004-0000-0000-000045000000}"/>
    <hyperlink ref="R375" r:id="rId62" xr:uid="{00000000-0004-0000-0000-000046000000}"/>
    <hyperlink ref="O357" r:id="rId63" xr:uid="{00000000-0004-0000-0000-000047000000}"/>
    <hyperlink ref="O358" r:id="rId64" xr:uid="{00000000-0004-0000-0000-000048000000}"/>
    <hyperlink ref="O507" r:id="rId65" display="BPI Healty Home Evaluator" xr:uid="{00000000-0004-0000-0000-000049000000}"/>
    <hyperlink ref="O89:R89" r:id="rId66" location=":~:text=Such%20guidelines%20include%3A%20prominently%20mark,other%20materials%20in%20restricted%20areas." display="Protecting Trees During Construction" xr:uid="{00000000-0004-0000-0000-00004A000000}"/>
    <hyperlink ref="O63" r:id="rId67" display="EPA's Radon Standards of Practice" xr:uid="{00000000-0004-0000-0000-00004B000000}"/>
    <hyperlink ref="P134" r:id="rId68" display="WERS" xr:uid="{FFDE593C-F262-4313-9C08-A9CB78D4F7A4}"/>
  </hyperlinks>
  <pageMargins left="0.7" right="0.7" top="0.75" bottom="0.75" header="0" footer="0"/>
  <pageSetup scale="66" fitToHeight="0" orientation="portrait" horizontalDpi="300" verticalDpi="300" r:id="rId69"/>
  <rowBreaks count="8" manualBreakCount="8">
    <brk id="40" max="12" man="1"/>
    <brk id="66" max="12" man="1"/>
    <brk id="70" max="12" man="1"/>
    <brk id="183" max="12" man="1"/>
    <brk id="244" max="12" man="1"/>
    <brk id="291" max="12" man="1"/>
    <brk id="399" max="12" man="1"/>
    <brk id="462" max="12" man="1"/>
  </rowBreaks>
  <ignoredErrors>
    <ignoredError sqref="H186 H352" twoDigitTextYear="1"/>
  </ignoredErrors>
  <drawing r:id="rId70"/>
  <legacyDrawing r:id="rId7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AM969"/>
  <sheetViews>
    <sheetView workbookViewId="0">
      <selection activeCell="D29" sqref="D29:I35"/>
    </sheetView>
  </sheetViews>
  <sheetFormatPr defaultColWidth="14.42578125" defaultRowHeight="15" customHeight="1" x14ac:dyDescent="0.25"/>
  <cols>
    <col min="1" max="2" width="4.7109375" customWidth="1"/>
    <col min="3" max="3" width="3.42578125" customWidth="1"/>
    <col min="9" max="9" width="34.5703125" customWidth="1"/>
    <col min="10" max="10" width="18.85546875" customWidth="1"/>
    <col min="12" max="12" width="10.7109375" customWidth="1"/>
    <col min="14" max="14" width="0.42578125" customWidth="1"/>
  </cols>
  <sheetData>
    <row r="1" spans="1:39" ht="33.75" customHeight="1" x14ac:dyDescent="0.25">
      <c r="A1" s="262" t="s">
        <v>0</v>
      </c>
      <c r="B1" s="262" t="s">
        <v>1</v>
      </c>
      <c r="C1" s="261"/>
      <c r="D1" s="1456" t="s">
        <v>566</v>
      </c>
      <c r="E1" s="1457"/>
      <c r="F1" s="1457"/>
      <c r="G1" s="1457"/>
      <c r="H1" s="1457"/>
      <c r="I1" s="1457"/>
      <c r="J1" s="262" t="s">
        <v>2</v>
      </c>
      <c r="K1" s="263" t="s">
        <v>3</v>
      </c>
      <c r="L1" s="256"/>
      <c r="M1" s="256"/>
      <c r="N1" s="256"/>
      <c r="O1" s="256"/>
      <c r="P1" s="256"/>
      <c r="Q1" s="256"/>
      <c r="R1" s="256"/>
      <c r="S1" s="256"/>
      <c r="T1" s="256"/>
      <c r="U1" s="256"/>
      <c r="V1" s="256"/>
      <c r="W1" s="256"/>
      <c r="X1" s="256"/>
      <c r="Y1" s="256"/>
      <c r="Z1" s="256"/>
      <c r="AA1" s="257"/>
      <c r="AB1" s="257"/>
      <c r="AC1" s="257"/>
      <c r="AD1" s="257"/>
      <c r="AE1" s="257"/>
      <c r="AF1" s="257"/>
      <c r="AG1" s="257"/>
      <c r="AH1" s="257"/>
      <c r="AI1" s="1"/>
      <c r="AJ1" s="1"/>
      <c r="AK1" s="1"/>
      <c r="AL1" s="1"/>
      <c r="AM1" s="1"/>
    </row>
    <row r="2" spans="1:39" x14ac:dyDescent="0.25">
      <c r="A2" s="545"/>
      <c r="B2" s="545"/>
      <c r="C2" s="268">
        <v>1</v>
      </c>
      <c r="D2" s="1062" t="s">
        <v>4</v>
      </c>
      <c r="E2" s="1458"/>
      <c r="F2" s="1458"/>
      <c r="G2" s="1458"/>
      <c r="H2" s="1458"/>
      <c r="I2" s="1455"/>
      <c r="J2" s="537"/>
      <c r="K2" s="956"/>
      <c r="L2" s="956"/>
      <c r="M2" s="956"/>
      <c r="N2" s="956"/>
      <c r="O2" s="956"/>
      <c r="P2" s="956"/>
      <c r="Q2" s="956"/>
      <c r="R2" s="956"/>
      <c r="S2" s="956"/>
      <c r="T2" s="956"/>
      <c r="U2" s="956"/>
      <c r="V2" s="956"/>
      <c r="W2" s="956"/>
      <c r="X2" s="956"/>
      <c r="Y2" s="956"/>
      <c r="Z2" s="956"/>
      <c r="AA2" s="22"/>
      <c r="AB2" s="22"/>
      <c r="AC2" s="22"/>
      <c r="AD2" s="22"/>
      <c r="AE2" s="22"/>
      <c r="AF2" s="22"/>
      <c r="AG2" s="22"/>
      <c r="AH2" s="22"/>
    </row>
    <row r="3" spans="1:39" ht="24" customHeight="1" x14ac:dyDescent="0.25">
      <c r="A3" s="1459"/>
      <c r="B3" s="1459"/>
      <c r="C3" s="1461">
        <v>2</v>
      </c>
      <c r="D3" s="887" t="s">
        <v>6</v>
      </c>
      <c r="E3" s="1449"/>
      <c r="F3" s="1449"/>
      <c r="G3" s="1449"/>
      <c r="H3" s="1449"/>
      <c r="I3" s="1450"/>
      <c r="J3" s="1462"/>
      <c r="K3" s="1436" t="str">
        <f>HYPERLINK("https://msc.fema.gov/portal/home","FEMA Flood plain maps")</f>
        <v>FEMA Flood plain maps</v>
      </c>
      <c r="L3" s="956"/>
      <c r="M3" s="956"/>
      <c r="N3" s="956"/>
      <c r="O3" s="956"/>
      <c r="P3" s="956"/>
      <c r="Q3" s="956"/>
      <c r="R3" s="956"/>
      <c r="S3" s="956"/>
      <c r="T3" s="956"/>
      <c r="U3" s="956"/>
      <c r="V3" s="258"/>
      <c r="W3" s="258"/>
      <c r="X3" s="258"/>
      <c r="Y3" s="258"/>
      <c r="Z3" s="258"/>
      <c r="AA3" s="258"/>
      <c r="AB3" s="258"/>
      <c r="AC3" s="258"/>
      <c r="AD3" s="258"/>
      <c r="AE3" s="258"/>
      <c r="AF3" s="258"/>
      <c r="AG3" s="258"/>
      <c r="AH3" s="258"/>
    </row>
    <row r="4" spans="1:39" ht="28.5" customHeight="1" x14ac:dyDescent="0.25">
      <c r="A4" s="1460"/>
      <c r="B4" s="1460"/>
      <c r="C4" s="1444"/>
      <c r="D4" s="1453"/>
      <c r="E4" s="1454"/>
      <c r="F4" s="1454"/>
      <c r="G4" s="1454"/>
      <c r="H4" s="1454"/>
      <c r="I4" s="1455"/>
      <c r="J4" s="1448"/>
      <c r="K4" s="1436" t="str">
        <f>HYPERLINK("https://websoilsurvey.nrcs.usda.gov/app/WebSoilSurvey.aspx","USDA Soil Map")</f>
        <v>USDA Soil Map</v>
      </c>
      <c r="L4" s="956"/>
      <c r="M4" s="956"/>
      <c r="N4" s="956"/>
      <c r="O4" s="956"/>
      <c r="P4" s="956"/>
      <c r="Q4" s="956"/>
      <c r="R4" s="956"/>
      <c r="S4" s="956"/>
      <c r="T4" s="956"/>
      <c r="U4" s="956"/>
      <c r="V4" s="258"/>
      <c r="W4" s="258"/>
      <c r="X4" s="258"/>
      <c r="Y4" s="258"/>
      <c r="Z4" s="258"/>
      <c r="AA4" s="258"/>
      <c r="AB4" s="258"/>
      <c r="AC4" s="258"/>
      <c r="AD4" s="258"/>
      <c r="AE4" s="258"/>
      <c r="AF4" s="258"/>
      <c r="AG4" s="258"/>
      <c r="AH4" s="258"/>
    </row>
    <row r="5" spans="1:39" ht="24.75" customHeight="1" x14ac:dyDescent="0.25">
      <c r="A5" s="546"/>
      <c r="B5" s="546"/>
      <c r="C5" s="269">
        <v>3</v>
      </c>
      <c r="D5" s="1048" t="s">
        <v>10</v>
      </c>
      <c r="E5" s="1140"/>
      <c r="F5" s="1140"/>
      <c r="G5" s="1140"/>
      <c r="H5" s="1140"/>
      <c r="I5" s="1434"/>
      <c r="J5" s="538"/>
      <c r="K5" s="956"/>
      <c r="L5" s="956"/>
      <c r="M5" s="956"/>
      <c r="N5" s="956"/>
      <c r="O5" s="956"/>
      <c r="P5" s="956"/>
      <c r="Q5" s="956"/>
      <c r="R5" s="956"/>
      <c r="S5" s="956"/>
      <c r="T5" s="956"/>
      <c r="U5" s="956"/>
      <c r="V5" s="956"/>
      <c r="W5" s="956"/>
      <c r="X5" s="956"/>
      <c r="Y5" s="956"/>
      <c r="Z5" s="956"/>
      <c r="AA5" s="22"/>
      <c r="AB5" s="22"/>
      <c r="AC5" s="22"/>
      <c r="AD5" s="22"/>
      <c r="AE5" s="22"/>
      <c r="AF5" s="259"/>
      <c r="AG5" s="259"/>
      <c r="AH5" s="259"/>
    </row>
    <row r="6" spans="1:39" ht="18.75" customHeight="1" x14ac:dyDescent="0.25">
      <c r="A6" s="546"/>
      <c r="B6" s="546"/>
      <c r="C6" s="270">
        <v>4</v>
      </c>
      <c r="D6" s="1048" t="s">
        <v>11</v>
      </c>
      <c r="E6" s="1140"/>
      <c r="F6" s="1140"/>
      <c r="G6" s="1140"/>
      <c r="H6" s="1140"/>
      <c r="I6" s="1434"/>
      <c r="J6" s="538"/>
      <c r="K6" s="956"/>
      <c r="L6" s="956"/>
      <c r="M6" s="22"/>
      <c r="N6" s="22"/>
      <c r="O6" s="22"/>
      <c r="P6" s="22"/>
      <c r="Q6" s="22"/>
      <c r="R6" s="22"/>
      <c r="S6" s="22"/>
      <c r="T6" s="22"/>
      <c r="U6" s="22"/>
      <c r="V6" s="22"/>
      <c r="W6" s="22"/>
      <c r="X6" s="22"/>
      <c r="Y6" s="22"/>
      <c r="Z6" s="22"/>
      <c r="AA6" s="22"/>
      <c r="AB6" s="22"/>
      <c r="AC6" s="22"/>
      <c r="AD6" s="22"/>
      <c r="AE6" s="22"/>
      <c r="AF6" s="249"/>
      <c r="AG6" s="249"/>
      <c r="AH6" s="249"/>
    </row>
    <row r="7" spans="1:39" ht="26.25" customHeight="1" x14ac:dyDescent="0.25">
      <c r="A7" s="546"/>
      <c r="B7" s="546"/>
      <c r="C7" s="269">
        <v>5</v>
      </c>
      <c r="D7" s="1048" t="s">
        <v>12</v>
      </c>
      <c r="E7" s="1140"/>
      <c r="F7" s="1140"/>
      <c r="G7" s="1140"/>
      <c r="H7" s="1140"/>
      <c r="I7" s="1434"/>
      <c r="J7" s="538"/>
      <c r="K7" s="1436" t="s">
        <v>13</v>
      </c>
      <c r="L7" s="956"/>
      <c r="M7" s="956"/>
      <c r="N7" s="956"/>
      <c r="O7" s="956"/>
      <c r="P7" s="956"/>
      <c r="Q7" s="956"/>
      <c r="R7" s="22"/>
      <c r="S7" s="22"/>
      <c r="T7" s="22"/>
      <c r="U7" s="22"/>
      <c r="V7" s="22"/>
      <c r="W7" s="22"/>
      <c r="X7" s="22"/>
      <c r="Y7" s="22"/>
      <c r="Z7" s="22"/>
      <c r="AA7" s="22"/>
      <c r="AB7" s="22"/>
      <c r="AC7" s="22"/>
      <c r="AD7" s="22"/>
      <c r="AE7" s="22"/>
      <c r="AF7" s="22"/>
      <c r="AG7" s="22"/>
      <c r="AH7" s="22"/>
    </row>
    <row r="8" spans="1:39" ht="30" customHeight="1" x14ac:dyDescent="0.25">
      <c r="A8" s="546"/>
      <c r="B8" s="546"/>
      <c r="C8" s="270">
        <v>6</v>
      </c>
      <c r="D8" s="1048" t="s">
        <v>563</v>
      </c>
      <c r="E8" s="1140"/>
      <c r="F8" s="1140"/>
      <c r="G8" s="1140"/>
      <c r="H8" s="1140"/>
      <c r="I8" s="1434"/>
      <c r="J8" s="539"/>
      <c r="K8" s="1436" t="s">
        <v>14</v>
      </c>
      <c r="L8" s="956"/>
      <c r="M8" s="956"/>
      <c r="N8" s="956"/>
      <c r="O8" s="258"/>
      <c r="P8" s="258"/>
      <c r="Q8" s="258"/>
      <c r="R8" s="258"/>
      <c r="S8" s="258"/>
      <c r="T8" s="258"/>
      <c r="U8" s="258"/>
      <c r="V8" s="258"/>
      <c r="W8" s="258"/>
      <c r="X8" s="258"/>
      <c r="Y8" s="258"/>
      <c r="Z8" s="258"/>
      <c r="AA8" s="258"/>
      <c r="AB8" s="258"/>
      <c r="AC8" s="258"/>
      <c r="AD8" s="258"/>
      <c r="AE8" s="258"/>
      <c r="AF8" s="258"/>
      <c r="AG8" s="258"/>
      <c r="AH8" s="258"/>
    </row>
    <row r="9" spans="1:39" ht="54.75" customHeight="1" x14ac:dyDescent="0.25">
      <c r="A9" s="546"/>
      <c r="B9" s="546"/>
      <c r="C9" s="270">
        <v>7</v>
      </c>
      <c r="D9" s="1048" t="s">
        <v>706</v>
      </c>
      <c r="E9" s="1140"/>
      <c r="F9" s="1140"/>
      <c r="G9" s="1140"/>
      <c r="H9" s="1140"/>
      <c r="I9" s="1434"/>
      <c r="J9" s="540"/>
      <c r="K9" s="1463"/>
      <c r="L9" s="1463"/>
      <c r="M9" s="271"/>
      <c r="N9" s="22"/>
      <c r="O9" s="22"/>
      <c r="P9" s="22"/>
      <c r="Q9" s="22"/>
      <c r="R9" s="22"/>
      <c r="S9" s="22"/>
      <c r="T9" s="22"/>
      <c r="U9" s="22"/>
      <c r="V9" s="22"/>
      <c r="W9" s="22"/>
      <c r="X9" s="22"/>
      <c r="Y9" s="22"/>
      <c r="Z9" s="22"/>
      <c r="AA9" s="22"/>
      <c r="AB9" s="22"/>
      <c r="AC9" s="22"/>
      <c r="AD9" s="22"/>
      <c r="AE9" s="22"/>
      <c r="AF9" s="249"/>
      <c r="AG9" s="249"/>
      <c r="AH9" s="249"/>
    </row>
    <row r="10" spans="1:39" ht="64.5" customHeight="1" x14ac:dyDescent="0.25">
      <c r="A10" s="546"/>
      <c r="B10" s="546"/>
      <c r="C10" s="11">
        <v>8</v>
      </c>
      <c r="D10" s="1048" t="s">
        <v>643</v>
      </c>
      <c r="E10" s="1140"/>
      <c r="F10" s="1140"/>
      <c r="G10" s="1140"/>
      <c r="H10" s="1140"/>
      <c r="I10" s="1434"/>
      <c r="J10" s="541"/>
      <c r="K10" s="1436" t="s">
        <v>15</v>
      </c>
      <c r="L10" s="956"/>
      <c r="M10" s="272" t="s">
        <v>681</v>
      </c>
      <c r="N10" s="272"/>
      <c r="O10" s="272"/>
      <c r="P10" s="272"/>
      <c r="Q10" s="272"/>
      <c r="R10" s="272"/>
      <c r="S10" s="272"/>
      <c r="T10" s="272"/>
      <c r="U10" s="272"/>
      <c r="V10" s="258"/>
      <c r="W10" s="258"/>
      <c r="X10" s="258"/>
      <c r="Y10" s="258"/>
      <c r="Z10" s="258"/>
      <c r="AA10" s="258"/>
      <c r="AB10" s="258"/>
      <c r="AC10" s="258"/>
      <c r="AD10" s="258"/>
      <c r="AE10" s="258"/>
      <c r="AF10" s="258"/>
      <c r="AG10" s="258"/>
      <c r="AH10" s="258"/>
    </row>
    <row r="11" spans="1:39" ht="26.25" customHeight="1" x14ac:dyDescent="0.25">
      <c r="A11" s="546"/>
      <c r="B11" s="546"/>
      <c r="C11" s="269">
        <v>9</v>
      </c>
      <c r="D11" s="1048" t="s">
        <v>16</v>
      </c>
      <c r="E11" s="1140"/>
      <c r="F11" s="1140"/>
      <c r="G11" s="1140"/>
      <c r="H11" s="1140"/>
      <c r="I11" s="1434"/>
      <c r="J11" s="538"/>
      <c r="K11" s="1436" t="s">
        <v>17</v>
      </c>
      <c r="L11" s="956"/>
      <c r="M11" s="956"/>
      <c r="N11" s="22"/>
      <c r="O11" s="22"/>
      <c r="P11" s="22"/>
      <c r="Q11" s="22"/>
      <c r="R11" s="22"/>
      <c r="S11" s="22"/>
      <c r="T11" s="22"/>
      <c r="U11" s="22"/>
      <c r="V11" s="22"/>
      <c r="W11" s="22"/>
      <c r="X11" s="22"/>
      <c r="Y11" s="22"/>
      <c r="Z11" s="22"/>
      <c r="AA11" s="22"/>
      <c r="AB11" s="22"/>
      <c r="AC11" s="22"/>
      <c r="AD11" s="22"/>
      <c r="AE11" s="22"/>
      <c r="AF11" s="22"/>
      <c r="AG11" s="22"/>
      <c r="AH11" s="22"/>
    </row>
    <row r="12" spans="1:39" x14ac:dyDescent="0.25">
      <c r="A12" s="546"/>
      <c r="B12" s="546"/>
      <c r="C12" s="269">
        <v>10</v>
      </c>
      <c r="D12" s="1048" t="s">
        <v>19</v>
      </c>
      <c r="E12" s="1140"/>
      <c r="F12" s="1140"/>
      <c r="G12" s="1140"/>
      <c r="H12" s="1140"/>
      <c r="I12" s="1434"/>
      <c r="J12" s="541"/>
      <c r="K12" s="1465"/>
      <c r="L12" s="956"/>
      <c r="M12" s="258"/>
      <c r="N12" s="258"/>
      <c r="O12" s="258"/>
      <c r="P12" s="258"/>
      <c r="Q12" s="258"/>
      <c r="R12" s="258"/>
      <c r="S12" s="258"/>
      <c r="T12" s="258"/>
      <c r="U12" s="258"/>
      <c r="V12" s="258"/>
      <c r="W12" s="258"/>
      <c r="X12" s="258"/>
      <c r="Y12" s="258"/>
      <c r="Z12" s="258"/>
      <c r="AA12" s="258"/>
      <c r="AB12" s="258"/>
      <c r="AC12" s="258"/>
      <c r="AD12" s="258"/>
      <c r="AE12" s="258"/>
      <c r="AF12" s="258"/>
      <c r="AG12" s="258"/>
      <c r="AH12" s="258"/>
    </row>
    <row r="13" spans="1:39" x14ac:dyDescent="0.25">
      <c r="A13" s="546"/>
      <c r="B13" s="546"/>
      <c r="C13" s="270">
        <v>11</v>
      </c>
      <c r="D13" s="1433" t="s">
        <v>707</v>
      </c>
      <c r="E13" s="1140"/>
      <c r="F13" s="1140"/>
      <c r="G13" s="1140"/>
      <c r="H13" s="1140"/>
      <c r="I13" s="1434"/>
      <c r="J13" s="542"/>
      <c r="K13" s="267" t="str">
        <f>HYPERLINK("https://www.resnet.us/about/hersh2o/","HERS H20")</f>
        <v>HERS H20</v>
      </c>
      <c r="L13" s="264" t="str">
        <f>HYPERLINK("https://www.wers.us/","WERS")</f>
        <v>WERS</v>
      </c>
      <c r="M13" s="264"/>
      <c r="N13" s="264"/>
      <c r="O13" s="264"/>
      <c r="P13" s="22"/>
      <c r="Q13" s="22"/>
      <c r="R13" s="22"/>
      <c r="S13" s="22"/>
      <c r="T13" s="22"/>
      <c r="U13" s="22"/>
      <c r="V13" s="22"/>
      <c r="W13" s="22"/>
      <c r="X13" s="22"/>
      <c r="Y13" s="22"/>
      <c r="Z13" s="22"/>
      <c r="AA13" s="22"/>
      <c r="AB13" s="22"/>
      <c r="AC13" s="22"/>
      <c r="AD13" s="22"/>
      <c r="AE13" s="22"/>
      <c r="AF13" s="265"/>
      <c r="AG13" s="265"/>
      <c r="AH13" s="265"/>
      <c r="AI13" s="14"/>
      <c r="AJ13" s="14"/>
      <c r="AK13" s="14"/>
      <c r="AL13" s="14"/>
      <c r="AM13" s="14"/>
    </row>
    <row r="14" spans="1:39" x14ac:dyDescent="0.25">
      <c r="A14" s="546"/>
      <c r="B14" s="546"/>
      <c r="C14" s="273">
        <v>12</v>
      </c>
      <c r="D14" s="1464" t="s">
        <v>23</v>
      </c>
      <c r="E14" s="1454"/>
      <c r="F14" s="1454"/>
      <c r="G14" s="1454"/>
      <c r="H14" s="1454"/>
      <c r="I14" s="1455"/>
      <c r="J14" s="538"/>
      <c r="K14" s="934" t="str">
        <f>HYPERLINK("https://www.epa.gov/sites/production/files/2020-06/ws_water_budget_tool_v1_04.xlsx","Water Sense outdoor water budget tool")</f>
        <v>Water Sense outdoor water budget tool</v>
      </c>
      <c r="L14" s="956"/>
      <c r="M14" s="22"/>
      <c r="N14" s="22"/>
      <c r="O14" s="22"/>
      <c r="P14" s="22"/>
      <c r="Q14" s="22"/>
      <c r="R14" s="22"/>
      <c r="S14" s="22"/>
      <c r="T14" s="22"/>
      <c r="U14" s="22"/>
      <c r="V14" s="22"/>
      <c r="W14" s="22"/>
      <c r="X14" s="22"/>
      <c r="Y14" s="22"/>
      <c r="Z14" s="22"/>
      <c r="AA14" s="22"/>
      <c r="AB14" s="22"/>
      <c r="AC14" s="22"/>
      <c r="AD14" s="22"/>
      <c r="AE14" s="22"/>
      <c r="AF14" s="266"/>
      <c r="AG14" s="266"/>
      <c r="AH14" s="266"/>
      <c r="AI14" s="14"/>
      <c r="AJ14" s="14"/>
      <c r="AK14" s="14"/>
      <c r="AL14" s="14"/>
      <c r="AM14" s="14"/>
    </row>
    <row r="15" spans="1:39" x14ac:dyDescent="0.25">
      <c r="A15" s="1459"/>
      <c r="B15" s="1459"/>
      <c r="C15" s="1468">
        <v>13</v>
      </c>
      <c r="D15" s="1466" t="s">
        <v>27</v>
      </c>
      <c r="E15" s="1249"/>
      <c r="F15" s="1249"/>
      <c r="G15" s="1249"/>
      <c r="H15" s="1249"/>
      <c r="I15" s="1452"/>
      <c r="J15" s="1446"/>
      <c r="K15" s="1436" t="str">
        <f>HYPERLINK("https://brunswick.ces.ncsu.edu/wp-content/uploads/2013/04/WaterHarvestHome2008.pdf?fwd=no","Rainwater Harvesting: Guidance for Homeowners")</f>
        <v>Rainwater Harvesting: Guidance for Homeowners</v>
      </c>
      <c r="L15" s="956"/>
      <c r="M15" s="956"/>
      <c r="N15" s="956"/>
      <c r="O15" s="956"/>
      <c r="P15" s="956"/>
      <c r="Q15" s="956"/>
      <c r="R15" s="956"/>
      <c r="S15" s="956"/>
      <c r="T15" s="956"/>
      <c r="U15" s="956"/>
      <c r="V15" s="956"/>
      <c r="W15" s="956"/>
      <c r="X15" s="956"/>
      <c r="Y15" s="956"/>
      <c r="Z15" s="956"/>
      <c r="AA15" s="956"/>
      <c r="AB15" s="956"/>
      <c r="AC15" s="956"/>
      <c r="AD15" s="956"/>
      <c r="AE15" s="956"/>
      <c r="AF15" s="956"/>
      <c r="AG15" s="956"/>
      <c r="AH15" s="956"/>
      <c r="AI15" s="14"/>
      <c r="AJ15" s="14"/>
      <c r="AK15" s="14"/>
      <c r="AL15" s="14"/>
      <c r="AM15" s="14"/>
    </row>
    <row r="16" spans="1:39" x14ac:dyDescent="0.25">
      <c r="A16" s="1467"/>
      <c r="B16" s="1467"/>
      <c r="C16" s="1469"/>
      <c r="D16" s="1249"/>
      <c r="E16" s="1249"/>
      <c r="F16" s="1249"/>
      <c r="G16" s="1249"/>
      <c r="H16" s="1249"/>
      <c r="I16" s="1452"/>
      <c r="J16" s="1447"/>
      <c r="K16" s="267" t="str">
        <f>HYPERLINK("https://files.nc.gov/ncdeq/Energy%20Mineral%20and%20Land%20Resources/Stormwater/C-7%20%20Rainwater%20Harvesting%2020170811.pdf","NC DEQ Rainwater manual")</f>
        <v>NC DEQ Rainwater manual</v>
      </c>
      <c r="L16" s="22"/>
      <c r="M16" s="22"/>
      <c r="N16" s="22"/>
      <c r="O16" s="22"/>
      <c r="P16" s="22" t="s">
        <v>682</v>
      </c>
      <c r="Q16" s="22"/>
      <c r="R16" s="22"/>
      <c r="S16" s="22"/>
      <c r="T16" s="22"/>
      <c r="U16" s="22"/>
      <c r="V16" s="22"/>
      <c r="W16" s="22"/>
      <c r="X16" s="22"/>
      <c r="Y16" s="22"/>
      <c r="Z16" s="22"/>
      <c r="AA16" s="22"/>
      <c r="AB16" s="22"/>
      <c r="AC16" s="22"/>
      <c r="AD16" s="22"/>
      <c r="AE16" s="22"/>
      <c r="AF16" s="22"/>
      <c r="AG16" s="22"/>
      <c r="AH16" s="22"/>
      <c r="AI16" s="14"/>
      <c r="AJ16" s="14"/>
      <c r="AK16" s="14"/>
      <c r="AL16" s="14"/>
      <c r="AM16" s="14"/>
    </row>
    <row r="17" spans="1:39" x14ac:dyDescent="0.25">
      <c r="A17" s="1460"/>
      <c r="B17" s="1460"/>
      <c r="C17" s="1470"/>
      <c r="D17" s="1454"/>
      <c r="E17" s="1454"/>
      <c r="F17" s="1454"/>
      <c r="G17" s="1454"/>
      <c r="H17" s="1454"/>
      <c r="I17" s="1455"/>
      <c r="J17" s="1448"/>
      <c r="K17" s="1436" t="str">
        <f>HYPERLINK("https://www.infiltratorwater.com/Customer-Content/www/CMS/files/case-studies/IWT_CS58_LEEDRainwater_NC.pdf","Case Study: potable use of rainwater")</f>
        <v>Case Study: potable use of rainwater</v>
      </c>
      <c r="L17" s="956"/>
      <c r="M17" s="956"/>
      <c r="N17" s="956"/>
      <c r="O17" s="22"/>
      <c r="P17" s="22" t="s">
        <v>683</v>
      </c>
      <c r="Q17" s="22"/>
      <c r="R17" s="22"/>
      <c r="S17" s="22" t="s">
        <v>689</v>
      </c>
      <c r="T17" s="22"/>
      <c r="U17" s="22"/>
      <c r="V17" s="22" t="s">
        <v>690</v>
      </c>
      <c r="W17" s="22"/>
      <c r="X17" s="22"/>
      <c r="Y17" s="22"/>
      <c r="Z17" s="22"/>
      <c r="AA17" s="22"/>
      <c r="AB17" s="22"/>
      <c r="AC17" s="22"/>
      <c r="AD17" s="22"/>
      <c r="AE17" s="22"/>
      <c r="AF17" s="22"/>
      <c r="AG17" s="22"/>
      <c r="AH17" s="22"/>
      <c r="AI17" s="14"/>
      <c r="AJ17" s="14"/>
      <c r="AK17" s="14"/>
      <c r="AL17" s="14"/>
      <c r="AM17" s="14"/>
    </row>
    <row r="18" spans="1:39" ht="15.75" customHeight="1" x14ac:dyDescent="0.25">
      <c r="A18" s="546"/>
      <c r="B18" s="546"/>
      <c r="C18" s="269">
        <v>14</v>
      </c>
      <c r="D18" s="1048" t="s">
        <v>708</v>
      </c>
      <c r="E18" s="1140"/>
      <c r="F18" s="1140"/>
      <c r="G18" s="1140"/>
      <c r="H18" s="1140"/>
      <c r="I18" s="1434"/>
      <c r="J18" s="538"/>
      <c r="K18" s="1436" t="s">
        <v>33</v>
      </c>
      <c r="L18" s="956"/>
      <c r="M18" s="956"/>
      <c r="N18" s="956"/>
      <c r="O18" s="956"/>
      <c r="P18" s="956"/>
      <c r="Q18" s="956"/>
      <c r="R18" s="956"/>
      <c r="S18" s="956"/>
      <c r="T18" s="956"/>
      <c r="U18" s="956"/>
      <c r="V18" s="22" t="s">
        <v>691</v>
      </c>
      <c r="W18" s="22"/>
      <c r="X18" s="22"/>
      <c r="Y18" s="22"/>
      <c r="Z18" s="22"/>
      <c r="AA18" s="22"/>
      <c r="AB18" s="22"/>
      <c r="AC18" s="22"/>
      <c r="AD18" s="22"/>
      <c r="AE18" s="22"/>
      <c r="AF18" s="259"/>
      <c r="AG18" s="259"/>
      <c r="AH18" s="259"/>
    </row>
    <row r="19" spans="1:39" x14ac:dyDescent="0.25">
      <c r="A19" s="546"/>
      <c r="B19" s="546"/>
      <c r="C19" s="274">
        <v>15</v>
      </c>
      <c r="D19" s="1464" t="s">
        <v>644</v>
      </c>
      <c r="E19" s="1454"/>
      <c r="F19" s="1454"/>
      <c r="G19" s="1454"/>
      <c r="H19" s="1454"/>
      <c r="I19" s="1455"/>
      <c r="J19" s="543"/>
      <c r="K19" s="1436" t="str">
        <f>HYPERLINK("https://www.nrel.gov/docs/fy03osti/26458.pdf","Whole House Ventilation System DOE Factsheet")</f>
        <v>Whole House Ventilation System DOE Factsheet</v>
      </c>
      <c r="L19" s="956"/>
      <c r="M19" s="956"/>
      <c r="N19" s="956"/>
      <c r="O19" s="956"/>
      <c r="P19" s="956"/>
      <c r="Q19" s="956"/>
      <c r="R19" s="956"/>
      <c r="S19" s="956"/>
      <c r="T19" s="956"/>
      <c r="U19" s="956"/>
      <c r="V19" s="956"/>
      <c r="W19" s="956"/>
      <c r="X19" s="956"/>
      <c r="Y19" s="956"/>
      <c r="Z19" s="22"/>
      <c r="AA19" s="22"/>
      <c r="AB19" s="22"/>
      <c r="AC19" s="22"/>
      <c r="AD19" s="22"/>
      <c r="AE19" s="22"/>
      <c r="AF19" s="22"/>
      <c r="AG19" s="22"/>
      <c r="AH19" s="22"/>
      <c r="AI19" s="14"/>
      <c r="AJ19" s="14"/>
      <c r="AK19" s="14"/>
      <c r="AL19" s="14"/>
      <c r="AM19" s="14"/>
    </row>
    <row r="20" spans="1:39" ht="18" customHeight="1" x14ac:dyDescent="0.25">
      <c r="A20" s="546"/>
      <c r="B20" s="546"/>
      <c r="C20" s="269">
        <v>16</v>
      </c>
      <c r="D20" s="278" t="s">
        <v>38</v>
      </c>
      <c r="E20" s="511"/>
      <c r="F20" s="511"/>
      <c r="G20" s="511"/>
      <c r="H20" s="511"/>
      <c r="I20" s="8"/>
      <c r="J20" s="538"/>
      <c r="K20" s="1436" t="s">
        <v>39</v>
      </c>
      <c r="L20" s="956"/>
      <c r="M20" s="22"/>
      <c r="N20" s="22"/>
      <c r="O20" s="22" t="s">
        <v>684</v>
      </c>
      <c r="P20" s="22"/>
      <c r="Q20" s="22"/>
      <c r="R20" s="22"/>
      <c r="S20" s="22"/>
      <c r="T20" s="22"/>
      <c r="U20" s="22"/>
      <c r="V20" s="22" t="s">
        <v>692</v>
      </c>
      <c r="W20" s="22"/>
      <c r="X20" s="22"/>
      <c r="Y20" s="22"/>
      <c r="Z20" s="22"/>
      <c r="AA20" s="22"/>
      <c r="AB20" s="22"/>
      <c r="AC20" s="22"/>
      <c r="AD20" s="22"/>
      <c r="AE20" s="22"/>
      <c r="AF20" s="22"/>
      <c r="AG20" s="22"/>
      <c r="AH20" s="22"/>
    </row>
    <row r="21" spans="1:39" ht="19.5" customHeight="1" x14ac:dyDescent="0.25">
      <c r="A21" s="546"/>
      <c r="B21" s="546"/>
      <c r="C21" s="269">
        <v>17</v>
      </c>
      <c r="D21" s="1433" t="s">
        <v>680</v>
      </c>
      <c r="E21" s="1140"/>
      <c r="F21" s="1140"/>
      <c r="G21" s="1140"/>
      <c r="H21" s="1140"/>
      <c r="I21" s="1434"/>
      <c r="J21" s="538"/>
      <c r="K21" s="1436"/>
      <c r="L21" s="956"/>
      <c r="M21" s="956"/>
      <c r="N21" s="956"/>
      <c r="O21" s="956"/>
      <c r="P21" s="956"/>
      <c r="Q21" s="956"/>
      <c r="R21" s="956"/>
      <c r="S21" s="956"/>
      <c r="T21" s="956"/>
      <c r="U21" s="956"/>
      <c r="V21" s="22" t="s">
        <v>693</v>
      </c>
      <c r="W21" s="22"/>
      <c r="X21" s="22"/>
      <c r="Y21" s="22"/>
      <c r="Z21" s="22"/>
      <c r="AA21" s="22"/>
      <c r="AB21" s="22"/>
      <c r="AC21" s="22"/>
      <c r="AD21" s="22"/>
      <c r="AE21" s="22"/>
      <c r="AF21" s="22"/>
      <c r="AG21" s="22"/>
      <c r="AH21" s="22"/>
      <c r="AI21" s="14"/>
      <c r="AJ21" s="14"/>
      <c r="AK21" s="14"/>
      <c r="AL21" s="14"/>
      <c r="AM21" s="14"/>
    </row>
    <row r="22" spans="1:39" ht="28.5" customHeight="1" x14ac:dyDescent="0.25">
      <c r="A22" s="546"/>
      <c r="B22" s="546"/>
      <c r="C22" s="269">
        <v>18</v>
      </c>
      <c r="D22" s="1048" t="s">
        <v>678</v>
      </c>
      <c r="E22" s="1140"/>
      <c r="F22" s="1140"/>
      <c r="G22" s="1140"/>
      <c r="H22" s="1140"/>
      <c r="I22" s="1434"/>
      <c r="J22" s="544"/>
      <c r="K22" s="1436" t="s">
        <v>40</v>
      </c>
      <c r="L22" s="956"/>
      <c r="M22" s="956"/>
      <c r="N22" s="956"/>
      <c r="O22" s="267" t="str">
        <f>HYPERLINK("https://p2infohouse.org/ref/11/10171.pdf","Builders Field Guide to Residential Construction Waste")</f>
        <v>Builders Field Guide to Residential Construction Waste</v>
      </c>
      <c r="P22" s="260"/>
      <c r="Q22" s="260"/>
      <c r="R22" s="260"/>
      <c r="S22" s="260" t="s">
        <v>685</v>
      </c>
      <c r="T22" s="260"/>
      <c r="U22" s="260"/>
      <c r="V22" s="260"/>
      <c r="W22" s="260"/>
      <c r="X22" s="260"/>
      <c r="Y22" s="260"/>
      <c r="Z22" s="260"/>
      <c r="AA22" s="260"/>
      <c r="AB22" s="260"/>
      <c r="AC22" s="260"/>
      <c r="AD22" s="260"/>
      <c r="AE22" s="260"/>
      <c r="AF22" s="260"/>
      <c r="AG22" s="260"/>
      <c r="AH22" s="260"/>
    </row>
    <row r="23" spans="1:39" x14ac:dyDescent="0.25">
      <c r="A23" s="546"/>
      <c r="B23" s="546"/>
      <c r="C23" s="269">
        <v>19</v>
      </c>
      <c r="D23" s="1433" t="s">
        <v>649</v>
      </c>
      <c r="E23" s="1140"/>
      <c r="F23" s="1140"/>
      <c r="G23" s="1140"/>
      <c r="H23" s="1140"/>
      <c r="I23" s="1434"/>
      <c r="J23" s="538"/>
      <c r="K23" s="267" t="str">
        <f>HYPERLINK("https://www.energystar.gov/ia/partners/bldrs_lenders_raters/downloads/water_mgmt_sys_bldr_req.pdf","Energy Star Water Management Checklist")</f>
        <v>Energy Star Water Management Checklist</v>
      </c>
      <c r="L23" s="264"/>
      <c r="M23" s="264"/>
      <c r="N23" s="264"/>
      <c r="O23" s="264"/>
      <c r="P23" s="264"/>
      <c r="Q23" s="22"/>
      <c r="R23" s="22"/>
      <c r="S23" s="22"/>
      <c r="T23" s="22"/>
      <c r="U23" s="22"/>
      <c r="V23" s="22"/>
      <c r="W23" s="22"/>
      <c r="X23" s="22"/>
      <c r="Y23" s="22"/>
      <c r="Z23" s="22"/>
      <c r="AA23" s="22"/>
      <c r="AB23" s="22"/>
      <c r="AC23" s="22"/>
      <c r="AD23" s="22"/>
      <c r="AE23" s="22"/>
      <c r="AF23" s="22"/>
      <c r="AG23" s="22"/>
      <c r="AH23" s="22"/>
      <c r="AI23" s="14"/>
      <c r="AJ23" s="14"/>
      <c r="AK23" s="14"/>
      <c r="AL23" s="14"/>
      <c r="AM23" s="14"/>
    </row>
    <row r="24" spans="1:39" ht="39.75" customHeight="1" x14ac:dyDescent="0.25">
      <c r="A24" s="546"/>
      <c r="B24" s="546"/>
      <c r="C24" s="275">
        <v>20</v>
      </c>
      <c r="D24" s="1435" t="s">
        <v>41</v>
      </c>
      <c r="E24" s="1140"/>
      <c r="F24" s="1140"/>
      <c r="G24" s="1140"/>
      <c r="H24" s="1140"/>
      <c r="I24" s="1434"/>
      <c r="J24" s="538"/>
      <c r="K24" s="1436" t="str">
        <f>HYPERLINK("https://www.greenbuilt.org/articles/maggie-leslie-choosing-green-materials/","Choosing Green Materials")</f>
        <v>Choosing Green Materials</v>
      </c>
      <c r="L24" s="956"/>
      <c r="M24" s="956"/>
      <c r="N24" s="956"/>
      <c r="O24" s="22"/>
      <c r="P24" s="22"/>
      <c r="Q24" s="22"/>
      <c r="R24" s="22"/>
      <c r="S24" s="22"/>
      <c r="T24" s="22"/>
      <c r="U24" s="22"/>
      <c r="V24" s="22"/>
      <c r="W24" s="22"/>
      <c r="X24" s="22"/>
      <c r="Y24" s="22"/>
      <c r="Z24" s="22"/>
      <c r="AA24" s="22"/>
      <c r="AB24" s="22"/>
      <c r="AC24" s="22"/>
      <c r="AD24" s="22"/>
      <c r="AE24" s="22"/>
      <c r="AF24" s="22"/>
      <c r="AG24" s="22"/>
      <c r="AH24" s="22"/>
    </row>
    <row r="25" spans="1:39" x14ac:dyDescent="0.25">
      <c r="A25" s="1437"/>
      <c r="B25" s="1440"/>
      <c r="C25" s="1443">
        <v>21</v>
      </c>
      <c r="D25" s="887" t="s">
        <v>679</v>
      </c>
      <c r="E25" s="1449"/>
      <c r="F25" s="1449"/>
      <c r="G25" s="1449"/>
      <c r="H25" s="1449"/>
      <c r="I25" s="1450"/>
      <c r="J25" s="1446"/>
      <c r="K25" s="267" t="str">
        <f>HYPERLINK("https://medium.com/@seembu/3-simple-ways-to-design-a-biophilic-home-7e93fafdb0c2","Medium: 3 Simple Ways to Design a Biophilic Home")</f>
        <v>Medium: 3 Simple Ways to Design a Biophilic Home</v>
      </c>
      <c r="L25" s="249"/>
      <c r="M25" s="22"/>
      <c r="N25" s="22"/>
      <c r="O25" s="22"/>
      <c r="P25" s="22"/>
      <c r="Q25" s="22"/>
      <c r="R25" s="22"/>
      <c r="S25" s="22"/>
      <c r="T25" s="22"/>
      <c r="U25" s="22"/>
      <c r="V25" s="22"/>
      <c r="W25" s="22"/>
      <c r="X25" s="22"/>
      <c r="Y25" s="22"/>
      <c r="Z25" s="22"/>
      <c r="AA25" s="22"/>
      <c r="AB25" s="22"/>
      <c r="AC25" s="22"/>
      <c r="AD25" s="22"/>
      <c r="AE25" s="22"/>
      <c r="AF25" s="22"/>
      <c r="AG25" s="22"/>
      <c r="AH25" s="22"/>
    </row>
    <row r="26" spans="1:39" x14ac:dyDescent="0.25">
      <c r="A26" s="1438"/>
      <c r="B26" s="1441"/>
      <c r="C26" s="1444"/>
      <c r="D26" s="1451"/>
      <c r="E26" s="1249"/>
      <c r="F26" s="1249"/>
      <c r="G26" s="1249"/>
      <c r="H26" s="1249"/>
      <c r="I26" s="1452"/>
      <c r="J26" s="1447"/>
      <c r="K26" s="267" t="str">
        <f>HYPERLINK("https://www2.living-future.org/l/464132/2019-03-25/ghpnlf?RD_Scheduler=BD","Biophilic Design Guidebook")</f>
        <v>Biophilic Design Guidebook</v>
      </c>
      <c r="L26" s="249"/>
      <c r="M26" s="22"/>
      <c r="N26" s="22"/>
      <c r="O26" s="22"/>
      <c r="P26" s="22"/>
      <c r="Q26" s="22"/>
      <c r="R26" s="22"/>
      <c r="S26" s="22"/>
      <c r="T26" s="22"/>
      <c r="U26" s="22"/>
      <c r="V26" s="22"/>
      <c r="W26" s="22"/>
      <c r="X26" s="22"/>
      <c r="Y26" s="22"/>
      <c r="Z26" s="22"/>
      <c r="AA26" s="22"/>
      <c r="AB26" s="22"/>
      <c r="AC26" s="22"/>
      <c r="AD26" s="22"/>
      <c r="AE26" s="22"/>
      <c r="AF26" s="22"/>
      <c r="AG26" s="22"/>
      <c r="AH26" s="22"/>
    </row>
    <row r="27" spans="1:39" x14ac:dyDescent="0.25">
      <c r="A27" s="1439"/>
      <c r="B27" s="1442"/>
      <c r="C27" s="1445"/>
      <c r="D27" s="1453"/>
      <c r="E27" s="1454"/>
      <c r="F27" s="1454"/>
      <c r="G27" s="1454"/>
      <c r="H27" s="1454"/>
      <c r="I27" s="1455"/>
      <c r="J27" s="1448"/>
      <c r="K27" s="267" t="str">
        <f>HYPERLINK("http://www.biophilicdesign.net/uploads/8/4/5/6/8456913/bd_viewingguide_revised.pdf","BiophilicDesign.net Viewing Guide")</f>
        <v>BiophilicDesign.net Viewing Guide</v>
      </c>
      <c r="L27" s="249"/>
      <c r="M27" s="22"/>
      <c r="N27" s="22"/>
      <c r="O27" s="22"/>
      <c r="P27" s="22"/>
      <c r="Q27" s="22"/>
      <c r="R27" s="22"/>
      <c r="S27" s="22"/>
      <c r="T27" s="22"/>
      <c r="U27" s="22"/>
      <c r="V27" s="22"/>
      <c r="W27" s="22"/>
      <c r="X27" s="22"/>
      <c r="Y27" s="22"/>
      <c r="Z27" s="22"/>
      <c r="AA27" s="22"/>
      <c r="AB27" s="22"/>
      <c r="AC27" s="22"/>
      <c r="AD27" s="22"/>
      <c r="AE27" s="22"/>
      <c r="AF27" s="22"/>
      <c r="AG27" s="22"/>
      <c r="AH27" s="22"/>
    </row>
    <row r="28" spans="1:39" x14ac:dyDescent="0.25">
      <c r="A28" s="547"/>
      <c r="B28" s="548"/>
      <c r="C28" s="276">
        <v>22</v>
      </c>
      <c r="D28" s="1048" t="s">
        <v>48</v>
      </c>
      <c r="E28" s="1140"/>
      <c r="F28" s="1140"/>
      <c r="G28" s="1140"/>
      <c r="H28" s="1140"/>
      <c r="I28" s="1434"/>
      <c r="J28" s="538"/>
      <c r="K28" s="956"/>
      <c r="L28" s="956"/>
      <c r="M28" s="22"/>
      <c r="N28" s="22"/>
      <c r="O28" s="22"/>
      <c r="P28" s="22"/>
      <c r="Q28" s="22"/>
      <c r="R28" s="22"/>
      <c r="S28" s="22"/>
      <c r="T28" s="22"/>
      <c r="U28" s="22"/>
      <c r="V28" s="22"/>
      <c r="W28" s="22"/>
      <c r="X28" s="22"/>
      <c r="Y28" s="22"/>
      <c r="Z28" s="22"/>
      <c r="AA28" s="22"/>
      <c r="AB28" s="22"/>
      <c r="AC28" s="22"/>
      <c r="AD28" s="22"/>
      <c r="AE28" s="22"/>
      <c r="AF28" s="22"/>
      <c r="AG28" s="22"/>
      <c r="AH28" s="22"/>
    </row>
    <row r="29" spans="1:39" ht="67.5" customHeight="1" x14ac:dyDescent="0.25">
      <c r="A29" s="1437"/>
      <c r="B29" s="1440"/>
      <c r="C29" s="1443">
        <v>23</v>
      </c>
      <c r="D29" s="887" t="s">
        <v>716</v>
      </c>
      <c r="E29" s="1449"/>
      <c r="F29" s="1449"/>
      <c r="G29" s="1449"/>
      <c r="H29" s="1449"/>
      <c r="I29" s="1450"/>
      <c r="J29" s="1446"/>
      <c r="K29" s="277" t="str">
        <f>HYPERLINK("http://buildcarbonneutral.org/","Build Carbon Neutral")</f>
        <v>Build Carbon Neutral</v>
      </c>
      <c r="L29" s="249"/>
      <c r="M29" s="267" t="str">
        <f>HYPERLINK(" https://buildingtransparency.org/auth/register","Buidling Transparency ")</f>
        <v xml:space="preserve">Buidling Transparency </v>
      </c>
      <c r="N29" s="22"/>
      <c r="O29" s="22"/>
      <c r="P29" s="22" t="s">
        <v>686</v>
      </c>
      <c r="Q29" s="22"/>
      <c r="R29" s="22"/>
      <c r="S29" s="22"/>
      <c r="T29" s="22"/>
      <c r="U29" s="22"/>
      <c r="V29" s="22" t="s">
        <v>688</v>
      </c>
      <c r="W29" s="22"/>
      <c r="X29" s="22"/>
      <c r="Y29" s="22"/>
      <c r="Z29" s="22"/>
      <c r="AA29" s="22"/>
      <c r="AB29" s="22"/>
      <c r="AC29" s="22"/>
      <c r="AD29" s="22"/>
      <c r="AE29" s="22"/>
      <c r="AF29" s="22"/>
      <c r="AG29" s="22"/>
      <c r="AH29" s="22"/>
    </row>
    <row r="30" spans="1:39" ht="21.75" customHeight="1" x14ac:dyDescent="0.25">
      <c r="A30" s="1438"/>
      <c r="B30" s="1441"/>
      <c r="C30" s="1444"/>
      <c r="D30" s="1451"/>
      <c r="E30" s="1249"/>
      <c r="F30" s="1249"/>
      <c r="G30" s="1249"/>
      <c r="H30" s="1249"/>
      <c r="I30" s="1452"/>
      <c r="J30" s="1447"/>
      <c r="K30" s="267" t="str">
        <f>HYPERLINK("https://www.cutmycarbon.org/","CutMyCarbon.org")</f>
        <v>CutMyCarbon.org</v>
      </c>
      <c r="L30" s="249"/>
      <c r="M30" s="249"/>
      <c r="N30" s="249"/>
      <c r="O30" s="249"/>
      <c r="P30" s="249" t="s">
        <v>687</v>
      </c>
      <c r="Q30" s="249"/>
      <c r="R30" s="249"/>
      <c r="S30" s="249"/>
      <c r="T30" s="249"/>
      <c r="U30" s="249"/>
      <c r="V30" s="249"/>
      <c r="W30" s="249"/>
      <c r="X30" s="249"/>
      <c r="Y30" s="249"/>
      <c r="Z30" s="249"/>
      <c r="AA30" s="249"/>
      <c r="AB30" s="249"/>
      <c r="AC30" s="249"/>
      <c r="AD30" s="249"/>
      <c r="AE30" s="249"/>
      <c r="AF30" s="249"/>
      <c r="AG30" s="249"/>
      <c r="AH30" s="249"/>
    </row>
    <row r="31" spans="1:39" x14ac:dyDescent="0.25">
      <c r="A31" s="1438"/>
      <c r="B31" s="1441"/>
      <c r="C31" s="1444"/>
      <c r="D31" s="1451"/>
      <c r="E31" s="1249"/>
      <c r="F31" s="1249"/>
      <c r="G31" s="1249"/>
      <c r="H31" s="1249"/>
      <c r="I31" s="1452"/>
      <c r="J31" s="1447"/>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row>
    <row r="32" spans="1:39" x14ac:dyDescent="0.25">
      <c r="A32" s="1438"/>
      <c r="B32" s="1441"/>
      <c r="C32" s="1444"/>
      <c r="D32" s="1451"/>
      <c r="E32" s="1249"/>
      <c r="F32" s="1249"/>
      <c r="G32" s="1249"/>
      <c r="H32" s="1249"/>
      <c r="I32" s="1452"/>
      <c r="J32" s="1447"/>
      <c r="K32" s="267" t="str">
        <f>HYPERLINK("https://living-future.org/declare/declare-about/red-list/","Living Future: Red List Chemicals to Avoid")</f>
        <v>Living Future: Red List Chemicals to Avoid</v>
      </c>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row>
    <row r="33" spans="1:34" x14ac:dyDescent="0.25">
      <c r="A33" s="1438"/>
      <c r="B33" s="1441"/>
      <c r="C33" s="1444"/>
      <c r="D33" s="1451"/>
      <c r="E33" s="1249"/>
      <c r="F33" s="1249"/>
      <c r="G33" s="1249"/>
      <c r="H33" s="1249"/>
      <c r="I33" s="1452"/>
      <c r="J33" s="1447"/>
      <c r="K33" s="267" t="str">
        <f>HYPERLINK("http://oasisdesign.net/greywater/law/","Oasis Design: Greywater law")</f>
        <v>Oasis Design: Greywater law</v>
      </c>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row>
    <row r="34" spans="1:34" x14ac:dyDescent="0.25">
      <c r="A34" s="1438"/>
      <c r="B34" s="1441"/>
      <c r="C34" s="1444"/>
      <c r="D34" s="1451"/>
      <c r="E34" s="1249"/>
      <c r="F34" s="1249"/>
      <c r="G34" s="1249"/>
      <c r="H34" s="1249"/>
      <c r="I34" s="1452"/>
      <c r="J34" s="1447"/>
      <c r="K34" s="1436" t="str">
        <f>HYPERLINK("http://www.greenbuilt.org/","Green Built Website")</f>
        <v>Green Built Website</v>
      </c>
      <c r="L34" s="956"/>
      <c r="M34" s="956"/>
      <c r="N34" s="249"/>
      <c r="O34" s="249"/>
      <c r="P34" s="249"/>
      <c r="Q34" s="249"/>
      <c r="R34" s="249"/>
      <c r="S34" s="249"/>
      <c r="T34" s="249"/>
      <c r="U34" s="249"/>
      <c r="V34" s="249"/>
      <c r="W34" s="249"/>
      <c r="X34" s="249"/>
      <c r="Y34" s="249"/>
      <c r="Z34" s="249"/>
      <c r="AA34" s="249"/>
      <c r="AB34" s="249"/>
      <c r="AC34" s="249"/>
      <c r="AD34" s="249"/>
      <c r="AE34" s="249"/>
      <c r="AF34" s="249"/>
      <c r="AG34" s="249"/>
      <c r="AH34" s="249"/>
    </row>
    <row r="35" spans="1:34" x14ac:dyDescent="0.25">
      <c r="A35" s="1439"/>
      <c r="B35" s="1442"/>
      <c r="C35" s="1445"/>
      <c r="D35" s="1453"/>
      <c r="E35" s="1454"/>
      <c r="F35" s="1454"/>
      <c r="G35" s="1454"/>
      <c r="H35" s="1454"/>
      <c r="I35" s="1455"/>
      <c r="J35" s="1448"/>
      <c r="K35" s="1436" t="s">
        <v>49</v>
      </c>
      <c r="L35" s="956"/>
      <c r="M35" s="956"/>
      <c r="N35" s="249"/>
      <c r="O35" s="249"/>
      <c r="P35" s="249"/>
      <c r="Q35" s="249"/>
      <c r="R35" s="249"/>
      <c r="S35" s="249"/>
      <c r="T35" s="249"/>
      <c r="U35" s="249"/>
      <c r="V35" s="249"/>
      <c r="W35" s="249"/>
      <c r="X35" s="249"/>
      <c r="Y35" s="249"/>
      <c r="Z35" s="249"/>
      <c r="AA35" s="249"/>
      <c r="AB35" s="249"/>
      <c r="AC35" s="249"/>
      <c r="AD35" s="249"/>
      <c r="AE35" s="249"/>
      <c r="AF35" s="249"/>
      <c r="AG35" s="249"/>
      <c r="AH35" s="249"/>
    </row>
    <row r="36" spans="1:34" x14ac:dyDescent="0.25">
      <c r="A36" s="19"/>
      <c r="B36" s="19"/>
      <c r="C36" s="20"/>
      <c r="D36" s="279"/>
      <c r="E36" s="280"/>
      <c r="F36" s="280"/>
      <c r="G36" s="280"/>
      <c r="H36" s="280"/>
      <c r="I36" s="280"/>
      <c r="J36" s="280"/>
      <c r="K36" s="9"/>
      <c r="L36" s="9"/>
      <c r="M36" s="9"/>
      <c r="N36" s="10"/>
      <c r="O36" s="10"/>
      <c r="P36" s="10"/>
      <c r="Q36" s="10"/>
      <c r="R36" s="10"/>
      <c r="S36" s="10"/>
      <c r="T36" s="10"/>
      <c r="U36" s="10"/>
      <c r="V36" s="10"/>
      <c r="W36" s="10"/>
      <c r="X36" s="10"/>
      <c r="Y36" s="10"/>
      <c r="Z36" s="10"/>
      <c r="AA36" s="10"/>
      <c r="AB36" s="10"/>
      <c r="AC36" s="10"/>
      <c r="AD36" s="10"/>
      <c r="AE36" s="10"/>
      <c r="AF36" s="10"/>
      <c r="AG36" s="10"/>
      <c r="AH36" s="10"/>
    </row>
    <row r="37" spans="1:34" x14ac:dyDescent="0.25">
      <c r="A37" s="19" t="s">
        <v>705</v>
      </c>
      <c r="C37" s="20"/>
      <c r="D37" s="279"/>
      <c r="E37" s="280"/>
      <c r="F37" s="280"/>
      <c r="G37" s="280"/>
      <c r="H37" s="280"/>
      <c r="I37" s="280"/>
      <c r="J37" s="280"/>
      <c r="K37" s="9"/>
      <c r="L37" s="9"/>
      <c r="M37" s="9"/>
      <c r="N37" s="10"/>
      <c r="O37" s="10"/>
      <c r="P37" s="10"/>
      <c r="Q37" s="10"/>
      <c r="R37" s="10"/>
      <c r="S37" s="10"/>
      <c r="T37" s="10"/>
      <c r="U37" s="10"/>
      <c r="V37" s="10"/>
      <c r="W37" s="10"/>
      <c r="X37" s="10"/>
      <c r="Y37" s="10"/>
      <c r="Z37" s="10"/>
      <c r="AA37" s="10"/>
      <c r="AB37" s="10"/>
      <c r="AC37" s="10"/>
      <c r="AD37" s="10"/>
      <c r="AE37" s="10"/>
      <c r="AF37" s="10"/>
      <c r="AG37" s="10"/>
      <c r="AH37" s="10"/>
    </row>
    <row r="38" spans="1:34" x14ac:dyDescent="0.25">
      <c r="A38" s="19"/>
      <c r="B38" s="19"/>
      <c r="C38" s="20"/>
      <c r="D38" s="279"/>
      <c r="E38" s="280"/>
      <c r="F38" s="280"/>
      <c r="G38" s="280"/>
      <c r="H38" s="280"/>
      <c r="I38" s="280"/>
      <c r="J38" s="280"/>
      <c r="K38" s="10"/>
      <c r="L38" s="10"/>
      <c r="M38" s="10"/>
      <c r="N38" s="10"/>
      <c r="O38" s="10"/>
      <c r="P38" s="10"/>
      <c r="Q38" s="10"/>
      <c r="R38" s="10"/>
      <c r="S38" s="10"/>
      <c r="T38" s="10"/>
      <c r="U38" s="10"/>
      <c r="V38" s="10"/>
      <c r="W38" s="10"/>
      <c r="X38" s="10"/>
      <c r="Y38" s="10"/>
      <c r="Z38" s="10"/>
      <c r="AA38" s="10"/>
      <c r="AB38" s="10"/>
      <c r="AC38" s="10"/>
      <c r="AD38" s="10"/>
      <c r="AE38" s="10"/>
      <c r="AF38" s="10"/>
      <c r="AG38" s="10"/>
      <c r="AH38" s="10"/>
    </row>
    <row r="39" spans="1:34" x14ac:dyDescent="0.25">
      <c r="A39" s="19"/>
      <c r="B39" s="19"/>
      <c r="C39" s="20"/>
      <c r="D39" s="279"/>
      <c r="E39" s="280"/>
      <c r="F39" s="280"/>
      <c r="G39" s="280"/>
      <c r="H39" s="280"/>
      <c r="I39" s="280"/>
      <c r="J39" s="280"/>
      <c r="K39" s="10"/>
      <c r="L39" s="10"/>
      <c r="M39" s="10"/>
      <c r="N39" s="10"/>
      <c r="O39" s="10"/>
      <c r="P39" s="10"/>
      <c r="Q39" s="10"/>
      <c r="R39" s="10"/>
      <c r="S39" s="10"/>
      <c r="T39" s="10"/>
      <c r="U39" s="10"/>
      <c r="V39" s="10"/>
      <c r="W39" s="10"/>
      <c r="X39" s="10"/>
      <c r="Y39" s="10"/>
      <c r="Z39" s="10"/>
      <c r="AA39" s="10"/>
      <c r="AB39" s="10"/>
      <c r="AC39" s="10"/>
      <c r="AD39" s="10"/>
      <c r="AE39" s="10"/>
      <c r="AF39" s="10"/>
      <c r="AG39" s="10"/>
      <c r="AH39" s="10"/>
    </row>
    <row r="40" spans="1:34" x14ac:dyDescent="0.25">
      <c r="A40" s="19"/>
      <c r="B40" s="19"/>
      <c r="C40" s="20"/>
      <c r="D40" s="279"/>
      <c r="E40" s="280"/>
      <c r="F40" s="280"/>
      <c r="G40" s="280"/>
      <c r="H40" s="280"/>
      <c r="I40" s="280"/>
      <c r="J40" s="280"/>
      <c r="K40" s="10"/>
      <c r="L40" s="10"/>
      <c r="M40" s="10"/>
      <c r="N40" s="10"/>
      <c r="O40" s="10"/>
      <c r="P40" s="10"/>
      <c r="Q40" s="10"/>
      <c r="R40" s="10"/>
      <c r="S40" s="10"/>
      <c r="T40" s="10"/>
      <c r="U40" s="10"/>
      <c r="V40" s="10"/>
      <c r="W40" s="10"/>
      <c r="X40" s="10"/>
      <c r="Y40" s="10"/>
      <c r="Z40" s="10"/>
      <c r="AA40" s="10"/>
      <c r="AB40" s="10"/>
      <c r="AC40" s="10"/>
      <c r="AD40" s="10"/>
      <c r="AE40" s="10"/>
      <c r="AF40" s="10"/>
      <c r="AG40" s="10"/>
      <c r="AH40" s="10"/>
    </row>
    <row r="41" spans="1:34" x14ac:dyDescent="0.25">
      <c r="A41" s="19"/>
      <c r="B41" s="19"/>
      <c r="C41" s="20"/>
      <c r="D41" s="279"/>
      <c r="E41" s="280"/>
      <c r="F41" s="280"/>
      <c r="G41" s="280"/>
      <c r="H41" s="280"/>
      <c r="I41" s="280"/>
      <c r="J41" s="280"/>
      <c r="K41" s="10"/>
      <c r="L41" s="10"/>
      <c r="M41" s="10"/>
      <c r="N41" s="10"/>
      <c r="O41" s="10"/>
      <c r="P41" s="10"/>
      <c r="Q41" s="10"/>
      <c r="R41" s="10"/>
      <c r="S41" s="10"/>
      <c r="T41" s="10"/>
      <c r="U41" s="10"/>
      <c r="V41" s="10"/>
      <c r="W41" s="10"/>
      <c r="X41" s="10"/>
      <c r="Y41" s="10"/>
      <c r="Z41" s="10"/>
      <c r="AA41" s="10"/>
      <c r="AB41" s="10"/>
      <c r="AC41" s="10"/>
      <c r="AD41" s="10"/>
      <c r="AE41" s="10"/>
      <c r="AF41" s="10"/>
      <c r="AG41" s="10"/>
      <c r="AH41" s="10"/>
    </row>
    <row r="42" spans="1:34" x14ac:dyDescent="0.25">
      <c r="A42" s="19"/>
      <c r="B42" s="19"/>
      <c r="C42" s="20"/>
      <c r="D42" s="279"/>
      <c r="E42" s="280"/>
      <c r="F42" s="280"/>
      <c r="G42" s="280"/>
      <c r="H42" s="280"/>
      <c r="I42" s="280"/>
      <c r="J42" s="280"/>
      <c r="K42" s="10"/>
      <c r="L42" s="10"/>
      <c r="M42" s="10"/>
      <c r="N42" s="10"/>
      <c r="O42" s="10"/>
      <c r="P42" s="10"/>
      <c r="Q42" s="10"/>
      <c r="R42" s="10"/>
      <c r="S42" s="10"/>
      <c r="T42" s="10"/>
      <c r="U42" s="10"/>
      <c r="V42" s="10"/>
      <c r="W42" s="10"/>
      <c r="X42" s="10"/>
      <c r="Y42" s="10"/>
      <c r="Z42" s="10"/>
      <c r="AA42" s="10"/>
      <c r="AB42" s="10"/>
      <c r="AC42" s="10"/>
      <c r="AD42" s="10"/>
      <c r="AE42" s="10"/>
      <c r="AF42" s="10"/>
      <c r="AG42" s="10"/>
      <c r="AH42" s="10"/>
    </row>
    <row r="43" spans="1:34" x14ac:dyDescent="0.25">
      <c r="A43" s="19"/>
      <c r="B43" s="19"/>
      <c r="C43" s="20"/>
      <c r="D43" s="279"/>
      <c r="E43" s="280"/>
      <c r="F43" s="280"/>
      <c r="G43" s="280"/>
      <c r="H43" s="280"/>
      <c r="I43" s="280"/>
      <c r="J43" s="280"/>
      <c r="K43" s="10"/>
      <c r="L43" s="10"/>
      <c r="M43" s="10"/>
      <c r="N43" s="10"/>
      <c r="O43" s="10"/>
      <c r="P43" s="10"/>
      <c r="Q43" s="10"/>
      <c r="R43" s="10"/>
      <c r="S43" s="10"/>
      <c r="T43" s="10"/>
      <c r="U43" s="10"/>
      <c r="V43" s="10"/>
      <c r="W43" s="10"/>
      <c r="X43" s="10"/>
      <c r="Y43" s="10"/>
      <c r="Z43" s="10"/>
      <c r="AA43" s="10"/>
      <c r="AB43" s="10"/>
      <c r="AC43" s="10"/>
      <c r="AD43" s="10"/>
      <c r="AE43" s="10"/>
      <c r="AF43" s="10"/>
      <c r="AG43" s="10"/>
      <c r="AH43" s="10"/>
    </row>
    <row r="44" spans="1:34" x14ac:dyDescent="0.25">
      <c r="A44" s="19"/>
      <c r="B44" s="19"/>
      <c r="C44" s="20"/>
      <c r="D44" s="279"/>
      <c r="E44" s="280"/>
      <c r="F44" s="280"/>
      <c r="G44" s="280"/>
      <c r="H44" s="280"/>
      <c r="I44" s="280"/>
      <c r="J44" s="280"/>
      <c r="K44" s="10"/>
      <c r="L44" s="10"/>
      <c r="M44" s="10"/>
      <c r="N44" s="10"/>
      <c r="O44" s="10"/>
      <c r="P44" s="10"/>
      <c r="Q44" s="10"/>
      <c r="R44" s="10"/>
      <c r="S44" s="10"/>
      <c r="T44" s="10"/>
      <c r="U44" s="10"/>
      <c r="V44" s="10"/>
      <c r="W44" s="10"/>
      <c r="X44" s="10"/>
      <c r="Y44" s="10"/>
      <c r="Z44" s="10"/>
      <c r="AA44" s="10"/>
      <c r="AB44" s="10"/>
      <c r="AC44" s="10"/>
      <c r="AD44" s="10"/>
      <c r="AE44" s="10"/>
      <c r="AF44" s="10"/>
      <c r="AG44" s="10"/>
      <c r="AH44" s="10"/>
    </row>
    <row r="45" spans="1:34" x14ac:dyDescent="0.25">
      <c r="A45" s="19"/>
      <c r="B45" s="19"/>
      <c r="C45" s="20"/>
      <c r="D45" s="279"/>
      <c r="E45" s="280"/>
      <c r="F45" s="280"/>
      <c r="G45" s="280"/>
      <c r="H45" s="280"/>
      <c r="I45" s="280"/>
      <c r="J45" s="280"/>
      <c r="K45" s="10"/>
      <c r="L45" s="10"/>
      <c r="M45" s="10"/>
      <c r="N45" s="10"/>
      <c r="O45" s="10"/>
      <c r="P45" s="10"/>
      <c r="Q45" s="10"/>
      <c r="R45" s="10"/>
      <c r="S45" s="10"/>
      <c r="T45" s="10"/>
      <c r="U45" s="10"/>
      <c r="V45" s="10"/>
      <c r="W45" s="10"/>
      <c r="X45" s="10"/>
      <c r="Y45" s="10"/>
      <c r="Z45" s="10"/>
      <c r="AA45" s="10"/>
      <c r="AB45" s="10"/>
      <c r="AC45" s="10"/>
      <c r="AD45" s="10"/>
      <c r="AE45" s="10"/>
      <c r="AF45" s="10"/>
      <c r="AG45" s="10"/>
      <c r="AH45" s="10"/>
    </row>
    <row r="46" spans="1:34" x14ac:dyDescent="0.25">
      <c r="A46" s="19"/>
      <c r="B46" s="19"/>
      <c r="C46" s="20"/>
      <c r="D46" s="279"/>
      <c r="E46" s="280"/>
      <c r="F46" s="280"/>
      <c r="G46" s="280"/>
      <c r="H46" s="280"/>
      <c r="I46" s="280"/>
      <c r="J46" s="280"/>
      <c r="K46" s="10"/>
      <c r="L46" s="10"/>
      <c r="M46" s="10"/>
      <c r="N46" s="10"/>
      <c r="O46" s="10"/>
      <c r="P46" s="10"/>
      <c r="Q46" s="10"/>
      <c r="R46" s="10"/>
      <c r="S46" s="10"/>
      <c r="T46" s="10"/>
      <c r="U46" s="10"/>
      <c r="V46" s="10"/>
      <c r="W46" s="10"/>
      <c r="X46" s="10"/>
      <c r="Y46" s="10"/>
      <c r="Z46" s="10"/>
      <c r="AA46" s="10"/>
      <c r="AB46" s="10"/>
      <c r="AC46" s="10"/>
      <c r="AD46" s="10"/>
      <c r="AE46" s="10"/>
      <c r="AF46" s="10"/>
      <c r="AG46" s="10"/>
      <c r="AH46" s="10"/>
    </row>
    <row r="47" spans="1:34" x14ac:dyDescent="0.25">
      <c r="A47" s="19"/>
      <c r="B47" s="19"/>
      <c r="C47" s="20"/>
      <c r="D47" s="279"/>
      <c r="E47" s="280"/>
      <c r="F47" s="280"/>
      <c r="G47" s="280"/>
      <c r="H47" s="280"/>
      <c r="I47" s="280"/>
      <c r="J47" s="280"/>
      <c r="K47" s="10"/>
      <c r="L47" s="10"/>
      <c r="M47" s="10"/>
      <c r="N47" s="10"/>
      <c r="O47" s="10"/>
      <c r="P47" s="10"/>
      <c r="Q47" s="10"/>
      <c r="R47" s="10"/>
      <c r="S47" s="10"/>
      <c r="T47" s="10"/>
      <c r="U47" s="10"/>
      <c r="V47" s="10"/>
      <c r="W47" s="10"/>
      <c r="X47" s="10"/>
      <c r="Y47" s="10"/>
      <c r="Z47" s="10"/>
      <c r="AA47" s="10"/>
      <c r="AB47" s="10"/>
      <c r="AC47" s="10"/>
      <c r="AD47" s="10"/>
      <c r="AE47" s="10"/>
      <c r="AF47" s="10"/>
      <c r="AG47" s="10"/>
      <c r="AH47" s="10"/>
    </row>
    <row r="48" spans="1:34" x14ac:dyDescent="0.25">
      <c r="A48" s="19"/>
      <c r="B48" s="19"/>
      <c r="C48" s="20"/>
      <c r="D48" s="279"/>
      <c r="E48" s="280"/>
      <c r="F48" s="280"/>
      <c r="G48" s="280"/>
      <c r="H48" s="280"/>
      <c r="I48" s="280"/>
      <c r="J48" s="280"/>
      <c r="K48" s="10"/>
      <c r="L48" s="10"/>
      <c r="M48" s="10"/>
      <c r="N48" s="10"/>
      <c r="O48" s="10"/>
      <c r="P48" s="10"/>
      <c r="Q48" s="10"/>
      <c r="R48" s="10"/>
      <c r="S48" s="10"/>
      <c r="T48" s="10"/>
      <c r="U48" s="10"/>
      <c r="V48" s="10"/>
      <c r="W48" s="10"/>
      <c r="X48" s="10"/>
      <c r="Y48" s="10"/>
      <c r="Z48" s="10"/>
      <c r="AA48" s="10"/>
      <c r="AB48" s="10"/>
      <c r="AC48" s="10"/>
      <c r="AD48" s="10"/>
      <c r="AE48" s="10"/>
      <c r="AF48" s="10"/>
      <c r="AG48" s="10"/>
      <c r="AH48" s="10"/>
    </row>
    <row r="49" spans="1:34" x14ac:dyDescent="0.25">
      <c r="A49" s="19"/>
      <c r="B49" s="19"/>
      <c r="C49" s="20"/>
      <c r="D49" s="279"/>
      <c r="E49" s="280"/>
      <c r="F49" s="280"/>
      <c r="G49" s="280"/>
      <c r="H49" s="280"/>
      <c r="I49" s="280"/>
      <c r="J49" s="280"/>
      <c r="K49" s="10"/>
      <c r="L49" s="10"/>
      <c r="M49" s="10"/>
      <c r="N49" s="10"/>
      <c r="O49" s="10"/>
      <c r="P49" s="10"/>
      <c r="Q49" s="10"/>
      <c r="R49" s="10"/>
      <c r="S49" s="10"/>
      <c r="T49" s="10"/>
      <c r="U49" s="10"/>
      <c r="V49" s="10"/>
      <c r="W49" s="10"/>
      <c r="X49" s="10"/>
      <c r="Y49" s="10"/>
      <c r="Z49" s="10"/>
      <c r="AA49" s="10"/>
      <c r="AB49" s="10"/>
      <c r="AC49" s="10"/>
      <c r="AD49" s="10"/>
      <c r="AE49" s="10"/>
      <c r="AF49" s="10"/>
      <c r="AG49" s="10"/>
      <c r="AH49" s="10"/>
    </row>
    <row r="50" spans="1:34" x14ac:dyDescent="0.25">
      <c r="A50" s="19"/>
      <c r="B50" s="19"/>
      <c r="C50" s="20"/>
      <c r="D50" s="279"/>
      <c r="E50" s="280"/>
      <c r="F50" s="280"/>
      <c r="G50" s="280"/>
      <c r="H50" s="280"/>
      <c r="I50" s="280"/>
      <c r="J50" s="280"/>
      <c r="K50" s="10"/>
      <c r="L50" s="10"/>
      <c r="M50" s="10"/>
      <c r="N50" s="10"/>
      <c r="O50" s="10"/>
      <c r="P50" s="10"/>
      <c r="Q50" s="10"/>
      <c r="R50" s="10"/>
      <c r="S50" s="10"/>
      <c r="T50" s="10"/>
      <c r="U50" s="10"/>
      <c r="V50" s="10"/>
      <c r="W50" s="10"/>
      <c r="X50" s="10"/>
      <c r="Y50" s="10"/>
      <c r="Z50" s="10"/>
      <c r="AA50" s="10"/>
      <c r="AB50" s="10"/>
      <c r="AC50" s="10"/>
      <c r="AD50" s="10"/>
      <c r="AE50" s="10"/>
      <c r="AF50" s="10"/>
      <c r="AG50" s="10"/>
      <c r="AH50" s="10"/>
    </row>
    <row r="51" spans="1:34" x14ac:dyDescent="0.25">
      <c r="A51" s="19"/>
      <c r="B51" s="19"/>
      <c r="C51" s="20"/>
      <c r="D51" s="279"/>
      <c r="E51" s="280"/>
      <c r="F51" s="280"/>
      <c r="G51" s="280"/>
      <c r="H51" s="280"/>
      <c r="I51" s="280"/>
      <c r="J51" s="280"/>
      <c r="K51" s="10"/>
      <c r="L51" s="10"/>
      <c r="M51" s="10"/>
      <c r="N51" s="10"/>
      <c r="O51" s="10"/>
      <c r="P51" s="10"/>
      <c r="Q51" s="10"/>
      <c r="R51" s="10"/>
      <c r="S51" s="10"/>
      <c r="T51" s="10"/>
      <c r="U51" s="10"/>
      <c r="V51" s="10"/>
      <c r="W51" s="10"/>
      <c r="X51" s="10"/>
      <c r="Y51" s="10"/>
      <c r="Z51" s="10"/>
      <c r="AA51" s="10"/>
      <c r="AB51" s="10"/>
      <c r="AC51" s="10"/>
      <c r="AD51" s="10"/>
      <c r="AE51" s="10"/>
      <c r="AF51" s="10"/>
      <c r="AG51" s="10"/>
      <c r="AH51" s="10"/>
    </row>
    <row r="52" spans="1:34" x14ac:dyDescent="0.25">
      <c r="A52" s="19"/>
      <c r="B52" s="19"/>
      <c r="C52" s="20"/>
      <c r="D52" s="279"/>
      <c r="E52" s="280"/>
      <c r="F52" s="280"/>
      <c r="G52" s="280"/>
      <c r="H52" s="280"/>
      <c r="I52" s="280"/>
      <c r="J52" s="280"/>
      <c r="K52" s="10"/>
      <c r="L52" s="10"/>
      <c r="M52" s="10"/>
      <c r="N52" s="10"/>
      <c r="O52" s="10"/>
      <c r="P52" s="10"/>
      <c r="Q52" s="10"/>
      <c r="R52" s="10"/>
      <c r="S52" s="10"/>
      <c r="T52" s="10"/>
      <c r="U52" s="10"/>
      <c r="V52" s="10"/>
      <c r="W52" s="10"/>
      <c r="X52" s="10"/>
      <c r="Y52" s="10"/>
      <c r="Z52" s="10"/>
      <c r="AA52" s="10"/>
      <c r="AB52" s="10"/>
      <c r="AC52" s="10"/>
      <c r="AD52" s="10"/>
      <c r="AE52" s="10"/>
      <c r="AF52" s="10"/>
      <c r="AG52" s="10"/>
      <c r="AH52" s="10"/>
    </row>
    <row r="53" spans="1:34" x14ac:dyDescent="0.25">
      <c r="A53" s="19"/>
      <c r="B53" s="19"/>
      <c r="C53" s="20"/>
      <c r="D53" s="279"/>
      <c r="E53" s="280"/>
      <c r="F53" s="280"/>
      <c r="G53" s="280"/>
      <c r="H53" s="280"/>
      <c r="I53" s="280"/>
      <c r="J53" s="280"/>
      <c r="K53" s="10"/>
      <c r="L53" s="10"/>
      <c r="M53" s="10"/>
      <c r="N53" s="10"/>
      <c r="O53" s="10"/>
      <c r="P53" s="10"/>
      <c r="Q53" s="10"/>
      <c r="R53" s="10"/>
      <c r="S53" s="10"/>
      <c r="T53" s="10"/>
      <c r="U53" s="10"/>
      <c r="V53" s="10"/>
      <c r="W53" s="10"/>
      <c r="X53" s="10"/>
      <c r="Y53" s="10"/>
      <c r="Z53" s="10"/>
      <c r="AA53" s="10"/>
      <c r="AB53" s="10"/>
      <c r="AC53" s="10"/>
      <c r="AD53" s="10"/>
      <c r="AE53" s="10"/>
      <c r="AF53" s="10"/>
      <c r="AG53" s="10"/>
      <c r="AH53" s="10"/>
    </row>
    <row r="54" spans="1:34" x14ac:dyDescent="0.25">
      <c r="A54" s="19"/>
      <c r="B54" s="19"/>
      <c r="C54" s="20"/>
      <c r="D54" s="279"/>
      <c r="E54" s="280"/>
      <c r="F54" s="280"/>
      <c r="G54" s="280"/>
      <c r="H54" s="280"/>
      <c r="I54" s="280"/>
      <c r="J54" s="280"/>
      <c r="K54" s="10"/>
      <c r="L54" s="10"/>
      <c r="M54" s="10"/>
      <c r="N54" s="10"/>
      <c r="O54" s="10"/>
      <c r="P54" s="10"/>
      <c r="Q54" s="10"/>
      <c r="R54" s="10"/>
      <c r="S54" s="10"/>
      <c r="T54" s="10"/>
      <c r="U54" s="10"/>
      <c r="V54" s="10"/>
      <c r="W54" s="10"/>
      <c r="X54" s="10"/>
      <c r="Y54" s="10"/>
      <c r="Z54" s="10"/>
      <c r="AA54" s="10"/>
      <c r="AB54" s="10"/>
      <c r="AC54" s="10"/>
      <c r="AD54" s="10"/>
      <c r="AE54" s="10"/>
      <c r="AF54" s="10"/>
      <c r="AG54" s="10"/>
      <c r="AH54" s="10"/>
    </row>
    <row r="55" spans="1:34" x14ac:dyDescent="0.25">
      <c r="A55" s="19"/>
      <c r="B55" s="19"/>
      <c r="C55" s="20"/>
      <c r="D55" s="279"/>
      <c r="E55" s="280"/>
      <c r="F55" s="280"/>
      <c r="G55" s="280"/>
      <c r="H55" s="280"/>
      <c r="I55" s="280"/>
      <c r="J55" s="280"/>
      <c r="K55" s="10"/>
      <c r="L55" s="10"/>
      <c r="M55" s="10"/>
      <c r="N55" s="10"/>
      <c r="O55" s="10"/>
      <c r="P55" s="10"/>
      <c r="Q55" s="10"/>
      <c r="R55" s="10"/>
      <c r="S55" s="10"/>
      <c r="T55" s="10"/>
      <c r="U55" s="10"/>
      <c r="V55" s="10"/>
      <c r="W55" s="10"/>
      <c r="X55" s="10"/>
      <c r="Y55" s="10"/>
      <c r="Z55" s="10"/>
      <c r="AA55" s="10"/>
      <c r="AB55" s="10"/>
      <c r="AC55" s="10"/>
      <c r="AD55" s="10"/>
      <c r="AE55" s="10"/>
      <c r="AF55" s="10"/>
      <c r="AG55" s="10"/>
      <c r="AH55" s="10"/>
    </row>
    <row r="56" spans="1:34" x14ac:dyDescent="0.25">
      <c r="A56" s="19"/>
      <c r="B56" s="19"/>
      <c r="C56" s="20"/>
      <c r="D56" s="279"/>
      <c r="E56" s="280"/>
      <c r="F56" s="280"/>
      <c r="G56" s="280"/>
      <c r="H56" s="280"/>
      <c r="I56" s="280"/>
      <c r="J56" s="280"/>
      <c r="K56" s="10"/>
      <c r="L56" s="10"/>
      <c r="M56" s="10"/>
      <c r="N56" s="10"/>
      <c r="O56" s="10"/>
      <c r="P56" s="10"/>
      <c r="Q56" s="10"/>
      <c r="R56" s="10"/>
      <c r="S56" s="10"/>
      <c r="T56" s="10"/>
      <c r="U56" s="10"/>
      <c r="V56" s="10"/>
      <c r="W56" s="10"/>
      <c r="X56" s="10"/>
      <c r="Y56" s="10"/>
      <c r="Z56" s="10"/>
      <c r="AA56" s="10"/>
      <c r="AB56" s="10"/>
      <c r="AC56" s="10"/>
      <c r="AD56" s="10"/>
      <c r="AE56" s="10"/>
      <c r="AF56" s="10"/>
      <c r="AG56" s="10"/>
      <c r="AH56" s="10"/>
    </row>
    <row r="57" spans="1:34" x14ac:dyDescent="0.25">
      <c r="A57" s="19"/>
      <c r="B57" s="19"/>
      <c r="C57" s="20"/>
      <c r="D57" s="279"/>
      <c r="E57" s="280"/>
      <c r="F57" s="280"/>
      <c r="G57" s="280"/>
      <c r="H57" s="280"/>
      <c r="I57" s="280"/>
      <c r="J57" s="280"/>
      <c r="K57" s="10"/>
      <c r="L57" s="10"/>
      <c r="M57" s="10"/>
      <c r="N57" s="10"/>
      <c r="O57" s="10"/>
      <c r="P57" s="10"/>
      <c r="Q57" s="10"/>
      <c r="R57" s="10"/>
      <c r="S57" s="10"/>
      <c r="T57" s="10"/>
      <c r="U57" s="10"/>
      <c r="V57" s="10"/>
      <c r="W57" s="10"/>
      <c r="X57" s="10"/>
      <c r="Y57" s="10"/>
      <c r="Z57" s="10"/>
      <c r="AA57" s="10"/>
      <c r="AB57" s="10"/>
      <c r="AC57" s="10"/>
      <c r="AD57" s="10"/>
      <c r="AE57" s="10"/>
      <c r="AF57" s="10"/>
      <c r="AG57" s="10"/>
      <c r="AH57" s="10"/>
    </row>
    <row r="58" spans="1:34" x14ac:dyDescent="0.25">
      <c r="A58" s="19"/>
      <c r="B58" s="19"/>
      <c r="C58" s="20"/>
      <c r="D58" s="279"/>
      <c r="E58" s="280"/>
      <c r="F58" s="280"/>
      <c r="G58" s="280"/>
      <c r="H58" s="280"/>
      <c r="I58" s="280"/>
      <c r="J58" s="280"/>
      <c r="K58" s="10"/>
      <c r="L58" s="10"/>
      <c r="M58" s="10"/>
      <c r="N58" s="10"/>
      <c r="O58" s="10"/>
      <c r="P58" s="10"/>
      <c r="Q58" s="10"/>
      <c r="R58" s="10"/>
      <c r="S58" s="10"/>
      <c r="T58" s="10"/>
      <c r="U58" s="10"/>
      <c r="V58" s="10"/>
      <c r="W58" s="10"/>
      <c r="X58" s="10"/>
      <c r="Y58" s="10"/>
      <c r="Z58" s="10"/>
      <c r="AA58" s="10"/>
      <c r="AB58" s="10"/>
      <c r="AC58" s="10"/>
      <c r="AD58" s="10"/>
      <c r="AE58" s="10"/>
      <c r="AF58" s="10"/>
      <c r="AG58" s="10"/>
      <c r="AH58" s="10"/>
    </row>
    <row r="59" spans="1:34" x14ac:dyDescent="0.25">
      <c r="A59" s="19"/>
      <c r="B59" s="19"/>
      <c r="C59" s="20"/>
      <c r="D59" s="279"/>
      <c r="E59" s="280"/>
      <c r="F59" s="280"/>
      <c r="G59" s="280"/>
      <c r="H59" s="280"/>
      <c r="I59" s="280"/>
      <c r="J59" s="280"/>
      <c r="K59" s="10"/>
      <c r="L59" s="10"/>
      <c r="M59" s="10"/>
      <c r="N59" s="10"/>
      <c r="O59" s="10"/>
      <c r="P59" s="10"/>
      <c r="Q59" s="10"/>
      <c r="R59" s="10"/>
      <c r="S59" s="10"/>
      <c r="T59" s="10"/>
      <c r="U59" s="10"/>
      <c r="V59" s="10"/>
      <c r="W59" s="10"/>
      <c r="X59" s="10"/>
      <c r="Y59" s="10"/>
      <c r="Z59" s="10"/>
      <c r="AA59" s="10"/>
      <c r="AB59" s="10"/>
      <c r="AC59" s="10"/>
      <c r="AD59" s="10"/>
      <c r="AE59" s="10"/>
      <c r="AF59" s="10"/>
      <c r="AG59" s="10"/>
      <c r="AH59" s="10"/>
    </row>
    <row r="60" spans="1:34" x14ac:dyDescent="0.25">
      <c r="A60" s="19"/>
      <c r="B60" s="19"/>
      <c r="C60" s="20"/>
      <c r="D60" s="279"/>
      <c r="E60" s="280"/>
      <c r="F60" s="280"/>
      <c r="G60" s="280"/>
      <c r="H60" s="280"/>
      <c r="I60" s="280"/>
      <c r="J60" s="280"/>
      <c r="K60" s="10"/>
      <c r="L60" s="10"/>
      <c r="M60" s="10"/>
      <c r="N60" s="10"/>
      <c r="O60" s="10"/>
      <c r="P60" s="10"/>
      <c r="Q60" s="10"/>
      <c r="R60" s="10"/>
      <c r="S60" s="10"/>
      <c r="T60" s="10"/>
      <c r="U60" s="10"/>
      <c r="V60" s="10"/>
      <c r="W60" s="10"/>
      <c r="X60" s="10"/>
      <c r="Y60" s="10"/>
      <c r="Z60" s="10"/>
      <c r="AA60" s="10"/>
      <c r="AB60" s="10"/>
      <c r="AC60" s="10"/>
      <c r="AD60" s="10"/>
      <c r="AE60" s="10"/>
      <c r="AF60" s="10"/>
      <c r="AG60" s="10"/>
      <c r="AH60" s="10"/>
    </row>
    <row r="61" spans="1:34" x14ac:dyDescent="0.25">
      <c r="A61" s="19"/>
      <c r="B61" s="19"/>
      <c r="C61" s="20"/>
      <c r="D61" s="279"/>
      <c r="E61" s="280"/>
      <c r="F61" s="280"/>
      <c r="G61" s="280"/>
      <c r="H61" s="280"/>
      <c r="I61" s="280"/>
      <c r="J61" s="280"/>
      <c r="K61" s="10"/>
      <c r="L61" s="10"/>
      <c r="M61" s="10"/>
      <c r="N61" s="10"/>
      <c r="O61" s="10"/>
      <c r="P61" s="10"/>
      <c r="Q61" s="10"/>
      <c r="R61" s="10"/>
      <c r="S61" s="10"/>
      <c r="T61" s="10"/>
      <c r="U61" s="10"/>
      <c r="V61" s="10"/>
      <c r="W61" s="10"/>
      <c r="X61" s="10"/>
      <c r="Y61" s="10"/>
      <c r="Z61" s="10"/>
      <c r="AA61" s="10"/>
      <c r="AB61" s="10"/>
      <c r="AC61" s="10"/>
      <c r="AD61" s="10"/>
      <c r="AE61" s="10"/>
      <c r="AF61" s="10"/>
      <c r="AG61" s="10"/>
      <c r="AH61" s="10"/>
    </row>
    <row r="62" spans="1:34" x14ac:dyDescent="0.25">
      <c r="A62" s="19"/>
      <c r="B62" s="19"/>
      <c r="C62" s="20"/>
      <c r="D62" s="279"/>
      <c r="E62" s="280"/>
      <c r="F62" s="280"/>
      <c r="G62" s="280"/>
      <c r="H62" s="280"/>
      <c r="I62" s="280"/>
      <c r="J62" s="280"/>
      <c r="K62" s="10"/>
      <c r="L62" s="10"/>
      <c r="M62" s="10"/>
      <c r="N62" s="10"/>
      <c r="O62" s="10"/>
      <c r="P62" s="10"/>
      <c r="Q62" s="10"/>
      <c r="R62" s="10"/>
      <c r="S62" s="10"/>
      <c r="T62" s="10"/>
      <c r="U62" s="10"/>
      <c r="V62" s="10"/>
      <c r="W62" s="10"/>
      <c r="X62" s="10"/>
      <c r="Y62" s="10"/>
      <c r="Z62" s="10"/>
      <c r="AA62" s="10"/>
      <c r="AB62" s="10"/>
      <c r="AC62" s="10"/>
      <c r="AD62" s="10"/>
      <c r="AE62" s="10"/>
      <c r="AF62" s="10"/>
      <c r="AG62" s="10"/>
      <c r="AH62" s="10"/>
    </row>
    <row r="63" spans="1:34" x14ac:dyDescent="0.25">
      <c r="A63" s="19"/>
      <c r="B63" s="19"/>
      <c r="C63" s="20"/>
      <c r="D63" s="279"/>
      <c r="E63" s="280"/>
      <c r="F63" s="280"/>
      <c r="G63" s="280"/>
      <c r="H63" s="280"/>
      <c r="I63" s="280"/>
      <c r="J63" s="280"/>
      <c r="K63" s="10"/>
    </row>
    <row r="64" spans="1:34" x14ac:dyDescent="0.25">
      <c r="A64" s="19"/>
      <c r="B64" s="19"/>
      <c r="C64" s="20"/>
      <c r="D64" s="279"/>
      <c r="E64" s="280"/>
      <c r="F64" s="280"/>
      <c r="G64" s="280"/>
      <c r="H64" s="280"/>
      <c r="I64" s="280"/>
      <c r="J64" s="280"/>
      <c r="K64" s="10"/>
    </row>
    <row r="65" spans="1:11" x14ac:dyDescent="0.25">
      <c r="A65" s="19"/>
      <c r="B65" s="19"/>
      <c r="C65" s="20"/>
      <c r="D65" s="279"/>
      <c r="E65" s="280"/>
      <c r="F65" s="280"/>
      <c r="G65" s="280"/>
      <c r="H65" s="280"/>
      <c r="I65" s="280"/>
      <c r="J65" s="280"/>
      <c r="K65" s="10"/>
    </row>
    <row r="66" spans="1:11" x14ac:dyDescent="0.25">
      <c r="A66" s="19"/>
      <c r="B66" s="19"/>
      <c r="C66" s="20"/>
      <c r="D66" s="279"/>
      <c r="E66" s="280"/>
      <c r="F66" s="280"/>
      <c r="G66" s="280"/>
      <c r="H66" s="280"/>
      <c r="I66" s="280"/>
      <c r="J66" s="280"/>
      <c r="K66" s="10"/>
    </row>
    <row r="67" spans="1:11" x14ac:dyDescent="0.25">
      <c r="A67" s="19"/>
      <c r="B67" s="19"/>
      <c r="C67" s="20"/>
      <c r="D67" s="279"/>
      <c r="E67" s="280"/>
      <c r="F67" s="280"/>
      <c r="G67" s="280"/>
      <c r="H67" s="280"/>
      <c r="I67" s="280"/>
      <c r="J67" s="280"/>
      <c r="K67" s="10"/>
    </row>
    <row r="68" spans="1:11" x14ac:dyDescent="0.25">
      <c r="A68" s="19"/>
      <c r="B68" s="19"/>
      <c r="C68" s="20"/>
      <c r="D68" s="279"/>
      <c r="E68" s="280"/>
      <c r="F68" s="280"/>
      <c r="G68" s="280"/>
      <c r="H68" s="280"/>
      <c r="I68" s="280"/>
      <c r="J68" s="280"/>
      <c r="K68" s="10"/>
    </row>
    <row r="69" spans="1:11" x14ac:dyDescent="0.25">
      <c r="A69" s="19"/>
      <c r="B69" s="19"/>
      <c r="C69" s="20"/>
      <c r="D69" s="279"/>
      <c r="E69" s="280"/>
      <c r="F69" s="280"/>
      <c r="G69" s="280"/>
      <c r="H69" s="280"/>
      <c r="I69" s="280"/>
      <c r="J69" s="280"/>
      <c r="K69" s="10"/>
    </row>
    <row r="70" spans="1:11" x14ac:dyDescent="0.25">
      <c r="A70" s="19"/>
      <c r="B70" s="19"/>
      <c r="C70" s="20"/>
      <c r="D70" s="279"/>
      <c r="E70" s="280"/>
      <c r="F70" s="280"/>
      <c r="G70" s="280"/>
      <c r="H70" s="280"/>
      <c r="I70" s="280"/>
      <c r="J70" s="280"/>
      <c r="K70" s="10"/>
    </row>
    <row r="71" spans="1:11" x14ac:dyDescent="0.25">
      <c r="A71" s="19"/>
      <c r="B71" s="19"/>
      <c r="C71" s="20"/>
      <c r="D71" s="279"/>
      <c r="E71" s="280"/>
      <c r="F71" s="280"/>
      <c r="G71" s="280"/>
      <c r="H71" s="280"/>
      <c r="I71" s="280"/>
      <c r="J71" s="280"/>
      <c r="K71" s="10"/>
    </row>
    <row r="72" spans="1:11" x14ac:dyDescent="0.25">
      <c r="A72" s="19"/>
      <c r="B72" s="19"/>
      <c r="C72" s="20"/>
      <c r="D72" s="279"/>
      <c r="E72" s="280"/>
      <c r="F72" s="280"/>
      <c r="G72" s="280"/>
      <c r="H72" s="280"/>
      <c r="I72" s="280"/>
      <c r="J72" s="280"/>
      <c r="K72" s="10"/>
    </row>
    <row r="73" spans="1:11" x14ac:dyDescent="0.25">
      <c r="A73" s="19"/>
      <c r="B73" s="19"/>
      <c r="C73" s="20"/>
      <c r="D73" s="279"/>
      <c r="E73" s="280"/>
      <c r="F73" s="280"/>
      <c r="G73" s="280"/>
      <c r="H73" s="280"/>
      <c r="I73" s="280"/>
      <c r="J73" s="280"/>
      <c r="K73" s="10"/>
    </row>
    <row r="74" spans="1:11" x14ac:dyDescent="0.25">
      <c r="A74" s="19"/>
      <c r="B74" s="19"/>
      <c r="C74" s="20"/>
      <c r="D74" s="279"/>
      <c r="E74" s="280"/>
      <c r="F74" s="280"/>
      <c r="G74" s="280"/>
      <c r="H74" s="280"/>
      <c r="I74" s="280"/>
      <c r="J74" s="280"/>
      <c r="K74" s="10"/>
    </row>
    <row r="75" spans="1:11" x14ac:dyDescent="0.25">
      <c r="A75" s="19"/>
      <c r="B75" s="19"/>
      <c r="C75" s="20"/>
      <c r="D75" s="279"/>
      <c r="E75" s="280"/>
      <c r="F75" s="280"/>
      <c r="G75" s="280"/>
      <c r="H75" s="280"/>
      <c r="I75" s="280"/>
      <c r="J75" s="280"/>
      <c r="K75" s="10"/>
    </row>
    <row r="76" spans="1:11" x14ac:dyDescent="0.25">
      <c r="A76" s="19"/>
      <c r="B76" s="19"/>
      <c r="C76" s="20"/>
      <c r="D76" s="279"/>
      <c r="E76" s="280"/>
      <c r="F76" s="280"/>
      <c r="G76" s="280"/>
      <c r="H76" s="280"/>
      <c r="I76" s="280"/>
      <c r="J76" s="280"/>
      <c r="K76" s="10"/>
    </row>
    <row r="77" spans="1:11" x14ac:dyDescent="0.25">
      <c r="A77" s="19"/>
      <c r="B77" s="19"/>
      <c r="C77" s="20"/>
      <c r="D77" s="279"/>
      <c r="E77" s="280"/>
      <c r="F77" s="280"/>
      <c r="G77" s="280"/>
      <c r="H77" s="280"/>
      <c r="I77" s="280"/>
      <c r="J77" s="280"/>
      <c r="K77" s="10"/>
    </row>
    <row r="78" spans="1:11" x14ac:dyDescent="0.25">
      <c r="A78" s="19"/>
      <c r="B78" s="19"/>
      <c r="C78" s="20"/>
      <c r="D78" s="279"/>
      <c r="E78" s="280"/>
      <c r="F78" s="280"/>
      <c r="G78" s="280"/>
      <c r="H78" s="280"/>
      <c r="I78" s="280"/>
      <c r="J78" s="280"/>
      <c r="K78" s="10"/>
    </row>
    <row r="79" spans="1:11" x14ac:dyDescent="0.25">
      <c r="A79" s="19"/>
      <c r="B79" s="19"/>
      <c r="C79" s="20"/>
      <c r="D79" s="279"/>
      <c r="E79" s="280"/>
      <c r="F79" s="280"/>
      <c r="G79" s="280"/>
      <c r="H79" s="280"/>
      <c r="I79" s="280"/>
      <c r="J79" s="280"/>
      <c r="K79" s="10"/>
    </row>
    <row r="80" spans="1:11" x14ac:dyDescent="0.25">
      <c r="A80" s="19"/>
      <c r="B80" s="19"/>
      <c r="C80" s="20"/>
      <c r="D80" s="279"/>
      <c r="E80" s="280"/>
      <c r="F80" s="280"/>
      <c r="G80" s="280"/>
      <c r="H80" s="280"/>
      <c r="I80" s="280"/>
      <c r="J80" s="280"/>
      <c r="K80" s="10"/>
    </row>
    <row r="81" spans="1:11" x14ac:dyDescent="0.25">
      <c r="A81" s="19"/>
      <c r="B81" s="19"/>
      <c r="C81" s="20"/>
      <c r="D81" s="279"/>
      <c r="E81" s="280"/>
      <c r="F81" s="280"/>
      <c r="G81" s="280"/>
      <c r="H81" s="280"/>
      <c r="I81" s="280"/>
      <c r="J81" s="280"/>
      <c r="K81" s="10"/>
    </row>
    <row r="82" spans="1:11" x14ac:dyDescent="0.25">
      <c r="A82" s="19"/>
      <c r="B82" s="19"/>
      <c r="C82" s="20"/>
      <c r="D82" s="279"/>
      <c r="E82" s="280"/>
      <c r="F82" s="280"/>
      <c r="G82" s="280"/>
      <c r="H82" s="280"/>
      <c r="I82" s="280"/>
      <c r="J82" s="280"/>
      <c r="K82" s="10"/>
    </row>
    <row r="83" spans="1:11" x14ac:dyDescent="0.25">
      <c r="A83" s="19"/>
      <c r="B83" s="19"/>
      <c r="C83" s="20"/>
      <c r="D83" s="279"/>
      <c r="E83" s="280"/>
      <c r="F83" s="280"/>
      <c r="G83" s="280"/>
      <c r="H83" s="280"/>
      <c r="I83" s="280"/>
      <c r="J83" s="280"/>
      <c r="K83" s="10"/>
    </row>
    <row r="84" spans="1:11" x14ac:dyDescent="0.25">
      <c r="A84" s="19"/>
      <c r="B84" s="19"/>
      <c r="C84" s="20"/>
      <c r="D84" s="279"/>
      <c r="E84" s="280"/>
      <c r="F84" s="280"/>
      <c r="G84" s="280"/>
      <c r="H84" s="280"/>
      <c r="I84" s="280"/>
      <c r="J84" s="280"/>
      <c r="K84" s="10"/>
    </row>
    <row r="85" spans="1:11" x14ac:dyDescent="0.25">
      <c r="A85" s="19"/>
      <c r="B85" s="19"/>
      <c r="C85" s="20"/>
      <c r="D85" s="279"/>
      <c r="E85" s="280"/>
      <c r="F85" s="280"/>
      <c r="G85" s="280"/>
      <c r="H85" s="280"/>
      <c r="I85" s="280"/>
      <c r="J85" s="280"/>
      <c r="K85" s="10"/>
    </row>
    <row r="86" spans="1:11" x14ac:dyDescent="0.25">
      <c r="A86" s="19"/>
      <c r="B86" s="19"/>
      <c r="C86" s="20"/>
      <c r="D86" s="279"/>
      <c r="E86" s="280"/>
      <c r="F86" s="280"/>
      <c r="G86" s="280"/>
      <c r="H86" s="280"/>
      <c r="I86" s="280"/>
      <c r="J86" s="280"/>
      <c r="K86" s="10"/>
    </row>
    <row r="87" spans="1:11" x14ac:dyDescent="0.25">
      <c r="A87" s="19"/>
      <c r="B87" s="19"/>
      <c r="C87" s="20"/>
      <c r="D87" s="279"/>
      <c r="E87" s="280"/>
      <c r="F87" s="280"/>
      <c r="G87" s="280"/>
      <c r="H87" s="280"/>
      <c r="I87" s="280"/>
      <c r="J87" s="280"/>
      <c r="K87" s="10"/>
    </row>
    <row r="88" spans="1:11" x14ac:dyDescent="0.25">
      <c r="A88" s="19"/>
      <c r="B88" s="19"/>
      <c r="C88" s="20"/>
      <c r="D88" s="279"/>
      <c r="E88" s="280"/>
      <c r="F88" s="280"/>
      <c r="G88" s="280"/>
      <c r="H88" s="280"/>
      <c r="I88" s="280"/>
      <c r="J88" s="280"/>
      <c r="K88" s="10"/>
    </row>
    <row r="89" spans="1:11" x14ac:dyDescent="0.25">
      <c r="A89" s="19"/>
      <c r="B89" s="19"/>
      <c r="C89" s="20"/>
      <c r="D89" s="279"/>
      <c r="E89" s="280"/>
      <c r="F89" s="280"/>
      <c r="G89" s="280"/>
      <c r="H89" s="280"/>
      <c r="I89" s="280"/>
      <c r="J89" s="280"/>
      <c r="K89" s="10"/>
    </row>
    <row r="90" spans="1:11" x14ac:dyDescent="0.25">
      <c r="A90" s="19"/>
      <c r="B90" s="19"/>
      <c r="C90" s="20"/>
      <c r="D90" s="279"/>
      <c r="E90" s="280"/>
      <c r="F90" s="280"/>
      <c r="G90" s="280"/>
      <c r="H90" s="280"/>
      <c r="I90" s="280"/>
      <c r="J90" s="280"/>
      <c r="K90" s="10"/>
    </row>
    <row r="91" spans="1:11" x14ac:dyDescent="0.25">
      <c r="A91" s="19"/>
      <c r="B91" s="19"/>
      <c r="C91" s="20"/>
      <c r="D91" s="279"/>
      <c r="E91" s="280"/>
      <c r="F91" s="280"/>
      <c r="G91" s="280"/>
      <c r="H91" s="280"/>
      <c r="I91" s="280"/>
      <c r="J91" s="280"/>
      <c r="K91" s="10"/>
    </row>
    <row r="92" spans="1:11" x14ac:dyDescent="0.25">
      <c r="A92" s="19"/>
      <c r="B92" s="19"/>
      <c r="C92" s="20"/>
      <c r="D92" s="279"/>
      <c r="E92" s="280"/>
      <c r="F92" s="280"/>
      <c r="G92" s="280"/>
      <c r="H92" s="280"/>
      <c r="I92" s="280"/>
      <c r="J92" s="280"/>
      <c r="K92" s="10"/>
    </row>
    <row r="93" spans="1:11" x14ac:dyDescent="0.25">
      <c r="A93" s="19"/>
      <c r="B93" s="19"/>
      <c r="C93" s="20"/>
      <c r="D93" s="279"/>
      <c r="E93" s="280"/>
      <c r="F93" s="280"/>
      <c r="G93" s="280"/>
      <c r="H93" s="280"/>
      <c r="I93" s="280"/>
      <c r="J93" s="280"/>
      <c r="K93" s="10"/>
    </row>
    <row r="94" spans="1:11" x14ac:dyDescent="0.25">
      <c r="A94" s="19"/>
      <c r="B94" s="19"/>
      <c r="C94" s="20"/>
      <c r="D94" s="279"/>
      <c r="E94" s="280"/>
      <c r="F94" s="280"/>
      <c r="G94" s="280"/>
      <c r="H94" s="280"/>
      <c r="I94" s="280"/>
      <c r="J94" s="280"/>
      <c r="K94" s="10"/>
    </row>
    <row r="95" spans="1:11" x14ac:dyDescent="0.25">
      <c r="A95" s="19"/>
      <c r="B95" s="19"/>
      <c r="C95" s="20"/>
      <c r="D95" s="279"/>
      <c r="E95" s="280"/>
      <c r="F95" s="280"/>
      <c r="G95" s="280"/>
      <c r="H95" s="280"/>
      <c r="I95" s="280"/>
      <c r="J95" s="280"/>
      <c r="K95" s="10"/>
    </row>
    <row r="96" spans="1:11" x14ac:dyDescent="0.25">
      <c r="A96" s="19"/>
      <c r="B96" s="19"/>
      <c r="C96" s="20"/>
      <c r="D96" s="279"/>
      <c r="E96" s="280"/>
      <c r="F96" s="280"/>
      <c r="G96" s="280"/>
      <c r="H96" s="280"/>
      <c r="I96" s="280"/>
      <c r="J96" s="280"/>
      <c r="K96" s="10"/>
    </row>
    <row r="97" spans="1:11" x14ac:dyDescent="0.25">
      <c r="A97" s="19"/>
      <c r="B97" s="19"/>
      <c r="C97" s="20"/>
      <c r="D97" s="279"/>
      <c r="E97" s="280"/>
      <c r="F97" s="280"/>
      <c r="G97" s="280"/>
      <c r="H97" s="280"/>
      <c r="I97" s="280"/>
      <c r="J97" s="280"/>
      <c r="K97" s="10"/>
    </row>
    <row r="98" spans="1:11" x14ac:dyDescent="0.25">
      <c r="A98" s="19"/>
      <c r="B98" s="19"/>
      <c r="C98" s="20"/>
      <c r="D98" s="279"/>
      <c r="E98" s="280"/>
      <c r="F98" s="280"/>
      <c r="G98" s="280"/>
      <c r="H98" s="280"/>
      <c r="I98" s="280"/>
      <c r="J98" s="280"/>
      <c r="K98" s="10"/>
    </row>
    <row r="99" spans="1:11" x14ac:dyDescent="0.25">
      <c r="A99" s="19"/>
      <c r="B99" s="19"/>
      <c r="C99" s="20"/>
      <c r="D99" s="279"/>
      <c r="E99" s="280"/>
      <c r="F99" s="280"/>
      <c r="G99" s="280"/>
      <c r="H99" s="280"/>
      <c r="I99" s="280"/>
      <c r="J99" s="280"/>
      <c r="K99" s="10"/>
    </row>
    <row r="100" spans="1:11" x14ac:dyDescent="0.25">
      <c r="A100" s="19"/>
      <c r="B100" s="19"/>
      <c r="C100" s="20"/>
      <c r="D100" s="279"/>
      <c r="E100" s="280"/>
      <c r="F100" s="280"/>
      <c r="G100" s="280"/>
      <c r="H100" s="280"/>
      <c r="I100" s="280"/>
      <c r="J100" s="280"/>
      <c r="K100" s="10"/>
    </row>
    <row r="101" spans="1:11" x14ac:dyDescent="0.25">
      <c r="A101" s="19"/>
      <c r="B101" s="19"/>
      <c r="C101" s="20"/>
      <c r="D101" s="279"/>
      <c r="E101" s="280"/>
      <c r="F101" s="280"/>
      <c r="G101" s="280"/>
      <c r="H101" s="280"/>
      <c r="I101" s="280"/>
      <c r="J101" s="280"/>
      <c r="K101" s="10"/>
    </row>
    <row r="102" spans="1:11" x14ac:dyDescent="0.25">
      <c r="A102" s="19"/>
      <c r="B102" s="19"/>
      <c r="C102" s="20"/>
      <c r="D102" s="279"/>
      <c r="E102" s="280"/>
      <c r="F102" s="280"/>
      <c r="G102" s="280"/>
      <c r="H102" s="280"/>
      <c r="I102" s="280"/>
      <c r="J102" s="280"/>
      <c r="K102" s="10"/>
    </row>
    <row r="103" spans="1:11" x14ac:dyDescent="0.25">
      <c r="A103" s="19"/>
      <c r="B103" s="19"/>
      <c r="C103" s="20"/>
      <c r="D103" s="279"/>
      <c r="E103" s="280"/>
      <c r="F103" s="280"/>
      <c r="G103" s="280"/>
      <c r="H103" s="280"/>
      <c r="I103" s="280"/>
      <c r="J103" s="280"/>
      <c r="K103" s="10"/>
    </row>
    <row r="104" spans="1:11" x14ac:dyDescent="0.25">
      <c r="A104" s="19"/>
      <c r="B104" s="19"/>
      <c r="C104" s="20"/>
      <c r="D104" s="279"/>
      <c r="E104" s="280"/>
      <c r="F104" s="280"/>
      <c r="G104" s="280"/>
      <c r="H104" s="280"/>
      <c r="I104" s="280"/>
      <c r="J104" s="280"/>
      <c r="K104" s="10"/>
    </row>
    <row r="105" spans="1:11" x14ac:dyDescent="0.25">
      <c r="A105" s="19"/>
      <c r="B105" s="19"/>
      <c r="C105" s="20"/>
      <c r="D105" s="279"/>
      <c r="E105" s="280"/>
      <c r="F105" s="280"/>
      <c r="G105" s="280"/>
      <c r="H105" s="280"/>
      <c r="I105" s="280"/>
      <c r="J105" s="280"/>
      <c r="K105" s="10"/>
    </row>
    <row r="106" spans="1:11" x14ac:dyDescent="0.25">
      <c r="A106" s="19"/>
      <c r="B106" s="19"/>
      <c r="C106" s="20"/>
      <c r="D106" s="279"/>
      <c r="E106" s="280"/>
      <c r="F106" s="280"/>
      <c r="G106" s="280"/>
      <c r="H106" s="280"/>
      <c r="I106" s="280"/>
      <c r="J106" s="280"/>
      <c r="K106" s="10"/>
    </row>
    <row r="107" spans="1:11" x14ac:dyDescent="0.25">
      <c r="A107" s="19"/>
      <c r="B107" s="19"/>
      <c r="C107" s="20"/>
      <c r="D107" s="21"/>
      <c r="K107" s="10"/>
    </row>
    <row r="108" spans="1:11" x14ac:dyDescent="0.25">
      <c r="A108" s="19"/>
      <c r="B108" s="19"/>
      <c r="C108" s="20"/>
      <c r="D108" s="21"/>
      <c r="K108" s="10"/>
    </row>
    <row r="109" spans="1:11" x14ac:dyDescent="0.25">
      <c r="A109" s="19"/>
      <c r="B109" s="19"/>
      <c r="C109" s="20"/>
      <c r="D109" s="21"/>
      <c r="K109" s="10"/>
    </row>
    <row r="110" spans="1:11" x14ac:dyDescent="0.25">
      <c r="A110" s="19"/>
      <c r="B110" s="19"/>
      <c r="C110" s="20"/>
      <c r="D110" s="21"/>
      <c r="K110" s="10"/>
    </row>
    <row r="111" spans="1:11" x14ac:dyDescent="0.25">
      <c r="A111" s="19"/>
      <c r="B111" s="19"/>
      <c r="C111" s="20"/>
      <c r="D111" s="21"/>
      <c r="K111" s="10"/>
    </row>
    <row r="112" spans="1:11" x14ac:dyDescent="0.25">
      <c r="A112" s="19"/>
      <c r="B112" s="19"/>
      <c r="C112" s="20"/>
      <c r="D112" s="21"/>
      <c r="K112" s="10"/>
    </row>
    <row r="113" spans="1:11" x14ac:dyDescent="0.25">
      <c r="A113" s="19"/>
      <c r="B113" s="19"/>
      <c r="C113" s="20"/>
      <c r="D113" s="21"/>
      <c r="K113" s="10"/>
    </row>
    <row r="114" spans="1:11" x14ac:dyDescent="0.25">
      <c r="A114" s="19"/>
      <c r="B114" s="19"/>
      <c r="C114" s="20"/>
      <c r="D114" s="21"/>
      <c r="K114" s="10"/>
    </row>
    <row r="115" spans="1:11" x14ac:dyDescent="0.25">
      <c r="A115" s="19"/>
      <c r="B115" s="19"/>
      <c r="C115" s="20"/>
      <c r="D115" s="21"/>
      <c r="K115" s="10"/>
    </row>
    <row r="116" spans="1:11" x14ac:dyDescent="0.25">
      <c r="A116" s="19"/>
      <c r="B116" s="19"/>
      <c r="C116" s="20"/>
      <c r="D116" s="21"/>
      <c r="K116" s="10"/>
    </row>
    <row r="117" spans="1:11" x14ac:dyDescent="0.25">
      <c r="A117" s="19"/>
      <c r="B117" s="19"/>
      <c r="C117" s="20"/>
      <c r="D117" s="21"/>
      <c r="K117" s="10"/>
    </row>
    <row r="118" spans="1:11" x14ac:dyDescent="0.25">
      <c r="A118" s="19"/>
      <c r="B118" s="19"/>
      <c r="C118" s="20"/>
      <c r="D118" s="21"/>
      <c r="K118" s="10"/>
    </row>
    <row r="119" spans="1:11" x14ac:dyDescent="0.25">
      <c r="A119" s="19"/>
      <c r="B119" s="19"/>
      <c r="C119" s="20"/>
      <c r="D119" s="21"/>
      <c r="K119" s="10"/>
    </row>
    <row r="120" spans="1:11" x14ac:dyDescent="0.25">
      <c r="A120" s="19"/>
      <c r="B120" s="19"/>
      <c r="C120" s="20"/>
      <c r="D120" s="21"/>
      <c r="K120" s="10"/>
    </row>
    <row r="121" spans="1:11" x14ac:dyDescent="0.25">
      <c r="A121" s="19"/>
      <c r="B121" s="19"/>
      <c r="C121" s="20"/>
      <c r="D121" s="21"/>
      <c r="K121" s="10"/>
    </row>
    <row r="122" spans="1:11" x14ac:dyDescent="0.25">
      <c r="A122" s="19"/>
      <c r="B122" s="19"/>
      <c r="C122" s="20"/>
      <c r="D122" s="21"/>
      <c r="K122" s="10"/>
    </row>
    <row r="123" spans="1:11" x14ac:dyDescent="0.25">
      <c r="A123" s="19"/>
      <c r="B123" s="19"/>
      <c r="C123" s="20"/>
      <c r="D123" s="21"/>
      <c r="K123" s="10"/>
    </row>
    <row r="124" spans="1:11" x14ac:dyDescent="0.25">
      <c r="A124" s="19"/>
      <c r="B124" s="19"/>
      <c r="C124" s="20"/>
      <c r="D124" s="21"/>
      <c r="K124" s="10"/>
    </row>
    <row r="125" spans="1:11" x14ac:dyDescent="0.25">
      <c r="A125" s="19"/>
      <c r="B125" s="19"/>
      <c r="C125" s="20"/>
      <c r="D125" s="21"/>
      <c r="K125" s="10"/>
    </row>
    <row r="126" spans="1:11" x14ac:dyDescent="0.25">
      <c r="A126" s="19"/>
      <c r="B126" s="19"/>
      <c r="C126" s="20"/>
      <c r="D126" s="21"/>
      <c r="K126" s="10"/>
    </row>
    <row r="127" spans="1:11" x14ac:dyDescent="0.25">
      <c r="A127" s="19"/>
      <c r="B127" s="19"/>
      <c r="C127" s="20"/>
      <c r="D127" s="21"/>
      <c r="K127" s="10"/>
    </row>
    <row r="128" spans="1:11" x14ac:dyDescent="0.25">
      <c r="A128" s="19"/>
      <c r="B128" s="19"/>
      <c r="C128" s="20"/>
      <c r="D128" s="21"/>
      <c r="K128" s="10"/>
    </row>
    <row r="129" spans="1:11" x14ac:dyDescent="0.25">
      <c r="A129" s="19"/>
      <c r="B129" s="19"/>
      <c r="C129" s="20"/>
      <c r="D129" s="21"/>
      <c r="K129" s="10"/>
    </row>
    <row r="130" spans="1:11" x14ac:dyDescent="0.25">
      <c r="A130" s="19"/>
      <c r="B130" s="19"/>
      <c r="C130" s="20"/>
      <c r="D130" s="21"/>
      <c r="K130" s="10"/>
    </row>
    <row r="131" spans="1:11" x14ac:dyDescent="0.25">
      <c r="A131" s="19"/>
      <c r="B131" s="19"/>
      <c r="C131" s="20"/>
      <c r="D131" s="21"/>
      <c r="K131" s="10"/>
    </row>
    <row r="132" spans="1:11" x14ac:dyDescent="0.25">
      <c r="A132" s="19"/>
      <c r="B132" s="19"/>
      <c r="C132" s="20"/>
      <c r="D132" s="21"/>
      <c r="K132" s="10"/>
    </row>
    <row r="133" spans="1:11" x14ac:dyDescent="0.25">
      <c r="A133" s="19"/>
      <c r="B133" s="19"/>
      <c r="C133" s="20"/>
      <c r="D133" s="21"/>
      <c r="K133" s="10"/>
    </row>
    <row r="134" spans="1:11" x14ac:dyDescent="0.25">
      <c r="A134" s="19"/>
      <c r="B134" s="19"/>
      <c r="C134" s="20"/>
      <c r="D134" s="21"/>
      <c r="K134" s="10"/>
    </row>
    <row r="135" spans="1:11" x14ac:dyDescent="0.25">
      <c r="A135" s="19"/>
      <c r="B135" s="19"/>
      <c r="C135" s="20"/>
      <c r="D135" s="21"/>
      <c r="K135" s="10"/>
    </row>
    <row r="136" spans="1:11" x14ac:dyDescent="0.25">
      <c r="A136" s="19"/>
      <c r="B136" s="19"/>
      <c r="C136" s="20"/>
      <c r="D136" s="21"/>
      <c r="K136" s="10"/>
    </row>
    <row r="137" spans="1:11" x14ac:dyDescent="0.25">
      <c r="A137" s="19"/>
      <c r="B137" s="19"/>
      <c r="C137" s="20"/>
      <c r="D137" s="21"/>
      <c r="K137" s="10"/>
    </row>
    <row r="138" spans="1:11" x14ac:dyDescent="0.25">
      <c r="A138" s="19"/>
      <c r="B138" s="19"/>
      <c r="C138" s="20"/>
      <c r="D138" s="21"/>
      <c r="K138" s="10"/>
    </row>
    <row r="139" spans="1:11" x14ac:dyDescent="0.25">
      <c r="A139" s="19"/>
      <c r="B139" s="19"/>
      <c r="C139" s="20"/>
      <c r="D139" s="21"/>
      <c r="K139" s="10"/>
    </row>
    <row r="140" spans="1:11" x14ac:dyDescent="0.25">
      <c r="A140" s="19"/>
      <c r="B140" s="19"/>
      <c r="C140" s="20"/>
      <c r="D140" s="21"/>
      <c r="K140" s="10"/>
    </row>
    <row r="141" spans="1:11" x14ac:dyDescent="0.25">
      <c r="A141" s="19"/>
      <c r="B141" s="19"/>
      <c r="C141" s="20"/>
      <c r="D141" s="21"/>
      <c r="K141" s="10"/>
    </row>
    <row r="142" spans="1:11" x14ac:dyDescent="0.25">
      <c r="A142" s="19"/>
      <c r="B142" s="19"/>
      <c r="C142" s="20"/>
      <c r="D142" s="21"/>
      <c r="K142" s="10"/>
    </row>
    <row r="143" spans="1:11" x14ac:dyDescent="0.25">
      <c r="A143" s="19"/>
      <c r="B143" s="19"/>
      <c r="C143" s="20"/>
      <c r="D143" s="21"/>
      <c r="K143" s="10"/>
    </row>
    <row r="144" spans="1:11" x14ac:dyDescent="0.25">
      <c r="A144" s="19"/>
      <c r="B144" s="19"/>
      <c r="C144" s="20"/>
      <c r="D144" s="21"/>
      <c r="K144" s="10"/>
    </row>
    <row r="145" spans="1:11" x14ac:dyDescent="0.25">
      <c r="A145" s="19"/>
      <c r="B145" s="19"/>
      <c r="C145" s="20"/>
      <c r="D145" s="21"/>
      <c r="K145" s="10"/>
    </row>
    <row r="146" spans="1:11" x14ac:dyDescent="0.25">
      <c r="A146" s="19"/>
      <c r="B146" s="19"/>
      <c r="C146" s="20"/>
      <c r="D146" s="21"/>
      <c r="K146" s="10"/>
    </row>
    <row r="147" spans="1:11" x14ac:dyDescent="0.25">
      <c r="A147" s="19"/>
      <c r="B147" s="19"/>
      <c r="C147" s="20"/>
      <c r="D147" s="21"/>
      <c r="K147" s="10"/>
    </row>
    <row r="148" spans="1:11" x14ac:dyDescent="0.25">
      <c r="A148" s="19"/>
      <c r="B148" s="19"/>
      <c r="C148" s="20"/>
      <c r="D148" s="21"/>
      <c r="K148" s="10"/>
    </row>
    <row r="149" spans="1:11" x14ac:dyDescent="0.25">
      <c r="A149" s="19"/>
      <c r="B149" s="19"/>
      <c r="C149" s="20"/>
      <c r="D149" s="21"/>
      <c r="K149" s="10"/>
    </row>
    <row r="150" spans="1:11" x14ac:dyDescent="0.25">
      <c r="A150" s="19"/>
      <c r="B150" s="19"/>
      <c r="C150" s="20"/>
      <c r="D150" s="21"/>
      <c r="K150" s="10"/>
    </row>
    <row r="151" spans="1:11" x14ac:dyDescent="0.25">
      <c r="A151" s="19"/>
      <c r="B151" s="19"/>
      <c r="C151" s="20"/>
      <c r="D151" s="21"/>
      <c r="K151" s="10"/>
    </row>
    <row r="152" spans="1:11" x14ac:dyDescent="0.25">
      <c r="A152" s="19"/>
      <c r="B152" s="19"/>
      <c r="C152" s="20"/>
      <c r="D152" s="21"/>
      <c r="K152" s="10"/>
    </row>
    <row r="153" spans="1:11" x14ac:dyDescent="0.25">
      <c r="A153" s="19"/>
      <c r="B153" s="19"/>
      <c r="C153" s="20"/>
      <c r="D153" s="21"/>
      <c r="K153" s="10"/>
    </row>
    <row r="154" spans="1:11" x14ac:dyDescent="0.25">
      <c r="A154" s="19"/>
      <c r="B154" s="19"/>
      <c r="C154" s="20"/>
      <c r="D154" s="21"/>
      <c r="K154" s="10"/>
    </row>
    <row r="155" spans="1:11" x14ac:dyDescent="0.25">
      <c r="A155" s="19"/>
      <c r="B155" s="19"/>
      <c r="C155" s="20"/>
      <c r="D155" s="21"/>
      <c r="K155" s="10"/>
    </row>
    <row r="156" spans="1:11" x14ac:dyDescent="0.25">
      <c r="A156" s="19"/>
      <c r="B156" s="19"/>
      <c r="C156" s="20"/>
      <c r="D156" s="21"/>
      <c r="K156" s="10"/>
    </row>
    <row r="157" spans="1:11" x14ac:dyDescent="0.25">
      <c r="A157" s="19"/>
      <c r="B157" s="19"/>
      <c r="C157" s="20"/>
      <c r="D157" s="21"/>
      <c r="K157" s="10"/>
    </row>
    <row r="158" spans="1:11" x14ac:dyDescent="0.25">
      <c r="A158" s="19"/>
      <c r="B158" s="19"/>
      <c r="C158" s="20"/>
      <c r="D158" s="21"/>
      <c r="K158" s="10"/>
    </row>
    <row r="159" spans="1:11" x14ac:dyDescent="0.25">
      <c r="A159" s="19"/>
      <c r="B159" s="19"/>
      <c r="C159" s="20"/>
      <c r="D159" s="21"/>
      <c r="K159" s="10"/>
    </row>
    <row r="160" spans="1:11" x14ac:dyDescent="0.25">
      <c r="A160" s="19"/>
      <c r="B160" s="19"/>
      <c r="C160" s="20"/>
      <c r="D160" s="21"/>
      <c r="K160" s="10"/>
    </row>
    <row r="161" spans="1:11" x14ac:dyDescent="0.25">
      <c r="A161" s="19"/>
      <c r="B161" s="19"/>
      <c r="C161" s="20"/>
      <c r="D161" s="21"/>
      <c r="K161" s="10"/>
    </row>
    <row r="162" spans="1:11" x14ac:dyDescent="0.25">
      <c r="A162" s="19"/>
      <c r="B162" s="19"/>
      <c r="C162" s="20"/>
      <c r="D162" s="21"/>
      <c r="K162" s="10"/>
    </row>
    <row r="163" spans="1:11" x14ac:dyDescent="0.25">
      <c r="A163" s="19"/>
      <c r="B163" s="19"/>
      <c r="C163" s="20"/>
      <c r="D163" s="21"/>
      <c r="K163" s="10"/>
    </row>
    <row r="164" spans="1:11" x14ac:dyDescent="0.25">
      <c r="A164" s="19"/>
      <c r="B164" s="19"/>
      <c r="C164" s="20"/>
      <c r="D164" s="21"/>
      <c r="K164" s="10"/>
    </row>
    <row r="165" spans="1:11" x14ac:dyDescent="0.25">
      <c r="A165" s="19"/>
      <c r="B165" s="19"/>
      <c r="C165" s="20"/>
      <c r="D165" s="21"/>
      <c r="K165" s="10"/>
    </row>
    <row r="166" spans="1:11" x14ac:dyDescent="0.25">
      <c r="A166" s="19"/>
      <c r="B166" s="19"/>
      <c r="C166" s="20"/>
      <c r="D166" s="21"/>
      <c r="K166" s="10"/>
    </row>
    <row r="167" spans="1:11" x14ac:dyDescent="0.25">
      <c r="A167" s="19"/>
      <c r="B167" s="19"/>
      <c r="C167" s="20"/>
      <c r="D167" s="21"/>
      <c r="K167" s="10"/>
    </row>
    <row r="168" spans="1:11" x14ac:dyDescent="0.25">
      <c r="A168" s="19"/>
      <c r="B168" s="19"/>
      <c r="C168" s="20"/>
      <c r="D168" s="21"/>
      <c r="K168" s="10"/>
    </row>
    <row r="169" spans="1:11" x14ac:dyDescent="0.25">
      <c r="A169" s="19"/>
      <c r="B169" s="19"/>
      <c r="C169" s="20"/>
      <c r="D169" s="21"/>
      <c r="K169" s="10"/>
    </row>
    <row r="170" spans="1:11" x14ac:dyDescent="0.25">
      <c r="A170" s="19"/>
      <c r="B170" s="19"/>
      <c r="C170" s="20"/>
      <c r="D170" s="21"/>
      <c r="K170" s="10"/>
    </row>
    <row r="171" spans="1:11" x14ac:dyDescent="0.25">
      <c r="A171" s="19"/>
      <c r="B171" s="19"/>
      <c r="C171" s="20"/>
      <c r="D171" s="21"/>
      <c r="K171" s="10"/>
    </row>
    <row r="172" spans="1:11" x14ac:dyDescent="0.25">
      <c r="A172" s="19"/>
      <c r="B172" s="19"/>
      <c r="C172" s="20"/>
      <c r="D172" s="21"/>
      <c r="K172" s="10"/>
    </row>
    <row r="173" spans="1:11" x14ac:dyDescent="0.25">
      <c r="A173" s="19"/>
      <c r="B173" s="19"/>
      <c r="C173" s="20"/>
      <c r="D173" s="21"/>
      <c r="K173" s="10"/>
    </row>
    <row r="174" spans="1:11" x14ac:dyDescent="0.25">
      <c r="A174" s="19"/>
      <c r="B174" s="19"/>
      <c r="C174" s="20"/>
      <c r="D174" s="21"/>
      <c r="K174" s="10"/>
    </row>
    <row r="175" spans="1:11" x14ac:dyDescent="0.25">
      <c r="A175" s="19"/>
      <c r="B175" s="19"/>
      <c r="C175" s="20"/>
      <c r="D175" s="21"/>
      <c r="K175" s="10"/>
    </row>
    <row r="176" spans="1:11" x14ac:dyDescent="0.25">
      <c r="A176" s="19"/>
      <c r="B176" s="19"/>
      <c r="C176" s="20"/>
      <c r="D176" s="21"/>
      <c r="K176" s="10"/>
    </row>
    <row r="177" spans="1:11" x14ac:dyDescent="0.25">
      <c r="A177" s="19"/>
      <c r="B177" s="19"/>
      <c r="C177" s="20"/>
      <c r="D177" s="21"/>
      <c r="K177" s="10"/>
    </row>
    <row r="178" spans="1:11" x14ac:dyDescent="0.25">
      <c r="A178" s="19"/>
      <c r="B178" s="19"/>
      <c r="C178" s="20"/>
      <c r="D178" s="21"/>
      <c r="K178" s="10"/>
    </row>
    <row r="179" spans="1:11" x14ac:dyDescent="0.25">
      <c r="A179" s="19"/>
      <c r="B179" s="19"/>
      <c r="C179" s="20"/>
      <c r="D179" s="21"/>
      <c r="K179" s="10"/>
    </row>
    <row r="180" spans="1:11" x14ac:dyDescent="0.25">
      <c r="A180" s="19"/>
      <c r="B180" s="19"/>
      <c r="C180" s="20"/>
      <c r="D180" s="21"/>
      <c r="K180" s="10"/>
    </row>
    <row r="181" spans="1:11" x14ac:dyDescent="0.25">
      <c r="A181" s="19"/>
      <c r="B181" s="19"/>
      <c r="C181" s="20"/>
      <c r="D181" s="21"/>
      <c r="K181" s="10"/>
    </row>
    <row r="182" spans="1:11" x14ac:dyDescent="0.25">
      <c r="A182" s="19"/>
      <c r="B182" s="19"/>
      <c r="C182" s="20"/>
      <c r="D182" s="21"/>
      <c r="K182" s="10"/>
    </row>
    <row r="183" spans="1:11" x14ac:dyDescent="0.25">
      <c r="A183" s="19"/>
      <c r="B183" s="19"/>
      <c r="C183" s="20"/>
      <c r="D183" s="21"/>
      <c r="K183" s="10"/>
    </row>
    <row r="184" spans="1:11" x14ac:dyDescent="0.25">
      <c r="A184" s="19"/>
      <c r="B184" s="19"/>
      <c r="C184" s="20"/>
      <c r="D184" s="21"/>
      <c r="K184" s="10"/>
    </row>
    <row r="185" spans="1:11" x14ac:dyDescent="0.25">
      <c r="A185" s="19"/>
      <c r="B185" s="19"/>
      <c r="C185" s="20"/>
      <c r="D185" s="21"/>
      <c r="K185" s="10"/>
    </row>
    <row r="186" spans="1:11" x14ac:dyDescent="0.25">
      <c r="A186" s="19"/>
      <c r="B186" s="19"/>
      <c r="C186" s="20"/>
      <c r="D186" s="21"/>
      <c r="K186" s="10"/>
    </row>
    <row r="187" spans="1:11" x14ac:dyDescent="0.25">
      <c r="A187" s="19"/>
      <c r="B187" s="19"/>
      <c r="C187" s="20"/>
      <c r="D187" s="21"/>
      <c r="K187" s="10"/>
    </row>
    <row r="188" spans="1:11" x14ac:dyDescent="0.25">
      <c r="A188" s="19"/>
      <c r="B188" s="19"/>
      <c r="C188" s="20"/>
      <c r="D188" s="21"/>
      <c r="K188" s="10"/>
    </row>
    <row r="189" spans="1:11" x14ac:dyDescent="0.25">
      <c r="A189" s="19"/>
      <c r="B189" s="19"/>
      <c r="C189" s="20"/>
      <c r="D189" s="21"/>
      <c r="K189" s="10"/>
    </row>
    <row r="190" spans="1:11" x14ac:dyDescent="0.25">
      <c r="A190" s="19"/>
      <c r="B190" s="19"/>
      <c r="C190" s="20"/>
      <c r="D190" s="21"/>
      <c r="K190" s="10"/>
    </row>
    <row r="191" spans="1:11" x14ac:dyDescent="0.25">
      <c r="A191" s="19"/>
      <c r="B191" s="19"/>
      <c r="C191" s="20"/>
      <c r="D191" s="21"/>
      <c r="K191" s="10"/>
    </row>
    <row r="192" spans="1:11" x14ac:dyDescent="0.25">
      <c r="A192" s="19"/>
      <c r="B192" s="19"/>
      <c r="C192" s="20"/>
      <c r="D192" s="21"/>
      <c r="K192" s="10"/>
    </row>
    <row r="193" spans="1:11" x14ac:dyDescent="0.25">
      <c r="A193" s="19"/>
      <c r="B193" s="19"/>
      <c r="C193" s="20"/>
      <c r="D193" s="21"/>
      <c r="K193" s="10"/>
    </row>
    <row r="194" spans="1:11" x14ac:dyDescent="0.25">
      <c r="A194" s="19"/>
      <c r="B194" s="19"/>
      <c r="C194" s="20"/>
      <c r="D194" s="21"/>
      <c r="K194" s="10"/>
    </row>
    <row r="195" spans="1:11" x14ac:dyDescent="0.25">
      <c r="A195" s="19"/>
      <c r="B195" s="19"/>
      <c r="C195" s="20"/>
      <c r="D195" s="21"/>
      <c r="K195" s="10"/>
    </row>
    <row r="196" spans="1:11" x14ac:dyDescent="0.25">
      <c r="A196" s="19"/>
      <c r="B196" s="19"/>
      <c r="C196" s="20"/>
      <c r="D196" s="21"/>
      <c r="K196" s="10"/>
    </row>
    <row r="197" spans="1:11" x14ac:dyDescent="0.25">
      <c r="A197" s="19"/>
      <c r="B197" s="19"/>
      <c r="C197" s="20"/>
      <c r="D197" s="21"/>
      <c r="K197" s="10"/>
    </row>
    <row r="198" spans="1:11" x14ac:dyDescent="0.25">
      <c r="A198" s="19"/>
      <c r="B198" s="19"/>
      <c r="C198" s="20"/>
      <c r="D198" s="21"/>
      <c r="K198" s="10"/>
    </row>
    <row r="199" spans="1:11" x14ac:dyDescent="0.25">
      <c r="A199" s="19"/>
      <c r="B199" s="19"/>
      <c r="C199" s="20"/>
      <c r="D199" s="21"/>
      <c r="K199" s="10"/>
    </row>
    <row r="200" spans="1:11" x14ac:dyDescent="0.25">
      <c r="A200" s="19"/>
      <c r="B200" s="19"/>
      <c r="C200" s="20"/>
      <c r="D200" s="21"/>
      <c r="K200" s="10"/>
    </row>
    <row r="201" spans="1:11" x14ac:dyDescent="0.25">
      <c r="A201" s="19"/>
      <c r="B201" s="19"/>
      <c r="C201" s="20"/>
      <c r="D201" s="21"/>
      <c r="K201" s="10"/>
    </row>
    <row r="202" spans="1:11" x14ac:dyDescent="0.25">
      <c r="A202" s="19"/>
      <c r="B202" s="19"/>
      <c r="C202" s="20"/>
      <c r="D202" s="21"/>
      <c r="K202" s="10"/>
    </row>
    <row r="203" spans="1:11" x14ac:dyDescent="0.25">
      <c r="A203" s="19"/>
      <c r="B203" s="19"/>
      <c r="C203" s="20"/>
      <c r="D203" s="21"/>
      <c r="K203" s="10"/>
    </row>
    <row r="204" spans="1:11" x14ac:dyDescent="0.25">
      <c r="A204" s="19"/>
      <c r="B204" s="19"/>
      <c r="C204" s="20"/>
      <c r="D204" s="21"/>
      <c r="K204" s="10"/>
    </row>
    <row r="205" spans="1:11" x14ac:dyDescent="0.25">
      <c r="A205" s="19"/>
      <c r="B205" s="19"/>
      <c r="C205" s="20"/>
      <c r="D205" s="21"/>
      <c r="K205" s="10"/>
    </row>
    <row r="206" spans="1:11" x14ac:dyDescent="0.25">
      <c r="A206" s="19"/>
      <c r="B206" s="19"/>
      <c r="C206" s="20"/>
      <c r="D206" s="21"/>
      <c r="K206" s="10"/>
    </row>
    <row r="207" spans="1:11" x14ac:dyDescent="0.25">
      <c r="A207" s="19"/>
      <c r="B207" s="19"/>
      <c r="C207" s="20"/>
      <c r="D207" s="21"/>
      <c r="K207" s="10"/>
    </row>
    <row r="208" spans="1:11" x14ac:dyDescent="0.25">
      <c r="A208" s="19"/>
      <c r="B208" s="19"/>
      <c r="C208" s="20"/>
      <c r="D208" s="21"/>
      <c r="K208" s="10"/>
    </row>
    <row r="209" spans="1:11" x14ac:dyDescent="0.25">
      <c r="A209" s="19"/>
      <c r="B209" s="19"/>
      <c r="C209" s="20"/>
      <c r="D209" s="21"/>
      <c r="K209" s="10"/>
    </row>
    <row r="210" spans="1:11" x14ac:dyDescent="0.25">
      <c r="A210" s="19"/>
      <c r="B210" s="19"/>
      <c r="C210" s="20"/>
      <c r="D210" s="21"/>
      <c r="K210" s="10"/>
    </row>
    <row r="211" spans="1:11" x14ac:dyDescent="0.25">
      <c r="A211" s="19"/>
      <c r="B211" s="19"/>
      <c r="C211" s="20"/>
      <c r="D211" s="21"/>
      <c r="K211" s="10"/>
    </row>
    <row r="212" spans="1:11" x14ac:dyDescent="0.25">
      <c r="A212" s="19"/>
      <c r="B212" s="19"/>
      <c r="C212" s="20"/>
      <c r="D212" s="21"/>
      <c r="K212" s="10"/>
    </row>
    <row r="213" spans="1:11" x14ac:dyDescent="0.25">
      <c r="A213" s="19"/>
      <c r="B213" s="19"/>
      <c r="C213" s="20"/>
      <c r="D213" s="21"/>
      <c r="K213" s="10"/>
    </row>
    <row r="214" spans="1:11" x14ac:dyDescent="0.25">
      <c r="A214" s="19"/>
      <c r="B214" s="19"/>
      <c r="C214" s="20"/>
      <c r="D214" s="21"/>
      <c r="K214" s="10"/>
    </row>
    <row r="215" spans="1:11" x14ac:dyDescent="0.25">
      <c r="A215" s="19"/>
      <c r="B215" s="19"/>
      <c r="C215" s="20"/>
      <c r="D215" s="21"/>
      <c r="K215" s="10"/>
    </row>
    <row r="216" spans="1:11" x14ac:dyDescent="0.25">
      <c r="A216" s="19"/>
      <c r="B216" s="19"/>
      <c r="C216" s="20"/>
      <c r="D216" s="21"/>
      <c r="K216" s="10"/>
    </row>
    <row r="217" spans="1:11" x14ac:dyDescent="0.25">
      <c r="A217" s="19"/>
      <c r="B217" s="19"/>
      <c r="C217" s="20"/>
      <c r="D217" s="21"/>
      <c r="K217" s="10"/>
    </row>
    <row r="218" spans="1:11" x14ac:dyDescent="0.25">
      <c r="A218" s="19"/>
      <c r="B218" s="19"/>
      <c r="C218" s="20"/>
      <c r="D218" s="21"/>
      <c r="K218" s="10"/>
    </row>
    <row r="219" spans="1:11" x14ac:dyDescent="0.25">
      <c r="A219" s="19"/>
      <c r="B219" s="19"/>
      <c r="C219" s="20"/>
      <c r="D219" s="21"/>
      <c r="K219" s="10"/>
    </row>
    <row r="220" spans="1:11" x14ac:dyDescent="0.25">
      <c r="A220" s="19"/>
      <c r="B220" s="19"/>
      <c r="C220" s="20"/>
      <c r="D220" s="21"/>
      <c r="K220" s="10"/>
    </row>
    <row r="221" spans="1:11" x14ac:dyDescent="0.25">
      <c r="A221" s="19"/>
      <c r="B221" s="19"/>
      <c r="C221" s="20"/>
      <c r="D221" s="21"/>
      <c r="K221" s="10"/>
    </row>
    <row r="222" spans="1:11" x14ac:dyDescent="0.25">
      <c r="A222" s="19"/>
      <c r="B222" s="19"/>
      <c r="C222" s="20"/>
      <c r="D222" s="21"/>
      <c r="K222" s="10"/>
    </row>
    <row r="223" spans="1:11" x14ac:dyDescent="0.25">
      <c r="A223" s="19"/>
      <c r="B223" s="19"/>
      <c r="C223" s="20"/>
      <c r="D223" s="21"/>
      <c r="K223" s="10"/>
    </row>
    <row r="224" spans="1:11" x14ac:dyDescent="0.25">
      <c r="A224" s="19"/>
      <c r="B224" s="19"/>
      <c r="C224" s="20"/>
      <c r="D224" s="21"/>
      <c r="K224" s="10"/>
    </row>
    <row r="225" spans="1:11" x14ac:dyDescent="0.25">
      <c r="A225" s="19"/>
      <c r="B225" s="19"/>
      <c r="C225" s="20"/>
      <c r="D225" s="21"/>
      <c r="K225" s="10"/>
    </row>
    <row r="226" spans="1:11" x14ac:dyDescent="0.25">
      <c r="A226" s="19"/>
      <c r="B226" s="19"/>
      <c r="C226" s="20"/>
      <c r="D226" s="21"/>
      <c r="K226" s="10"/>
    </row>
    <row r="227" spans="1:11" x14ac:dyDescent="0.25">
      <c r="A227" s="19"/>
      <c r="B227" s="19"/>
      <c r="C227" s="20"/>
      <c r="D227" s="21"/>
      <c r="K227" s="10"/>
    </row>
    <row r="228" spans="1:11" x14ac:dyDescent="0.25">
      <c r="A228" s="19"/>
      <c r="B228" s="19"/>
      <c r="C228" s="20"/>
      <c r="D228" s="21"/>
      <c r="K228" s="10"/>
    </row>
    <row r="229" spans="1:11" x14ac:dyDescent="0.25">
      <c r="A229" s="19"/>
      <c r="B229" s="19"/>
      <c r="C229" s="20"/>
      <c r="D229" s="21"/>
      <c r="K229" s="10"/>
    </row>
    <row r="230" spans="1:11" x14ac:dyDescent="0.25">
      <c r="A230" s="19"/>
      <c r="B230" s="19"/>
      <c r="C230" s="20"/>
      <c r="D230" s="21"/>
      <c r="K230" s="10"/>
    </row>
    <row r="231" spans="1:11" x14ac:dyDescent="0.25">
      <c r="A231" s="19"/>
      <c r="B231" s="19"/>
      <c r="C231" s="20"/>
      <c r="D231" s="21"/>
      <c r="K231" s="10"/>
    </row>
    <row r="232" spans="1:11" x14ac:dyDescent="0.25">
      <c r="A232" s="19"/>
      <c r="B232" s="19"/>
      <c r="C232" s="20"/>
      <c r="D232" s="21"/>
      <c r="K232" s="10"/>
    </row>
    <row r="233" spans="1:11" x14ac:dyDescent="0.25">
      <c r="A233" s="19"/>
      <c r="B233" s="19"/>
      <c r="C233" s="20"/>
      <c r="D233" s="21"/>
      <c r="K233" s="10"/>
    </row>
    <row r="234" spans="1:11" x14ac:dyDescent="0.25">
      <c r="A234" s="19"/>
      <c r="B234" s="19"/>
      <c r="C234" s="20"/>
      <c r="D234" s="21"/>
      <c r="K234" s="10"/>
    </row>
    <row r="235" spans="1:11" x14ac:dyDescent="0.25">
      <c r="A235" s="19"/>
      <c r="B235" s="19"/>
      <c r="C235" s="20"/>
      <c r="D235" s="21"/>
      <c r="K235" s="10"/>
    </row>
    <row r="236" spans="1:11" x14ac:dyDescent="0.25">
      <c r="A236" s="19"/>
      <c r="B236" s="19"/>
      <c r="C236" s="20"/>
      <c r="D236" s="21"/>
      <c r="K236" s="10"/>
    </row>
    <row r="237" spans="1:11" x14ac:dyDescent="0.25">
      <c r="A237" s="19"/>
      <c r="B237" s="19"/>
      <c r="C237" s="20"/>
      <c r="D237" s="21"/>
      <c r="K237" s="10"/>
    </row>
    <row r="238" spans="1:11" x14ac:dyDescent="0.25">
      <c r="A238" s="19"/>
      <c r="B238" s="19"/>
      <c r="C238" s="20"/>
      <c r="D238" s="21"/>
      <c r="K238" s="10"/>
    </row>
    <row r="239" spans="1:11" x14ac:dyDescent="0.25">
      <c r="A239" s="19"/>
      <c r="B239" s="19"/>
      <c r="C239" s="20"/>
      <c r="D239" s="21"/>
      <c r="K239" s="10"/>
    </row>
    <row r="240" spans="1:11" x14ac:dyDescent="0.25">
      <c r="A240" s="19"/>
      <c r="B240" s="19"/>
      <c r="C240" s="20"/>
      <c r="D240" s="21"/>
      <c r="K240" s="10"/>
    </row>
    <row r="241" spans="1:11" x14ac:dyDescent="0.25">
      <c r="A241" s="19"/>
      <c r="B241" s="19"/>
      <c r="C241" s="20"/>
      <c r="D241" s="21"/>
      <c r="K241" s="10"/>
    </row>
    <row r="242" spans="1:11" x14ac:dyDescent="0.25">
      <c r="A242" s="19"/>
      <c r="B242" s="19"/>
      <c r="C242" s="20"/>
      <c r="D242" s="21"/>
      <c r="K242" s="10"/>
    </row>
    <row r="243" spans="1:11" x14ac:dyDescent="0.25">
      <c r="A243" s="19"/>
      <c r="B243" s="19"/>
      <c r="C243" s="20"/>
      <c r="D243" s="21"/>
      <c r="K243" s="10"/>
    </row>
    <row r="244" spans="1:11" x14ac:dyDescent="0.25">
      <c r="A244" s="19"/>
      <c r="B244" s="19"/>
      <c r="C244" s="20"/>
      <c r="D244" s="21"/>
      <c r="K244" s="10"/>
    </row>
    <row r="245" spans="1:11" x14ac:dyDescent="0.25">
      <c r="A245" s="19"/>
      <c r="B245" s="19"/>
      <c r="C245" s="20"/>
      <c r="D245" s="21"/>
      <c r="K245" s="10"/>
    </row>
    <row r="246" spans="1:11" x14ac:dyDescent="0.25">
      <c r="A246" s="19"/>
      <c r="B246" s="19"/>
      <c r="C246" s="20"/>
      <c r="D246" s="21"/>
      <c r="K246" s="10"/>
    </row>
    <row r="247" spans="1:11" x14ac:dyDescent="0.25">
      <c r="A247" s="19"/>
      <c r="B247" s="19"/>
      <c r="C247" s="20"/>
      <c r="D247" s="21"/>
      <c r="K247" s="10"/>
    </row>
    <row r="248" spans="1:11" x14ac:dyDescent="0.25">
      <c r="A248" s="19"/>
      <c r="B248" s="19"/>
      <c r="C248" s="20"/>
      <c r="D248" s="21"/>
      <c r="K248" s="10"/>
    </row>
    <row r="249" spans="1:11" x14ac:dyDescent="0.25">
      <c r="A249" s="19"/>
      <c r="B249" s="19"/>
      <c r="C249" s="20"/>
      <c r="D249" s="21"/>
      <c r="K249" s="10"/>
    </row>
    <row r="250" spans="1:11" x14ac:dyDescent="0.25">
      <c r="A250" s="19"/>
      <c r="B250" s="19"/>
      <c r="C250" s="20"/>
      <c r="D250" s="21"/>
      <c r="K250" s="10"/>
    </row>
    <row r="251" spans="1:11" x14ac:dyDescent="0.25">
      <c r="A251" s="19"/>
      <c r="B251" s="19"/>
      <c r="C251" s="20"/>
      <c r="D251" s="21"/>
      <c r="K251" s="10"/>
    </row>
    <row r="252" spans="1:11" x14ac:dyDescent="0.25">
      <c r="A252" s="19"/>
      <c r="B252" s="19"/>
      <c r="C252" s="20"/>
      <c r="D252" s="21"/>
      <c r="K252" s="10"/>
    </row>
    <row r="253" spans="1:11" x14ac:dyDescent="0.25">
      <c r="A253" s="19"/>
      <c r="B253" s="19"/>
      <c r="C253" s="20"/>
      <c r="D253" s="21"/>
      <c r="K253" s="10"/>
    </row>
    <row r="254" spans="1:11" x14ac:dyDescent="0.25">
      <c r="A254" s="19"/>
      <c r="B254" s="19"/>
      <c r="C254" s="20"/>
      <c r="D254" s="21"/>
      <c r="K254" s="10"/>
    </row>
    <row r="255" spans="1:11" x14ac:dyDescent="0.25">
      <c r="A255" s="19"/>
      <c r="B255" s="19"/>
      <c r="C255" s="20"/>
      <c r="D255" s="21"/>
      <c r="K255" s="10"/>
    </row>
    <row r="256" spans="1:11" x14ac:dyDescent="0.25">
      <c r="A256" s="19"/>
      <c r="B256" s="19"/>
      <c r="C256" s="20"/>
      <c r="D256" s="21"/>
      <c r="K256" s="10"/>
    </row>
    <row r="257" spans="1:11" x14ac:dyDescent="0.25">
      <c r="A257" s="19"/>
      <c r="B257" s="19"/>
      <c r="C257" s="20"/>
      <c r="D257" s="21"/>
      <c r="K257" s="10"/>
    </row>
    <row r="258" spans="1:11" x14ac:dyDescent="0.25">
      <c r="A258" s="19"/>
      <c r="B258" s="19"/>
      <c r="C258" s="20"/>
      <c r="D258" s="21"/>
      <c r="K258" s="10"/>
    </row>
    <row r="259" spans="1:11" x14ac:dyDescent="0.25">
      <c r="A259" s="19"/>
      <c r="B259" s="19"/>
      <c r="C259" s="20"/>
      <c r="D259" s="21"/>
      <c r="K259" s="10"/>
    </row>
    <row r="260" spans="1:11" x14ac:dyDescent="0.25">
      <c r="A260" s="19"/>
      <c r="B260" s="19"/>
      <c r="C260" s="20"/>
      <c r="D260" s="21"/>
      <c r="K260" s="10"/>
    </row>
    <row r="261" spans="1:11" x14ac:dyDescent="0.25">
      <c r="A261" s="19"/>
      <c r="B261" s="19"/>
      <c r="C261" s="20"/>
      <c r="D261" s="21"/>
      <c r="K261" s="10"/>
    </row>
    <row r="262" spans="1:11" x14ac:dyDescent="0.25">
      <c r="A262" s="19"/>
      <c r="B262" s="19"/>
      <c r="C262" s="20"/>
      <c r="D262" s="21"/>
      <c r="K262" s="10"/>
    </row>
    <row r="263" spans="1:11" x14ac:dyDescent="0.25">
      <c r="A263" s="19"/>
      <c r="B263" s="19"/>
      <c r="C263" s="20"/>
      <c r="D263" s="21"/>
      <c r="K263" s="10"/>
    </row>
    <row r="264" spans="1:11" x14ac:dyDescent="0.25">
      <c r="A264" s="19"/>
      <c r="B264" s="19"/>
      <c r="C264" s="20"/>
      <c r="D264" s="21"/>
      <c r="K264" s="10"/>
    </row>
    <row r="265" spans="1:11" x14ac:dyDescent="0.25">
      <c r="A265" s="19"/>
      <c r="B265" s="19"/>
      <c r="C265" s="20"/>
      <c r="D265" s="21"/>
      <c r="K265" s="10"/>
    </row>
    <row r="266" spans="1:11" x14ac:dyDescent="0.25">
      <c r="A266" s="19"/>
      <c r="B266" s="19"/>
      <c r="C266" s="20"/>
      <c r="D266" s="21"/>
      <c r="K266" s="10"/>
    </row>
    <row r="267" spans="1:11" x14ac:dyDescent="0.25">
      <c r="A267" s="19"/>
      <c r="B267" s="19"/>
      <c r="C267" s="20"/>
      <c r="D267" s="21"/>
      <c r="K267" s="10"/>
    </row>
    <row r="268" spans="1:11" x14ac:dyDescent="0.25">
      <c r="A268" s="19"/>
      <c r="B268" s="19"/>
      <c r="C268" s="20"/>
      <c r="D268" s="21"/>
      <c r="K268" s="10"/>
    </row>
    <row r="269" spans="1:11" x14ac:dyDescent="0.25">
      <c r="A269" s="19"/>
      <c r="B269" s="19"/>
      <c r="C269" s="20"/>
      <c r="D269" s="21"/>
      <c r="K269" s="10"/>
    </row>
    <row r="270" spans="1:11" x14ac:dyDescent="0.25">
      <c r="A270" s="19"/>
      <c r="B270" s="19"/>
      <c r="C270" s="20"/>
      <c r="D270" s="21"/>
      <c r="K270" s="10"/>
    </row>
    <row r="271" spans="1:11" x14ac:dyDescent="0.25">
      <c r="A271" s="19"/>
      <c r="B271" s="19"/>
      <c r="C271" s="20"/>
      <c r="D271" s="21"/>
      <c r="K271" s="10"/>
    </row>
    <row r="272" spans="1:11" x14ac:dyDescent="0.25">
      <c r="A272" s="19"/>
      <c r="B272" s="19"/>
      <c r="C272" s="20"/>
      <c r="D272" s="21"/>
      <c r="K272" s="10"/>
    </row>
    <row r="273" spans="1:11" x14ac:dyDescent="0.25">
      <c r="A273" s="19"/>
      <c r="B273" s="19"/>
      <c r="C273" s="20"/>
      <c r="D273" s="21"/>
      <c r="K273" s="10"/>
    </row>
    <row r="274" spans="1:11" x14ac:dyDescent="0.25">
      <c r="A274" s="19"/>
      <c r="B274" s="19"/>
      <c r="C274" s="20"/>
      <c r="D274" s="21"/>
      <c r="K274" s="10"/>
    </row>
    <row r="275" spans="1:11" x14ac:dyDescent="0.25">
      <c r="A275" s="19"/>
      <c r="B275" s="19"/>
      <c r="C275" s="20"/>
      <c r="D275" s="21"/>
      <c r="K275" s="10"/>
    </row>
    <row r="276" spans="1:11" x14ac:dyDescent="0.25">
      <c r="A276" s="19"/>
      <c r="B276" s="19"/>
      <c r="C276" s="20"/>
      <c r="D276" s="21"/>
      <c r="K276" s="10"/>
    </row>
    <row r="277" spans="1:11" x14ac:dyDescent="0.25">
      <c r="A277" s="19"/>
      <c r="B277" s="19"/>
      <c r="C277" s="20"/>
      <c r="D277" s="21"/>
      <c r="K277" s="10"/>
    </row>
    <row r="278" spans="1:11" x14ac:dyDescent="0.25">
      <c r="A278" s="19"/>
      <c r="B278" s="19"/>
      <c r="C278" s="20"/>
      <c r="D278" s="21"/>
      <c r="K278" s="10"/>
    </row>
    <row r="279" spans="1:11" x14ac:dyDescent="0.25">
      <c r="A279" s="19"/>
      <c r="B279" s="19"/>
      <c r="C279" s="20"/>
      <c r="D279" s="21"/>
      <c r="K279" s="10"/>
    </row>
    <row r="280" spans="1:11" x14ac:dyDescent="0.25">
      <c r="A280" s="19"/>
      <c r="B280" s="19"/>
      <c r="C280" s="20"/>
      <c r="D280" s="21"/>
      <c r="K280" s="10"/>
    </row>
    <row r="281" spans="1:11" x14ac:dyDescent="0.25">
      <c r="A281" s="19"/>
      <c r="B281" s="19"/>
      <c r="C281" s="20"/>
      <c r="D281" s="21"/>
      <c r="K281" s="10"/>
    </row>
    <row r="282" spans="1:11" x14ac:dyDescent="0.25">
      <c r="A282" s="19"/>
      <c r="B282" s="19"/>
      <c r="C282" s="20"/>
      <c r="D282" s="21"/>
      <c r="K282" s="10"/>
    </row>
    <row r="283" spans="1:11" x14ac:dyDescent="0.25">
      <c r="A283" s="19"/>
      <c r="B283" s="19"/>
      <c r="C283" s="20"/>
      <c r="D283" s="21"/>
      <c r="K283" s="10"/>
    </row>
    <row r="284" spans="1:11" x14ac:dyDescent="0.25">
      <c r="A284" s="19"/>
      <c r="B284" s="19"/>
      <c r="C284" s="20"/>
      <c r="D284" s="21"/>
      <c r="K284" s="10"/>
    </row>
    <row r="285" spans="1:11" x14ac:dyDescent="0.25">
      <c r="A285" s="19"/>
      <c r="B285" s="19"/>
      <c r="C285" s="20"/>
      <c r="D285" s="21"/>
      <c r="K285" s="10"/>
    </row>
    <row r="286" spans="1:11" x14ac:dyDescent="0.25">
      <c r="A286" s="19"/>
      <c r="B286" s="19"/>
      <c r="C286" s="20"/>
      <c r="D286" s="21"/>
      <c r="K286" s="10"/>
    </row>
    <row r="287" spans="1:11" x14ac:dyDescent="0.25">
      <c r="A287" s="19"/>
      <c r="B287" s="19"/>
      <c r="C287" s="20"/>
      <c r="D287" s="21"/>
      <c r="K287" s="10"/>
    </row>
    <row r="288" spans="1:11" x14ac:dyDescent="0.25">
      <c r="A288" s="19"/>
      <c r="B288" s="19"/>
      <c r="C288" s="20"/>
      <c r="D288" s="21"/>
      <c r="K288" s="10"/>
    </row>
    <row r="289" spans="1:11" x14ac:dyDescent="0.25">
      <c r="A289" s="19"/>
      <c r="B289" s="19"/>
      <c r="C289" s="20"/>
      <c r="D289" s="21"/>
      <c r="K289" s="10"/>
    </row>
    <row r="290" spans="1:11" x14ac:dyDescent="0.25">
      <c r="A290" s="19"/>
      <c r="B290" s="19"/>
      <c r="C290" s="20"/>
      <c r="D290" s="21"/>
      <c r="K290" s="10"/>
    </row>
    <row r="291" spans="1:11" x14ac:dyDescent="0.25">
      <c r="A291" s="19"/>
      <c r="B291" s="19"/>
      <c r="C291" s="20"/>
      <c r="D291" s="21"/>
      <c r="K291" s="10"/>
    </row>
    <row r="292" spans="1:11" x14ac:dyDescent="0.25">
      <c r="A292" s="19"/>
      <c r="B292" s="19"/>
      <c r="C292" s="20"/>
      <c r="D292" s="21"/>
      <c r="K292" s="10"/>
    </row>
    <row r="293" spans="1:11" x14ac:dyDescent="0.25">
      <c r="A293" s="19"/>
      <c r="B293" s="19"/>
      <c r="C293" s="20"/>
      <c r="D293" s="21"/>
      <c r="K293" s="10"/>
    </row>
    <row r="294" spans="1:11" x14ac:dyDescent="0.25">
      <c r="A294" s="19"/>
      <c r="B294" s="19"/>
      <c r="C294" s="20"/>
      <c r="D294" s="21"/>
      <c r="K294" s="10"/>
    </row>
    <row r="295" spans="1:11" x14ac:dyDescent="0.25">
      <c r="A295" s="19"/>
      <c r="B295" s="19"/>
      <c r="C295" s="20"/>
      <c r="D295" s="21"/>
      <c r="K295" s="10"/>
    </row>
    <row r="296" spans="1:11" x14ac:dyDescent="0.25">
      <c r="A296" s="19"/>
      <c r="B296" s="19"/>
      <c r="C296" s="20"/>
      <c r="D296" s="21"/>
      <c r="K296" s="10"/>
    </row>
    <row r="297" spans="1:11" x14ac:dyDescent="0.25">
      <c r="A297" s="19"/>
      <c r="B297" s="19"/>
      <c r="C297" s="20"/>
      <c r="D297" s="21"/>
      <c r="K297" s="10"/>
    </row>
    <row r="298" spans="1:11" x14ac:dyDescent="0.25">
      <c r="A298" s="19"/>
      <c r="B298" s="19"/>
      <c r="C298" s="20"/>
      <c r="D298" s="21"/>
      <c r="K298" s="10"/>
    </row>
    <row r="299" spans="1:11" x14ac:dyDescent="0.25">
      <c r="A299" s="19"/>
      <c r="B299" s="19"/>
      <c r="C299" s="20"/>
      <c r="D299" s="21"/>
      <c r="K299" s="10"/>
    </row>
    <row r="300" spans="1:11" x14ac:dyDescent="0.25">
      <c r="A300" s="19"/>
      <c r="B300" s="19"/>
      <c r="C300" s="20"/>
      <c r="D300" s="21"/>
      <c r="K300" s="10"/>
    </row>
    <row r="301" spans="1:11" x14ac:dyDescent="0.25">
      <c r="A301" s="19"/>
      <c r="B301" s="19"/>
      <c r="C301" s="20"/>
      <c r="D301" s="21"/>
      <c r="K301" s="10"/>
    </row>
    <row r="302" spans="1:11" x14ac:dyDescent="0.25">
      <c r="A302" s="19"/>
      <c r="B302" s="19"/>
      <c r="C302" s="20"/>
      <c r="D302" s="21"/>
      <c r="K302" s="10"/>
    </row>
    <row r="303" spans="1:11" x14ac:dyDescent="0.25">
      <c r="A303" s="19"/>
      <c r="B303" s="19"/>
      <c r="C303" s="20"/>
      <c r="D303" s="21"/>
      <c r="K303" s="10"/>
    </row>
    <row r="304" spans="1:11" x14ac:dyDescent="0.25">
      <c r="A304" s="19"/>
      <c r="B304" s="19"/>
      <c r="C304" s="20"/>
      <c r="D304" s="21"/>
      <c r="K304" s="10"/>
    </row>
    <row r="305" spans="1:11" x14ac:dyDescent="0.25">
      <c r="A305" s="19"/>
      <c r="B305" s="19"/>
      <c r="C305" s="20"/>
      <c r="D305" s="21"/>
      <c r="K305" s="10"/>
    </row>
    <row r="306" spans="1:11" x14ac:dyDescent="0.25">
      <c r="A306" s="19"/>
      <c r="B306" s="19"/>
      <c r="C306" s="20"/>
      <c r="D306" s="21"/>
      <c r="K306" s="10"/>
    </row>
    <row r="307" spans="1:11" x14ac:dyDescent="0.25">
      <c r="A307" s="19"/>
      <c r="B307" s="19"/>
      <c r="C307" s="20"/>
      <c r="D307" s="21"/>
      <c r="K307" s="10"/>
    </row>
    <row r="308" spans="1:11" x14ac:dyDescent="0.25">
      <c r="A308" s="19"/>
      <c r="B308" s="19"/>
      <c r="C308" s="20"/>
      <c r="D308" s="21"/>
      <c r="K308" s="10"/>
    </row>
    <row r="309" spans="1:11" x14ac:dyDescent="0.25">
      <c r="A309" s="19"/>
      <c r="B309" s="19"/>
      <c r="C309" s="20"/>
      <c r="D309" s="21"/>
      <c r="K309" s="10"/>
    </row>
    <row r="310" spans="1:11" x14ac:dyDescent="0.25">
      <c r="A310" s="19"/>
      <c r="B310" s="19"/>
      <c r="C310" s="20"/>
      <c r="D310" s="21"/>
      <c r="K310" s="10"/>
    </row>
    <row r="311" spans="1:11" x14ac:dyDescent="0.25">
      <c r="A311" s="19"/>
      <c r="B311" s="19"/>
      <c r="C311" s="20"/>
      <c r="D311" s="21"/>
      <c r="K311" s="10"/>
    </row>
    <row r="312" spans="1:11" x14ac:dyDescent="0.25">
      <c r="A312" s="19"/>
      <c r="B312" s="19"/>
      <c r="C312" s="20"/>
      <c r="D312" s="21"/>
      <c r="K312" s="10"/>
    </row>
    <row r="313" spans="1:11" x14ac:dyDescent="0.25">
      <c r="A313" s="19"/>
      <c r="B313" s="19"/>
      <c r="C313" s="20"/>
      <c r="D313" s="21"/>
      <c r="K313" s="10"/>
    </row>
    <row r="314" spans="1:11" x14ac:dyDescent="0.25">
      <c r="A314" s="19"/>
      <c r="B314" s="19"/>
      <c r="C314" s="20"/>
      <c r="D314" s="21"/>
      <c r="K314" s="10"/>
    </row>
    <row r="315" spans="1:11" x14ac:dyDescent="0.25">
      <c r="A315" s="19"/>
      <c r="B315" s="19"/>
      <c r="C315" s="20"/>
      <c r="D315" s="21"/>
      <c r="K315" s="10"/>
    </row>
    <row r="316" spans="1:11" x14ac:dyDescent="0.25">
      <c r="A316" s="19"/>
      <c r="B316" s="19"/>
      <c r="C316" s="20"/>
      <c r="D316" s="21"/>
      <c r="K316" s="10"/>
    </row>
    <row r="317" spans="1:11" x14ac:dyDescent="0.25">
      <c r="A317" s="19"/>
      <c r="B317" s="19"/>
      <c r="C317" s="20"/>
      <c r="D317" s="21"/>
      <c r="K317" s="10"/>
    </row>
    <row r="318" spans="1:11" x14ac:dyDescent="0.25">
      <c r="A318" s="19"/>
      <c r="B318" s="19"/>
      <c r="C318" s="20"/>
      <c r="D318" s="21"/>
      <c r="K318" s="10"/>
    </row>
    <row r="319" spans="1:11" x14ac:dyDescent="0.25">
      <c r="A319" s="19"/>
      <c r="B319" s="19"/>
      <c r="C319" s="20"/>
      <c r="D319" s="21"/>
      <c r="K319" s="10"/>
    </row>
    <row r="320" spans="1:11" x14ac:dyDescent="0.25">
      <c r="A320" s="19"/>
      <c r="B320" s="19"/>
      <c r="C320" s="20"/>
      <c r="D320" s="21"/>
      <c r="K320" s="10"/>
    </row>
    <row r="321" spans="1:11" x14ac:dyDescent="0.25">
      <c r="A321" s="19"/>
      <c r="B321" s="19"/>
      <c r="C321" s="20"/>
      <c r="D321" s="21"/>
      <c r="K321" s="10"/>
    </row>
    <row r="322" spans="1:11" x14ac:dyDescent="0.25">
      <c r="A322" s="19"/>
      <c r="B322" s="19"/>
      <c r="C322" s="20"/>
      <c r="D322" s="21"/>
      <c r="K322" s="10"/>
    </row>
    <row r="323" spans="1:11" x14ac:dyDescent="0.25">
      <c r="A323" s="19"/>
      <c r="B323" s="19"/>
      <c r="C323" s="20"/>
      <c r="D323" s="21"/>
      <c r="K323" s="10"/>
    </row>
    <row r="324" spans="1:11" x14ac:dyDescent="0.25">
      <c r="A324" s="19"/>
      <c r="B324" s="19"/>
      <c r="C324" s="20"/>
      <c r="D324" s="21"/>
      <c r="K324" s="10"/>
    </row>
    <row r="325" spans="1:11" x14ac:dyDescent="0.25">
      <c r="A325" s="19"/>
      <c r="B325" s="19"/>
      <c r="C325" s="20"/>
      <c r="D325" s="21"/>
      <c r="K325" s="10"/>
    </row>
    <row r="326" spans="1:11" x14ac:dyDescent="0.25">
      <c r="A326" s="19"/>
      <c r="B326" s="19"/>
      <c r="C326" s="20"/>
      <c r="D326" s="21"/>
      <c r="K326" s="10"/>
    </row>
    <row r="327" spans="1:11" x14ac:dyDescent="0.25">
      <c r="A327" s="19"/>
      <c r="B327" s="19"/>
      <c r="C327" s="20"/>
      <c r="D327" s="21"/>
      <c r="K327" s="10"/>
    </row>
    <row r="328" spans="1:11" x14ac:dyDescent="0.25">
      <c r="A328" s="19"/>
      <c r="B328" s="19"/>
      <c r="C328" s="20"/>
      <c r="D328" s="21"/>
      <c r="K328" s="10"/>
    </row>
    <row r="329" spans="1:11" x14ac:dyDescent="0.25">
      <c r="A329" s="19"/>
      <c r="B329" s="19"/>
      <c r="C329" s="20"/>
      <c r="D329" s="21"/>
      <c r="K329" s="10"/>
    </row>
    <row r="330" spans="1:11" x14ac:dyDescent="0.25">
      <c r="A330" s="19"/>
      <c r="B330" s="19"/>
      <c r="C330" s="20"/>
      <c r="D330" s="21"/>
      <c r="K330" s="10"/>
    </row>
    <row r="331" spans="1:11" x14ac:dyDescent="0.25">
      <c r="A331" s="19"/>
      <c r="B331" s="19"/>
      <c r="C331" s="20"/>
      <c r="D331" s="21"/>
      <c r="K331" s="10"/>
    </row>
    <row r="332" spans="1:11" x14ac:dyDescent="0.25">
      <c r="A332" s="19"/>
      <c r="B332" s="19"/>
      <c r="C332" s="20"/>
      <c r="D332" s="21"/>
      <c r="K332" s="10"/>
    </row>
    <row r="333" spans="1:11" x14ac:dyDescent="0.25">
      <c r="A333" s="19"/>
      <c r="B333" s="19"/>
      <c r="C333" s="20"/>
      <c r="D333" s="21"/>
      <c r="K333" s="10"/>
    </row>
    <row r="334" spans="1:11" x14ac:dyDescent="0.25">
      <c r="A334" s="19"/>
      <c r="B334" s="19"/>
      <c r="C334" s="20"/>
      <c r="D334" s="21"/>
      <c r="K334" s="10"/>
    </row>
    <row r="335" spans="1:11" x14ac:dyDescent="0.25">
      <c r="A335" s="19"/>
      <c r="B335" s="19"/>
      <c r="C335" s="20"/>
      <c r="D335" s="21"/>
      <c r="K335" s="10"/>
    </row>
    <row r="336" spans="1:11" x14ac:dyDescent="0.25">
      <c r="A336" s="19"/>
      <c r="B336" s="19"/>
      <c r="C336" s="20"/>
      <c r="D336" s="21"/>
      <c r="K336" s="10"/>
    </row>
    <row r="337" spans="1:11" x14ac:dyDescent="0.25">
      <c r="A337" s="19"/>
      <c r="B337" s="19"/>
      <c r="C337" s="20"/>
      <c r="D337" s="21"/>
      <c r="K337" s="10"/>
    </row>
    <row r="338" spans="1:11" x14ac:dyDescent="0.25">
      <c r="A338" s="19"/>
      <c r="B338" s="19"/>
      <c r="C338" s="20"/>
      <c r="D338" s="21"/>
      <c r="K338" s="10"/>
    </row>
    <row r="339" spans="1:11" x14ac:dyDescent="0.25">
      <c r="A339" s="19"/>
      <c r="B339" s="19"/>
      <c r="C339" s="20"/>
      <c r="D339" s="21"/>
      <c r="K339" s="10"/>
    </row>
    <row r="340" spans="1:11" x14ac:dyDescent="0.25">
      <c r="A340" s="19"/>
      <c r="B340" s="19"/>
      <c r="C340" s="20"/>
      <c r="D340" s="21"/>
      <c r="K340" s="10"/>
    </row>
    <row r="341" spans="1:11" x14ac:dyDescent="0.25">
      <c r="A341" s="19"/>
      <c r="B341" s="19"/>
      <c r="C341" s="20"/>
      <c r="D341" s="21"/>
      <c r="K341" s="10"/>
    </row>
    <row r="342" spans="1:11" x14ac:dyDescent="0.25">
      <c r="A342" s="19"/>
      <c r="B342" s="19"/>
      <c r="C342" s="20"/>
      <c r="D342" s="21"/>
      <c r="K342" s="10"/>
    </row>
    <row r="343" spans="1:11" x14ac:dyDescent="0.25">
      <c r="A343" s="19"/>
      <c r="B343" s="19"/>
      <c r="C343" s="20"/>
      <c r="D343" s="21"/>
      <c r="K343" s="10"/>
    </row>
    <row r="344" spans="1:11" x14ac:dyDescent="0.25">
      <c r="A344" s="19"/>
      <c r="B344" s="19"/>
      <c r="C344" s="20"/>
      <c r="D344" s="21"/>
      <c r="K344" s="10"/>
    </row>
    <row r="345" spans="1:11" x14ac:dyDescent="0.25">
      <c r="A345" s="19"/>
      <c r="B345" s="19"/>
      <c r="C345" s="20"/>
      <c r="D345" s="21"/>
      <c r="K345" s="10"/>
    </row>
    <row r="346" spans="1:11" x14ac:dyDescent="0.25">
      <c r="A346" s="19"/>
      <c r="B346" s="19"/>
      <c r="C346" s="20"/>
      <c r="D346" s="21"/>
      <c r="K346" s="10"/>
    </row>
    <row r="347" spans="1:11" x14ac:dyDescent="0.25">
      <c r="A347" s="19"/>
      <c r="B347" s="19"/>
      <c r="C347" s="20"/>
      <c r="D347" s="21"/>
      <c r="K347" s="10"/>
    </row>
    <row r="348" spans="1:11" x14ac:dyDescent="0.25">
      <c r="A348" s="19"/>
      <c r="B348" s="19"/>
      <c r="C348" s="20"/>
      <c r="D348" s="21"/>
      <c r="K348" s="10"/>
    </row>
    <row r="349" spans="1:11" x14ac:dyDescent="0.25">
      <c r="A349" s="19"/>
      <c r="B349" s="19"/>
      <c r="C349" s="20"/>
      <c r="D349" s="21"/>
      <c r="K349" s="10"/>
    </row>
    <row r="350" spans="1:11" x14ac:dyDescent="0.25">
      <c r="A350" s="19"/>
      <c r="B350" s="19"/>
      <c r="C350" s="20"/>
      <c r="D350" s="21"/>
      <c r="K350" s="10"/>
    </row>
    <row r="351" spans="1:11" x14ac:dyDescent="0.25">
      <c r="A351" s="19"/>
      <c r="B351" s="19"/>
      <c r="C351" s="20"/>
      <c r="D351" s="21"/>
      <c r="K351" s="10"/>
    </row>
    <row r="352" spans="1:11" x14ac:dyDescent="0.25">
      <c r="A352" s="19"/>
      <c r="B352" s="19"/>
      <c r="C352" s="20"/>
      <c r="D352" s="21"/>
      <c r="K352" s="10"/>
    </row>
    <row r="353" spans="1:11" x14ac:dyDescent="0.25">
      <c r="A353" s="19"/>
      <c r="B353" s="19"/>
      <c r="C353" s="20"/>
      <c r="D353" s="21"/>
      <c r="K353" s="10"/>
    </row>
    <row r="354" spans="1:11" x14ac:dyDescent="0.25">
      <c r="A354" s="19"/>
      <c r="B354" s="19"/>
      <c r="C354" s="20"/>
      <c r="D354" s="21"/>
      <c r="K354" s="10"/>
    </row>
    <row r="355" spans="1:11" x14ac:dyDescent="0.25">
      <c r="A355" s="19"/>
      <c r="B355" s="19"/>
      <c r="C355" s="20"/>
      <c r="D355" s="21"/>
      <c r="K355" s="10"/>
    </row>
    <row r="356" spans="1:11" x14ac:dyDescent="0.25">
      <c r="A356" s="19"/>
      <c r="B356" s="19"/>
      <c r="C356" s="20"/>
      <c r="D356" s="21"/>
      <c r="K356" s="10"/>
    </row>
    <row r="357" spans="1:11" x14ac:dyDescent="0.25">
      <c r="A357" s="19"/>
      <c r="B357" s="19"/>
      <c r="C357" s="20"/>
      <c r="D357" s="21"/>
      <c r="K357" s="10"/>
    </row>
    <row r="358" spans="1:11" x14ac:dyDescent="0.25">
      <c r="A358" s="19"/>
      <c r="B358" s="19"/>
      <c r="C358" s="20"/>
      <c r="D358" s="21"/>
      <c r="K358" s="10"/>
    </row>
    <row r="359" spans="1:11" x14ac:dyDescent="0.25">
      <c r="A359" s="19"/>
      <c r="B359" s="19"/>
      <c r="C359" s="20"/>
      <c r="D359" s="21"/>
      <c r="K359" s="10"/>
    </row>
    <row r="360" spans="1:11" x14ac:dyDescent="0.25">
      <c r="A360" s="19"/>
      <c r="B360" s="19"/>
      <c r="C360" s="20"/>
      <c r="D360" s="21"/>
      <c r="K360" s="10"/>
    </row>
    <row r="361" spans="1:11" x14ac:dyDescent="0.25">
      <c r="A361" s="19"/>
      <c r="B361" s="19"/>
      <c r="C361" s="20"/>
      <c r="D361" s="21"/>
      <c r="K361" s="10"/>
    </row>
    <row r="362" spans="1:11" x14ac:dyDescent="0.25">
      <c r="A362" s="19"/>
      <c r="B362" s="19"/>
      <c r="C362" s="20"/>
      <c r="D362" s="21"/>
      <c r="K362" s="10"/>
    </row>
    <row r="363" spans="1:11" x14ac:dyDescent="0.25">
      <c r="A363" s="19"/>
      <c r="B363" s="19"/>
      <c r="C363" s="20"/>
      <c r="D363" s="21"/>
      <c r="K363" s="10"/>
    </row>
    <row r="364" spans="1:11" x14ac:dyDescent="0.25">
      <c r="A364" s="19"/>
      <c r="B364" s="19"/>
      <c r="C364" s="20"/>
      <c r="D364" s="21"/>
      <c r="K364" s="10"/>
    </row>
    <row r="365" spans="1:11" x14ac:dyDescent="0.25">
      <c r="A365" s="19"/>
      <c r="B365" s="19"/>
      <c r="C365" s="20"/>
      <c r="D365" s="21"/>
      <c r="K365" s="10"/>
    </row>
    <row r="366" spans="1:11" x14ac:dyDescent="0.25">
      <c r="A366" s="19"/>
      <c r="B366" s="19"/>
      <c r="C366" s="20"/>
      <c r="D366" s="21"/>
      <c r="K366" s="10"/>
    </row>
    <row r="367" spans="1:11" x14ac:dyDescent="0.25">
      <c r="A367" s="19"/>
      <c r="B367" s="19"/>
      <c r="C367" s="20"/>
      <c r="D367" s="21"/>
      <c r="K367" s="10"/>
    </row>
    <row r="368" spans="1:11" x14ac:dyDescent="0.25">
      <c r="A368" s="19"/>
      <c r="B368" s="19"/>
      <c r="C368" s="20"/>
      <c r="D368" s="21"/>
      <c r="K368" s="10"/>
    </row>
    <row r="369" spans="1:11" x14ac:dyDescent="0.25">
      <c r="A369" s="19"/>
      <c r="B369" s="19"/>
      <c r="C369" s="20"/>
      <c r="D369" s="21"/>
      <c r="K369" s="10"/>
    </row>
    <row r="370" spans="1:11" x14ac:dyDescent="0.25">
      <c r="A370" s="19"/>
      <c r="B370" s="19"/>
      <c r="C370" s="20"/>
      <c r="D370" s="21"/>
      <c r="K370" s="10"/>
    </row>
    <row r="371" spans="1:11" x14ac:dyDescent="0.25">
      <c r="A371" s="19"/>
      <c r="B371" s="19"/>
      <c r="C371" s="20"/>
      <c r="D371" s="21"/>
      <c r="K371" s="10"/>
    </row>
    <row r="372" spans="1:11" x14ac:dyDescent="0.25">
      <c r="A372" s="19"/>
      <c r="B372" s="19"/>
      <c r="C372" s="20"/>
      <c r="D372" s="21"/>
      <c r="K372" s="10"/>
    </row>
    <row r="373" spans="1:11" x14ac:dyDescent="0.25">
      <c r="A373" s="19"/>
      <c r="B373" s="19"/>
      <c r="C373" s="20"/>
      <c r="D373" s="21"/>
      <c r="K373" s="10"/>
    </row>
    <row r="374" spans="1:11" x14ac:dyDescent="0.25">
      <c r="A374" s="19"/>
      <c r="B374" s="19"/>
      <c r="C374" s="20"/>
      <c r="D374" s="21"/>
      <c r="K374" s="10"/>
    </row>
    <row r="375" spans="1:11" x14ac:dyDescent="0.25">
      <c r="A375" s="19"/>
      <c r="B375" s="19"/>
      <c r="C375" s="20"/>
      <c r="D375" s="21"/>
      <c r="K375" s="10"/>
    </row>
    <row r="376" spans="1:11" x14ac:dyDescent="0.25">
      <c r="A376" s="19"/>
      <c r="B376" s="19"/>
      <c r="C376" s="20"/>
      <c r="D376" s="21"/>
      <c r="K376" s="10"/>
    </row>
    <row r="377" spans="1:11" x14ac:dyDescent="0.25">
      <c r="A377" s="19"/>
      <c r="B377" s="19"/>
      <c r="C377" s="20"/>
      <c r="D377" s="21"/>
      <c r="K377" s="10"/>
    </row>
    <row r="378" spans="1:11" x14ac:dyDescent="0.25">
      <c r="A378" s="19"/>
      <c r="B378" s="19"/>
      <c r="C378" s="20"/>
      <c r="D378" s="21"/>
      <c r="K378" s="10"/>
    </row>
    <row r="379" spans="1:11" x14ac:dyDescent="0.25">
      <c r="A379" s="19"/>
      <c r="B379" s="19"/>
      <c r="C379" s="20"/>
      <c r="D379" s="21"/>
      <c r="K379" s="10"/>
    </row>
    <row r="380" spans="1:11" x14ac:dyDescent="0.25">
      <c r="A380" s="19"/>
      <c r="B380" s="19"/>
      <c r="C380" s="20"/>
      <c r="D380" s="21"/>
      <c r="K380" s="10"/>
    </row>
    <row r="381" spans="1:11" x14ac:dyDescent="0.25">
      <c r="A381" s="19"/>
      <c r="B381" s="19"/>
      <c r="C381" s="20"/>
      <c r="D381" s="21"/>
      <c r="K381" s="10"/>
    </row>
    <row r="382" spans="1:11" x14ac:dyDescent="0.25">
      <c r="A382" s="19"/>
      <c r="B382" s="19"/>
      <c r="C382" s="20"/>
      <c r="D382" s="21"/>
      <c r="K382" s="10"/>
    </row>
    <row r="383" spans="1:11" x14ac:dyDescent="0.25">
      <c r="A383" s="19"/>
      <c r="B383" s="19"/>
      <c r="C383" s="20"/>
      <c r="D383" s="21"/>
      <c r="K383" s="10"/>
    </row>
    <row r="384" spans="1:11" x14ac:dyDescent="0.25">
      <c r="A384" s="19"/>
      <c r="B384" s="19"/>
      <c r="C384" s="20"/>
      <c r="D384" s="21"/>
      <c r="K384" s="10"/>
    </row>
    <row r="385" spans="1:11" x14ac:dyDescent="0.25">
      <c r="A385" s="19"/>
      <c r="B385" s="19"/>
      <c r="C385" s="20"/>
      <c r="D385" s="21"/>
      <c r="K385" s="10"/>
    </row>
    <row r="386" spans="1:11" x14ac:dyDescent="0.25">
      <c r="A386" s="19"/>
      <c r="B386" s="19"/>
      <c r="C386" s="20"/>
      <c r="D386" s="21"/>
      <c r="K386" s="10"/>
    </row>
    <row r="387" spans="1:11" x14ac:dyDescent="0.25">
      <c r="A387" s="19"/>
      <c r="B387" s="19"/>
      <c r="C387" s="20"/>
      <c r="D387" s="21"/>
      <c r="K387" s="10"/>
    </row>
    <row r="388" spans="1:11" x14ac:dyDescent="0.25">
      <c r="A388" s="19"/>
      <c r="B388" s="19"/>
      <c r="C388" s="20"/>
      <c r="D388" s="21"/>
      <c r="K388" s="10"/>
    </row>
    <row r="389" spans="1:11" x14ac:dyDescent="0.25">
      <c r="A389" s="19"/>
      <c r="B389" s="19"/>
      <c r="C389" s="20"/>
      <c r="D389" s="21"/>
      <c r="K389" s="10"/>
    </row>
    <row r="390" spans="1:11" x14ac:dyDescent="0.25">
      <c r="A390" s="19"/>
      <c r="B390" s="19"/>
      <c r="C390" s="20"/>
      <c r="D390" s="21"/>
      <c r="K390" s="10"/>
    </row>
    <row r="391" spans="1:11" x14ac:dyDescent="0.25">
      <c r="A391" s="19"/>
      <c r="B391" s="19"/>
      <c r="C391" s="20"/>
      <c r="D391" s="21"/>
      <c r="K391" s="10"/>
    </row>
    <row r="392" spans="1:11" x14ac:dyDescent="0.25">
      <c r="A392" s="19"/>
      <c r="B392" s="19"/>
      <c r="C392" s="20"/>
      <c r="D392" s="21"/>
      <c r="K392" s="10"/>
    </row>
    <row r="393" spans="1:11" x14ac:dyDescent="0.25">
      <c r="A393" s="19"/>
      <c r="B393" s="19"/>
      <c r="C393" s="20"/>
      <c r="D393" s="21"/>
      <c r="K393" s="10"/>
    </row>
    <row r="394" spans="1:11" x14ac:dyDescent="0.25">
      <c r="A394" s="19"/>
      <c r="B394" s="19"/>
      <c r="C394" s="20"/>
      <c r="D394" s="21"/>
      <c r="K394" s="10"/>
    </row>
    <row r="395" spans="1:11" x14ac:dyDescent="0.25">
      <c r="A395" s="19"/>
      <c r="B395" s="19"/>
      <c r="C395" s="20"/>
      <c r="D395" s="21"/>
      <c r="K395" s="10"/>
    </row>
    <row r="396" spans="1:11" x14ac:dyDescent="0.25">
      <c r="A396" s="19"/>
      <c r="B396" s="19"/>
      <c r="C396" s="20"/>
      <c r="D396" s="21"/>
      <c r="K396" s="10"/>
    </row>
    <row r="397" spans="1:11" x14ac:dyDescent="0.25">
      <c r="A397" s="19"/>
      <c r="B397" s="19"/>
      <c r="C397" s="20"/>
      <c r="D397" s="21"/>
      <c r="K397" s="10"/>
    </row>
    <row r="398" spans="1:11" x14ac:dyDescent="0.25">
      <c r="A398" s="19"/>
      <c r="B398" s="19"/>
      <c r="C398" s="20"/>
      <c r="D398" s="21"/>
      <c r="K398" s="10"/>
    </row>
    <row r="399" spans="1:11" x14ac:dyDescent="0.25">
      <c r="A399" s="19"/>
      <c r="B399" s="19"/>
      <c r="C399" s="20"/>
      <c r="D399" s="21"/>
      <c r="K399" s="10"/>
    </row>
    <row r="400" spans="1:11" x14ac:dyDescent="0.25">
      <c r="A400" s="19"/>
      <c r="B400" s="19"/>
      <c r="C400" s="20"/>
      <c r="D400" s="21"/>
      <c r="K400" s="10"/>
    </row>
    <row r="401" spans="1:11" x14ac:dyDescent="0.25">
      <c r="A401" s="19"/>
      <c r="B401" s="19"/>
      <c r="C401" s="20"/>
      <c r="D401" s="21"/>
      <c r="K401" s="10"/>
    </row>
    <row r="402" spans="1:11" x14ac:dyDescent="0.25">
      <c r="A402" s="19"/>
      <c r="B402" s="19"/>
      <c r="C402" s="20"/>
      <c r="D402" s="21"/>
      <c r="K402" s="10"/>
    </row>
    <row r="403" spans="1:11" x14ac:dyDescent="0.25">
      <c r="A403" s="19"/>
      <c r="B403" s="19"/>
      <c r="C403" s="20"/>
      <c r="D403" s="21"/>
      <c r="K403" s="10"/>
    </row>
    <row r="404" spans="1:11" x14ac:dyDescent="0.25">
      <c r="A404" s="19"/>
      <c r="B404" s="19"/>
      <c r="C404" s="20"/>
      <c r="D404" s="21"/>
      <c r="K404" s="10"/>
    </row>
    <row r="405" spans="1:11" x14ac:dyDescent="0.25">
      <c r="A405" s="19"/>
      <c r="B405" s="19"/>
      <c r="C405" s="20"/>
      <c r="D405" s="21"/>
      <c r="K405" s="10"/>
    </row>
    <row r="406" spans="1:11" x14ac:dyDescent="0.25">
      <c r="A406" s="19"/>
      <c r="B406" s="19"/>
      <c r="C406" s="20"/>
      <c r="D406" s="21"/>
      <c r="K406" s="10"/>
    </row>
    <row r="407" spans="1:11" x14ac:dyDescent="0.25">
      <c r="A407" s="19"/>
      <c r="B407" s="19"/>
      <c r="C407" s="20"/>
      <c r="D407" s="21"/>
      <c r="K407" s="10"/>
    </row>
    <row r="408" spans="1:11" x14ac:dyDescent="0.25">
      <c r="A408" s="19"/>
      <c r="B408" s="19"/>
      <c r="C408" s="20"/>
      <c r="D408" s="21"/>
      <c r="K408" s="10"/>
    </row>
    <row r="409" spans="1:11" x14ac:dyDescent="0.25">
      <c r="A409" s="19"/>
      <c r="B409" s="19"/>
      <c r="C409" s="20"/>
      <c r="D409" s="21"/>
      <c r="K409" s="10"/>
    </row>
    <row r="410" spans="1:11" x14ac:dyDescent="0.25">
      <c r="A410" s="19"/>
      <c r="B410" s="19"/>
      <c r="C410" s="20"/>
      <c r="D410" s="21"/>
      <c r="K410" s="10"/>
    </row>
    <row r="411" spans="1:11" x14ac:dyDescent="0.25">
      <c r="A411" s="19"/>
      <c r="B411" s="19"/>
      <c r="C411" s="20"/>
      <c r="D411" s="21"/>
      <c r="K411" s="10"/>
    </row>
    <row r="412" spans="1:11" x14ac:dyDescent="0.25">
      <c r="A412" s="19"/>
      <c r="B412" s="19"/>
      <c r="C412" s="20"/>
      <c r="D412" s="21"/>
      <c r="K412" s="10"/>
    </row>
    <row r="413" spans="1:11" x14ac:dyDescent="0.25">
      <c r="A413" s="19"/>
      <c r="B413" s="19"/>
      <c r="C413" s="20"/>
      <c r="D413" s="21"/>
      <c r="K413" s="10"/>
    </row>
    <row r="414" spans="1:11" x14ac:dyDescent="0.25">
      <c r="A414" s="19"/>
      <c r="B414" s="19"/>
      <c r="C414" s="20"/>
      <c r="D414" s="21"/>
      <c r="K414" s="10"/>
    </row>
    <row r="415" spans="1:11" x14ac:dyDescent="0.25">
      <c r="A415" s="19"/>
      <c r="B415" s="19"/>
      <c r="C415" s="20"/>
      <c r="D415" s="21"/>
      <c r="K415" s="10"/>
    </row>
    <row r="416" spans="1:11" x14ac:dyDescent="0.25">
      <c r="A416" s="19"/>
      <c r="B416" s="19"/>
      <c r="C416" s="20"/>
      <c r="D416" s="21"/>
      <c r="K416" s="10"/>
    </row>
    <row r="417" spans="1:11" x14ac:dyDescent="0.25">
      <c r="A417" s="19"/>
      <c r="B417" s="19"/>
      <c r="C417" s="20"/>
      <c r="D417" s="21"/>
      <c r="K417" s="10"/>
    </row>
    <row r="418" spans="1:11" x14ac:dyDescent="0.25">
      <c r="A418" s="19"/>
      <c r="B418" s="19"/>
      <c r="C418" s="20"/>
      <c r="D418" s="21"/>
      <c r="K418" s="10"/>
    </row>
    <row r="419" spans="1:11" x14ac:dyDescent="0.25">
      <c r="A419" s="19"/>
      <c r="B419" s="19"/>
      <c r="C419" s="20"/>
      <c r="D419" s="21"/>
      <c r="K419" s="10"/>
    </row>
    <row r="420" spans="1:11" x14ac:dyDescent="0.25">
      <c r="A420" s="19"/>
      <c r="B420" s="19"/>
      <c r="C420" s="20"/>
      <c r="D420" s="21"/>
      <c r="K420" s="10"/>
    </row>
    <row r="421" spans="1:11" x14ac:dyDescent="0.25">
      <c r="A421" s="19"/>
      <c r="B421" s="19"/>
      <c r="C421" s="20"/>
      <c r="D421" s="21"/>
      <c r="K421" s="10"/>
    </row>
    <row r="422" spans="1:11" x14ac:dyDescent="0.25">
      <c r="A422" s="19"/>
      <c r="B422" s="19"/>
      <c r="C422" s="20"/>
      <c r="D422" s="21"/>
      <c r="K422" s="10"/>
    </row>
    <row r="423" spans="1:11" x14ac:dyDescent="0.25">
      <c r="A423" s="19"/>
      <c r="B423" s="19"/>
      <c r="C423" s="20"/>
      <c r="D423" s="21"/>
      <c r="K423" s="10"/>
    </row>
    <row r="424" spans="1:11" x14ac:dyDescent="0.25">
      <c r="A424" s="19"/>
      <c r="B424" s="19"/>
      <c r="C424" s="20"/>
      <c r="D424" s="21"/>
      <c r="K424" s="10"/>
    </row>
    <row r="425" spans="1:11" x14ac:dyDescent="0.25">
      <c r="A425" s="19"/>
      <c r="B425" s="19"/>
      <c r="C425" s="20"/>
      <c r="D425" s="21"/>
      <c r="K425" s="10"/>
    </row>
    <row r="426" spans="1:11" x14ac:dyDescent="0.25">
      <c r="A426" s="19"/>
      <c r="B426" s="19"/>
      <c r="C426" s="20"/>
      <c r="D426" s="21"/>
      <c r="K426" s="10"/>
    </row>
    <row r="427" spans="1:11" x14ac:dyDescent="0.25">
      <c r="A427" s="19"/>
      <c r="B427" s="19"/>
      <c r="C427" s="20"/>
      <c r="D427" s="21"/>
      <c r="K427" s="10"/>
    </row>
    <row r="428" spans="1:11" x14ac:dyDescent="0.25">
      <c r="A428" s="19"/>
      <c r="B428" s="19"/>
      <c r="C428" s="20"/>
      <c r="D428" s="21"/>
      <c r="K428" s="10"/>
    </row>
    <row r="429" spans="1:11" x14ac:dyDescent="0.25">
      <c r="A429" s="19"/>
      <c r="B429" s="19"/>
      <c r="C429" s="20"/>
      <c r="D429" s="21"/>
      <c r="K429" s="10"/>
    </row>
    <row r="430" spans="1:11" x14ac:dyDescent="0.25">
      <c r="A430" s="19"/>
      <c r="B430" s="19"/>
      <c r="C430" s="20"/>
      <c r="D430" s="21"/>
      <c r="K430" s="10"/>
    </row>
    <row r="431" spans="1:11" x14ac:dyDescent="0.25">
      <c r="A431" s="19"/>
      <c r="B431" s="19"/>
      <c r="C431" s="20"/>
      <c r="D431" s="21"/>
      <c r="K431" s="10"/>
    </row>
    <row r="432" spans="1:11" x14ac:dyDescent="0.25">
      <c r="A432" s="19"/>
      <c r="B432" s="19"/>
      <c r="C432" s="20"/>
      <c r="D432" s="21"/>
      <c r="K432" s="10"/>
    </row>
    <row r="433" spans="1:11" x14ac:dyDescent="0.25">
      <c r="A433" s="19"/>
      <c r="B433" s="19"/>
      <c r="C433" s="20"/>
      <c r="D433" s="21"/>
      <c r="K433" s="10"/>
    </row>
    <row r="434" spans="1:11" x14ac:dyDescent="0.25">
      <c r="A434" s="19"/>
      <c r="B434" s="19"/>
      <c r="C434" s="20"/>
      <c r="D434" s="21"/>
      <c r="K434" s="10"/>
    </row>
    <row r="435" spans="1:11" x14ac:dyDescent="0.25">
      <c r="A435" s="19"/>
      <c r="B435" s="19"/>
      <c r="C435" s="20"/>
      <c r="D435" s="21"/>
      <c r="K435" s="10"/>
    </row>
    <row r="436" spans="1:11" x14ac:dyDescent="0.25">
      <c r="A436" s="19"/>
      <c r="B436" s="19"/>
      <c r="C436" s="20"/>
      <c r="D436" s="21"/>
      <c r="K436" s="10"/>
    </row>
    <row r="437" spans="1:11" x14ac:dyDescent="0.25">
      <c r="A437" s="19"/>
      <c r="B437" s="19"/>
      <c r="C437" s="20"/>
      <c r="D437" s="21"/>
      <c r="K437" s="10"/>
    </row>
    <row r="438" spans="1:11" x14ac:dyDescent="0.25">
      <c r="A438" s="19"/>
      <c r="B438" s="19"/>
      <c r="C438" s="20"/>
      <c r="D438" s="21"/>
      <c r="K438" s="10"/>
    </row>
    <row r="439" spans="1:11" x14ac:dyDescent="0.25">
      <c r="A439" s="19"/>
      <c r="B439" s="19"/>
      <c r="C439" s="20"/>
      <c r="D439" s="21"/>
      <c r="K439" s="10"/>
    </row>
    <row r="440" spans="1:11" x14ac:dyDescent="0.25">
      <c r="A440" s="19"/>
      <c r="B440" s="19"/>
      <c r="C440" s="20"/>
      <c r="D440" s="21"/>
      <c r="K440" s="10"/>
    </row>
    <row r="441" spans="1:11" x14ac:dyDescent="0.25">
      <c r="A441" s="19"/>
      <c r="B441" s="19"/>
      <c r="C441" s="20"/>
      <c r="D441" s="21"/>
      <c r="K441" s="10"/>
    </row>
    <row r="442" spans="1:11" x14ac:dyDescent="0.25">
      <c r="A442" s="19"/>
      <c r="B442" s="19"/>
      <c r="C442" s="20"/>
      <c r="D442" s="21"/>
      <c r="K442" s="10"/>
    </row>
    <row r="443" spans="1:11" x14ac:dyDescent="0.25">
      <c r="A443" s="19"/>
      <c r="B443" s="19"/>
      <c r="C443" s="20"/>
      <c r="D443" s="21"/>
      <c r="K443" s="10"/>
    </row>
    <row r="444" spans="1:11" x14ac:dyDescent="0.25">
      <c r="A444" s="19"/>
      <c r="B444" s="19"/>
      <c r="C444" s="20"/>
      <c r="D444" s="21"/>
      <c r="K444" s="10"/>
    </row>
    <row r="445" spans="1:11" x14ac:dyDescent="0.25">
      <c r="A445" s="19"/>
      <c r="B445" s="19"/>
      <c r="C445" s="20"/>
      <c r="D445" s="21"/>
      <c r="K445" s="10"/>
    </row>
    <row r="446" spans="1:11" x14ac:dyDescent="0.25">
      <c r="A446" s="19"/>
      <c r="B446" s="19"/>
      <c r="C446" s="20"/>
      <c r="D446" s="21"/>
      <c r="K446" s="10"/>
    </row>
    <row r="447" spans="1:11" x14ac:dyDescent="0.25">
      <c r="A447" s="19"/>
      <c r="B447" s="19"/>
      <c r="C447" s="20"/>
      <c r="D447" s="21"/>
      <c r="K447" s="10"/>
    </row>
    <row r="448" spans="1:11" x14ac:dyDescent="0.25">
      <c r="A448" s="19"/>
      <c r="B448" s="19"/>
      <c r="C448" s="20"/>
      <c r="D448" s="21"/>
      <c r="K448" s="10"/>
    </row>
    <row r="449" spans="1:11" x14ac:dyDescent="0.25">
      <c r="A449" s="19"/>
      <c r="B449" s="19"/>
      <c r="C449" s="20"/>
      <c r="D449" s="21"/>
      <c r="K449" s="10"/>
    </row>
    <row r="450" spans="1:11" x14ac:dyDescent="0.25">
      <c r="A450" s="19"/>
      <c r="B450" s="19"/>
      <c r="C450" s="20"/>
      <c r="D450" s="21"/>
      <c r="K450" s="10"/>
    </row>
    <row r="451" spans="1:11" x14ac:dyDescent="0.25">
      <c r="A451" s="19"/>
      <c r="B451" s="19"/>
      <c r="C451" s="20"/>
      <c r="D451" s="21"/>
      <c r="K451" s="10"/>
    </row>
    <row r="452" spans="1:11" x14ac:dyDescent="0.25">
      <c r="A452" s="19"/>
      <c r="B452" s="19"/>
      <c r="C452" s="20"/>
      <c r="D452" s="21"/>
      <c r="K452" s="10"/>
    </row>
    <row r="453" spans="1:11" x14ac:dyDescent="0.25">
      <c r="A453" s="19"/>
      <c r="B453" s="19"/>
      <c r="C453" s="20"/>
      <c r="D453" s="21"/>
      <c r="K453" s="10"/>
    </row>
    <row r="454" spans="1:11" x14ac:dyDescent="0.25">
      <c r="A454" s="19"/>
      <c r="B454" s="19"/>
      <c r="C454" s="20"/>
      <c r="D454" s="21"/>
      <c r="K454" s="10"/>
    </row>
    <row r="455" spans="1:11" x14ac:dyDescent="0.25">
      <c r="A455" s="19"/>
      <c r="B455" s="19"/>
      <c r="C455" s="20"/>
      <c r="D455" s="21"/>
      <c r="K455" s="10"/>
    </row>
    <row r="456" spans="1:11" x14ac:dyDescent="0.25">
      <c r="A456" s="19"/>
      <c r="B456" s="19"/>
      <c r="C456" s="20"/>
      <c r="D456" s="21"/>
      <c r="K456" s="10"/>
    </row>
    <row r="457" spans="1:11" x14ac:dyDescent="0.25">
      <c r="A457" s="19"/>
      <c r="B457" s="19"/>
      <c r="C457" s="20"/>
      <c r="D457" s="21"/>
      <c r="K457" s="10"/>
    </row>
    <row r="458" spans="1:11" x14ac:dyDescent="0.25">
      <c r="A458" s="19"/>
      <c r="B458" s="19"/>
      <c r="C458" s="20"/>
      <c r="D458" s="21"/>
      <c r="K458" s="10"/>
    </row>
    <row r="459" spans="1:11" x14ac:dyDescent="0.25">
      <c r="A459" s="19"/>
      <c r="B459" s="19"/>
      <c r="C459" s="20"/>
      <c r="D459" s="21"/>
      <c r="K459" s="10"/>
    </row>
    <row r="460" spans="1:11" x14ac:dyDescent="0.25">
      <c r="A460" s="19"/>
      <c r="B460" s="19"/>
      <c r="C460" s="20"/>
      <c r="D460" s="21"/>
      <c r="K460" s="10"/>
    </row>
    <row r="461" spans="1:11" x14ac:dyDescent="0.25">
      <c r="A461" s="19"/>
      <c r="B461" s="19"/>
      <c r="C461" s="20"/>
      <c r="D461" s="21"/>
      <c r="K461" s="10"/>
    </row>
    <row r="462" spans="1:11" x14ac:dyDescent="0.25">
      <c r="A462" s="19"/>
      <c r="B462" s="19"/>
      <c r="C462" s="20"/>
      <c r="D462" s="21"/>
      <c r="K462" s="10"/>
    </row>
    <row r="463" spans="1:11" x14ac:dyDescent="0.25">
      <c r="A463" s="19"/>
      <c r="B463" s="19"/>
      <c r="C463" s="20"/>
      <c r="D463" s="21"/>
      <c r="K463" s="10"/>
    </row>
    <row r="464" spans="1:11" x14ac:dyDescent="0.25">
      <c r="A464" s="19"/>
      <c r="B464" s="19"/>
      <c r="C464" s="20"/>
      <c r="D464" s="21"/>
      <c r="K464" s="10"/>
    </row>
    <row r="465" spans="1:11" x14ac:dyDescent="0.25">
      <c r="A465" s="19"/>
      <c r="B465" s="19"/>
      <c r="C465" s="20"/>
      <c r="D465" s="21"/>
      <c r="K465" s="10"/>
    </row>
    <row r="466" spans="1:11" x14ac:dyDescent="0.25">
      <c r="A466" s="19"/>
      <c r="B466" s="19"/>
      <c r="C466" s="20"/>
      <c r="D466" s="21"/>
      <c r="K466" s="10"/>
    </row>
    <row r="467" spans="1:11" x14ac:dyDescent="0.25">
      <c r="A467" s="19"/>
      <c r="B467" s="19"/>
      <c r="C467" s="20"/>
      <c r="D467" s="21"/>
      <c r="K467" s="10"/>
    </row>
    <row r="468" spans="1:11" x14ac:dyDescent="0.25">
      <c r="A468" s="19"/>
      <c r="B468" s="19"/>
      <c r="C468" s="20"/>
      <c r="D468" s="21"/>
      <c r="K468" s="10"/>
    </row>
    <row r="469" spans="1:11" x14ac:dyDescent="0.25">
      <c r="A469" s="19"/>
      <c r="B469" s="19"/>
      <c r="C469" s="20"/>
      <c r="D469" s="21"/>
      <c r="K469" s="10"/>
    </row>
    <row r="470" spans="1:11" x14ac:dyDescent="0.25">
      <c r="A470" s="19"/>
      <c r="B470" s="19"/>
      <c r="C470" s="20"/>
      <c r="D470" s="21"/>
      <c r="K470" s="10"/>
    </row>
    <row r="471" spans="1:11" x14ac:dyDescent="0.25">
      <c r="A471" s="19"/>
      <c r="B471" s="19"/>
      <c r="C471" s="20"/>
      <c r="D471" s="21"/>
      <c r="K471" s="10"/>
    </row>
    <row r="472" spans="1:11" x14ac:dyDescent="0.25">
      <c r="A472" s="19"/>
      <c r="B472" s="19"/>
      <c r="C472" s="20"/>
      <c r="D472" s="21"/>
      <c r="K472" s="10"/>
    </row>
    <row r="473" spans="1:11" x14ac:dyDescent="0.25">
      <c r="A473" s="19"/>
      <c r="B473" s="19"/>
      <c r="C473" s="20"/>
      <c r="D473" s="21"/>
      <c r="K473" s="10"/>
    </row>
    <row r="474" spans="1:11" x14ac:dyDescent="0.25">
      <c r="A474" s="19"/>
      <c r="B474" s="19"/>
      <c r="C474" s="20"/>
      <c r="D474" s="21"/>
      <c r="K474" s="10"/>
    </row>
    <row r="475" spans="1:11" x14ac:dyDescent="0.25">
      <c r="A475" s="19"/>
      <c r="B475" s="19"/>
      <c r="C475" s="20"/>
      <c r="D475" s="21"/>
      <c r="K475" s="10"/>
    </row>
    <row r="476" spans="1:11" x14ac:dyDescent="0.25">
      <c r="A476" s="19"/>
      <c r="B476" s="19"/>
      <c r="C476" s="20"/>
      <c r="D476" s="21"/>
      <c r="K476" s="10"/>
    </row>
    <row r="477" spans="1:11" x14ac:dyDescent="0.25">
      <c r="A477" s="19"/>
      <c r="B477" s="19"/>
      <c r="C477" s="20"/>
      <c r="D477" s="21"/>
      <c r="K477" s="10"/>
    </row>
    <row r="478" spans="1:11" x14ac:dyDescent="0.25">
      <c r="A478" s="19"/>
      <c r="B478" s="19"/>
      <c r="C478" s="20"/>
      <c r="D478" s="21"/>
      <c r="K478" s="10"/>
    </row>
    <row r="479" spans="1:11" x14ac:dyDescent="0.25">
      <c r="A479" s="19"/>
      <c r="B479" s="19"/>
      <c r="C479" s="20"/>
      <c r="D479" s="21"/>
      <c r="K479" s="10"/>
    </row>
    <row r="480" spans="1:11" x14ac:dyDescent="0.25">
      <c r="A480" s="19"/>
      <c r="B480" s="19"/>
      <c r="C480" s="20"/>
      <c r="D480" s="21"/>
      <c r="K480" s="10"/>
    </row>
    <row r="481" spans="1:11" x14ac:dyDescent="0.25">
      <c r="A481" s="19"/>
      <c r="B481" s="19"/>
      <c r="C481" s="20"/>
      <c r="D481" s="21"/>
      <c r="K481" s="10"/>
    </row>
    <row r="482" spans="1:11" x14ac:dyDescent="0.25">
      <c r="A482" s="19"/>
      <c r="B482" s="19"/>
      <c r="C482" s="20"/>
      <c r="D482" s="21"/>
      <c r="K482" s="10"/>
    </row>
    <row r="483" spans="1:11" x14ac:dyDescent="0.25">
      <c r="A483" s="19"/>
      <c r="B483" s="19"/>
      <c r="C483" s="20"/>
      <c r="D483" s="21"/>
      <c r="K483" s="10"/>
    </row>
    <row r="484" spans="1:11" x14ac:dyDescent="0.25">
      <c r="A484" s="19"/>
      <c r="B484" s="19"/>
      <c r="C484" s="20"/>
      <c r="D484" s="21"/>
      <c r="K484" s="10"/>
    </row>
    <row r="485" spans="1:11" x14ac:dyDescent="0.25">
      <c r="A485" s="19"/>
      <c r="B485" s="19"/>
      <c r="C485" s="20"/>
      <c r="D485" s="21"/>
      <c r="K485" s="10"/>
    </row>
    <row r="486" spans="1:11" x14ac:dyDescent="0.25">
      <c r="A486" s="19"/>
      <c r="B486" s="19"/>
      <c r="C486" s="20"/>
      <c r="D486" s="21"/>
      <c r="K486" s="10"/>
    </row>
    <row r="487" spans="1:11" x14ac:dyDescent="0.25">
      <c r="A487" s="19"/>
      <c r="B487" s="19"/>
      <c r="C487" s="20"/>
      <c r="D487" s="21"/>
      <c r="K487" s="10"/>
    </row>
    <row r="488" spans="1:11" x14ac:dyDescent="0.25">
      <c r="A488" s="19"/>
      <c r="B488" s="19"/>
      <c r="C488" s="20"/>
      <c r="D488" s="21"/>
      <c r="K488" s="10"/>
    </row>
    <row r="489" spans="1:11" x14ac:dyDescent="0.25">
      <c r="A489" s="19"/>
      <c r="B489" s="19"/>
      <c r="C489" s="20"/>
      <c r="D489" s="21"/>
      <c r="K489" s="10"/>
    </row>
    <row r="490" spans="1:11" x14ac:dyDescent="0.25">
      <c r="A490" s="19"/>
      <c r="B490" s="19"/>
      <c r="C490" s="20"/>
      <c r="D490" s="21"/>
      <c r="K490" s="10"/>
    </row>
    <row r="491" spans="1:11" x14ac:dyDescent="0.25">
      <c r="A491" s="19"/>
      <c r="B491" s="19"/>
      <c r="C491" s="20"/>
      <c r="D491" s="21"/>
      <c r="K491" s="10"/>
    </row>
    <row r="492" spans="1:11" x14ac:dyDescent="0.25">
      <c r="A492" s="19"/>
      <c r="B492" s="19"/>
      <c r="C492" s="20"/>
      <c r="D492" s="21"/>
      <c r="K492" s="10"/>
    </row>
    <row r="493" spans="1:11" x14ac:dyDescent="0.25">
      <c r="A493" s="19"/>
      <c r="B493" s="19"/>
      <c r="C493" s="20"/>
      <c r="D493" s="21"/>
      <c r="K493" s="10"/>
    </row>
    <row r="494" spans="1:11" x14ac:dyDescent="0.25">
      <c r="A494" s="19"/>
      <c r="B494" s="19"/>
      <c r="C494" s="20"/>
      <c r="D494" s="21"/>
      <c r="K494" s="10"/>
    </row>
    <row r="495" spans="1:11" x14ac:dyDescent="0.25">
      <c r="A495" s="19"/>
      <c r="B495" s="19"/>
      <c r="C495" s="20"/>
      <c r="D495" s="21"/>
      <c r="K495" s="10"/>
    </row>
    <row r="496" spans="1:11" x14ac:dyDescent="0.25">
      <c r="A496" s="19"/>
      <c r="B496" s="19"/>
      <c r="C496" s="20"/>
      <c r="D496" s="21"/>
      <c r="K496" s="10"/>
    </row>
    <row r="497" spans="1:11" x14ac:dyDescent="0.25">
      <c r="A497" s="19"/>
      <c r="B497" s="19"/>
      <c r="C497" s="20"/>
      <c r="D497" s="21"/>
      <c r="K497" s="10"/>
    </row>
    <row r="498" spans="1:11" x14ac:dyDescent="0.25">
      <c r="A498" s="19"/>
      <c r="B498" s="19"/>
      <c r="C498" s="20"/>
      <c r="D498" s="21"/>
      <c r="K498" s="10"/>
    </row>
    <row r="499" spans="1:11" x14ac:dyDescent="0.25">
      <c r="A499" s="19"/>
      <c r="B499" s="19"/>
      <c r="C499" s="20"/>
      <c r="D499" s="21"/>
      <c r="K499" s="10"/>
    </row>
    <row r="500" spans="1:11" x14ac:dyDescent="0.25">
      <c r="A500" s="19"/>
      <c r="B500" s="19"/>
      <c r="C500" s="20"/>
      <c r="D500" s="21"/>
      <c r="K500" s="10"/>
    </row>
    <row r="501" spans="1:11" x14ac:dyDescent="0.25">
      <c r="A501" s="19"/>
      <c r="B501" s="19"/>
      <c r="C501" s="20"/>
      <c r="D501" s="21"/>
      <c r="K501" s="10"/>
    </row>
    <row r="502" spans="1:11" x14ac:dyDescent="0.25">
      <c r="A502" s="19"/>
      <c r="B502" s="19"/>
      <c r="C502" s="20"/>
      <c r="D502" s="21"/>
      <c r="K502" s="10"/>
    </row>
    <row r="503" spans="1:11" x14ac:dyDescent="0.25">
      <c r="A503" s="19"/>
      <c r="B503" s="19"/>
      <c r="C503" s="20"/>
      <c r="D503" s="21"/>
      <c r="K503" s="10"/>
    </row>
    <row r="504" spans="1:11" x14ac:dyDescent="0.25">
      <c r="A504" s="19"/>
      <c r="B504" s="19"/>
      <c r="C504" s="20"/>
      <c r="D504" s="21"/>
      <c r="K504" s="10"/>
    </row>
    <row r="505" spans="1:11" x14ac:dyDescent="0.25">
      <c r="A505" s="19"/>
      <c r="B505" s="19"/>
      <c r="C505" s="20"/>
      <c r="D505" s="21"/>
      <c r="K505" s="10"/>
    </row>
    <row r="506" spans="1:11" x14ac:dyDescent="0.25">
      <c r="A506" s="19"/>
      <c r="B506" s="19"/>
      <c r="C506" s="20"/>
      <c r="D506" s="21"/>
      <c r="K506" s="10"/>
    </row>
    <row r="507" spans="1:11" x14ac:dyDescent="0.25">
      <c r="A507" s="19"/>
      <c r="B507" s="19"/>
      <c r="C507" s="20"/>
      <c r="D507" s="21"/>
      <c r="K507" s="10"/>
    </row>
    <row r="508" spans="1:11" x14ac:dyDescent="0.25">
      <c r="A508" s="19"/>
      <c r="B508" s="19"/>
      <c r="C508" s="20"/>
      <c r="D508" s="21"/>
      <c r="K508" s="10"/>
    </row>
    <row r="509" spans="1:11" x14ac:dyDescent="0.25">
      <c r="A509" s="19"/>
      <c r="B509" s="19"/>
      <c r="C509" s="20"/>
      <c r="D509" s="21"/>
      <c r="K509" s="10"/>
    </row>
    <row r="510" spans="1:11" x14ac:dyDescent="0.25">
      <c r="A510" s="19"/>
      <c r="B510" s="19"/>
      <c r="C510" s="20"/>
      <c r="D510" s="21"/>
      <c r="K510" s="10"/>
    </row>
    <row r="511" spans="1:11" x14ac:dyDescent="0.25">
      <c r="A511" s="19"/>
      <c r="B511" s="19"/>
      <c r="C511" s="20"/>
      <c r="D511" s="21"/>
      <c r="K511" s="10"/>
    </row>
    <row r="512" spans="1:11" x14ac:dyDescent="0.25">
      <c r="A512" s="19"/>
      <c r="B512" s="19"/>
      <c r="C512" s="20"/>
      <c r="D512" s="21"/>
      <c r="K512" s="10"/>
    </row>
    <row r="513" spans="1:11" x14ac:dyDescent="0.25">
      <c r="A513" s="19"/>
      <c r="B513" s="19"/>
      <c r="C513" s="20"/>
      <c r="D513" s="21"/>
      <c r="K513" s="10"/>
    </row>
    <row r="514" spans="1:11" x14ac:dyDescent="0.25">
      <c r="A514" s="19"/>
      <c r="B514" s="19"/>
      <c r="C514" s="20"/>
      <c r="D514" s="21"/>
      <c r="K514" s="10"/>
    </row>
    <row r="515" spans="1:11" x14ac:dyDescent="0.25">
      <c r="A515" s="19"/>
      <c r="B515" s="19"/>
      <c r="C515" s="20"/>
      <c r="D515" s="21"/>
      <c r="K515" s="10"/>
    </row>
    <row r="516" spans="1:11" x14ac:dyDescent="0.25">
      <c r="A516" s="19"/>
      <c r="B516" s="19"/>
      <c r="C516" s="20"/>
      <c r="D516" s="21"/>
      <c r="K516" s="10"/>
    </row>
    <row r="517" spans="1:11" x14ac:dyDescent="0.25">
      <c r="A517" s="19"/>
      <c r="B517" s="19"/>
      <c r="C517" s="20"/>
      <c r="D517" s="21"/>
      <c r="K517" s="10"/>
    </row>
    <row r="518" spans="1:11" x14ac:dyDescent="0.25">
      <c r="A518" s="19"/>
      <c r="B518" s="19"/>
      <c r="C518" s="20"/>
      <c r="D518" s="21"/>
      <c r="K518" s="10"/>
    </row>
    <row r="519" spans="1:11" x14ac:dyDescent="0.25">
      <c r="A519" s="19"/>
      <c r="B519" s="19"/>
      <c r="C519" s="20"/>
      <c r="D519" s="21"/>
      <c r="K519" s="10"/>
    </row>
    <row r="520" spans="1:11" x14ac:dyDescent="0.25">
      <c r="A520" s="19"/>
      <c r="B520" s="19"/>
      <c r="C520" s="20"/>
      <c r="D520" s="21"/>
      <c r="K520" s="10"/>
    </row>
    <row r="521" spans="1:11" x14ac:dyDescent="0.25">
      <c r="A521" s="19"/>
      <c r="B521" s="19"/>
      <c r="C521" s="20"/>
      <c r="D521" s="21"/>
      <c r="K521" s="10"/>
    </row>
    <row r="522" spans="1:11" x14ac:dyDescent="0.25">
      <c r="A522" s="19"/>
      <c r="B522" s="19"/>
      <c r="C522" s="20"/>
      <c r="D522" s="21"/>
      <c r="K522" s="10"/>
    </row>
    <row r="523" spans="1:11" x14ac:dyDescent="0.25">
      <c r="A523" s="19"/>
      <c r="B523" s="19"/>
      <c r="C523" s="20"/>
      <c r="D523" s="21"/>
      <c r="K523" s="10"/>
    </row>
    <row r="524" spans="1:11" x14ac:dyDescent="0.25">
      <c r="A524" s="19"/>
      <c r="B524" s="19"/>
      <c r="C524" s="20"/>
      <c r="D524" s="21"/>
      <c r="K524" s="10"/>
    </row>
    <row r="525" spans="1:11" x14ac:dyDescent="0.25">
      <c r="A525" s="19"/>
      <c r="B525" s="19"/>
      <c r="C525" s="20"/>
      <c r="D525" s="21"/>
      <c r="K525" s="10"/>
    </row>
    <row r="526" spans="1:11" x14ac:dyDescent="0.25">
      <c r="A526" s="19"/>
      <c r="B526" s="19"/>
      <c r="C526" s="20"/>
      <c r="D526" s="21"/>
      <c r="K526" s="10"/>
    </row>
    <row r="527" spans="1:11" x14ac:dyDescent="0.25">
      <c r="A527" s="19"/>
      <c r="B527" s="19"/>
      <c r="C527" s="20"/>
      <c r="D527" s="21"/>
      <c r="K527" s="10"/>
    </row>
    <row r="528" spans="1:11" x14ac:dyDescent="0.25">
      <c r="A528" s="19"/>
      <c r="B528" s="19"/>
      <c r="C528" s="20"/>
      <c r="D528" s="21"/>
      <c r="K528" s="10"/>
    </row>
    <row r="529" spans="1:11" x14ac:dyDescent="0.25">
      <c r="A529" s="19"/>
      <c r="B529" s="19"/>
      <c r="C529" s="20"/>
      <c r="D529" s="21"/>
      <c r="K529" s="10"/>
    </row>
    <row r="530" spans="1:11" x14ac:dyDescent="0.25">
      <c r="A530" s="19"/>
      <c r="B530" s="19"/>
      <c r="C530" s="20"/>
      <c r="D530" s="21"/>
      <c r="K530" s="10"/>
    </row>
    <row r="531" spans="1:11" x14ac:dyDescent="0.25">
      <c r="A531" s="19"/>
      <c r="B531" s="19"/>
      <c r="C531" s="20"/>
      <c r="D531" s="21"/>
      <c r="K531" s="10"/>
    </row>
    <row r="532" spans="1:11" x14ac:dyDescent="0.25">
      <c r="A532" s="19"/>
      <c r="B532" s="19"/>
      <c r="C532" s="20"/>
      <c r="D532" s="21"/>
      <c r="K532" s="10"/>
    </row>
    <row r="533" spans="1:11" x14ac:dyDescent="0.25">
      <c r="A533" s="19"/>
      <c r="B533" s="19"/>
      <c r="C533" s="20"/>
      <c r="D533" s="21"/>
      <c r="K533" s="10"/>
    </row>
    <row r="534" spans="1:11" x14ac:dyDescent="0.25">
      <c r="A534" s="19"/>
      <c r="B534" s="19"/>
      <c r="C534" s="20"/>
      <c r="D534" s="21"/>
      <c r="K534" s="10"/>
    </row>
    <row r="535" spans="1:11" x14ac:dyDescent="0.25">
      <c r="A535" s="19"/>
      <c r="B535" s="19"/>
      <c r="C535" s="20"/>
      <c r="D535" s="21"/>
      <c r="K535" s="10"/>
    </row>
    <row r="536" spans="1:11" x14ac:dyDescent="0.25">
      <c r="A536" s="19"/>
      <c r="B536" s="19"/>
      <c r="C536" s="20"/>
      <c r="D536" s="21"/>
      <c r="K536" s="10"/>
    </row>
    <row r="537" spans="1:11" x14ac:dyDescent="0.25">
      <c r="A537" s="19"/>
      <c r="B537" s="19"/>
      <c r="C537" s="20"/>
      <c r="D537" s="21"/>
      <c r="K537" s="10"/>
    </row>
    <row r="538" spans="1:11" x14ac:dyDescent="0.25">
      <c r="A538" s="19"/>
      <c r="B538" s="19"/>
      <c r="C538" s="20"/>
      <c r="D538" s="21"/>
      <c r="K538" s="10"/>
    </row>
    <row r="539" spans="1:11" x14ac:dyDescent="0.25">
      <c r="A539" s="19"/>
      <c r="B539" s="19"/>
      <c r="C539" s="20"/>
      <c r="D539" s="21"/>
      <c r="K539" s="10"/>
    </row>
    <row r="540" spans="1:11" x14ac:dyDescent="0.25">
      <c r="A540" s="19"/>
      <c r="B540" s="19"/>
      <c r="C540" s="20"/>
      <c r="D540" s="21"/>
      <c r="K540" s="10"/>
    </row>
    <row r="541" spans="1:11" x14ac:dyDescent="0.25">
      <c r="A541" s="19"/>
      <c r="B541" s="19"/>
      <c r="C541" s="20"/>
      <c r="D541" s="21"/>
      <c r="K541" s="10"/>
    </row>
    <row r="542" spans="1:11" x14ac:dyDescent="0.25">
      <c r="A542" s="19"/>
      <c r="B542" s="19"/>
      <c r="C542" s="20"/>
      <c r="D542" s="21"/>
      <c r="K542" s="10"/>
    </row>
    <row r="543" spans="1:11" x14ac:dyDescent="0.25">
      <c r="A543" s="19"/>
      <c r="B543" s="19"/>
      <c r="C543" s="20"/>
      <c r="D543" s="21"/>
      <c r="K543" s="10"/>
    </row>
    <row r="544" spans="1:11" x14ac:dyDescent="0.25">
      <c r="A544" s="19"/>
      <c r="B544" s="19"/>
      <c r="C544" s="20"/>
      <c r="D544" s="21"/>
      <c r="K544" s="10"/>
    </row>
    <row r="545" spans="1:11" x14ac:dyDescent="0.25">
      <c r="A545" s="19"/>
      <c r="B545" s="19"/>
      <c r="C545" s="20"/>
      <c r="D545" s="21"/>
      <c r="K545" s="10"/>
    </row>
    <row r="546" spans="1:11" x14ac:dyDescent="0.25">
      <c r="A546" s="19"/>
      <c r="B546" s="19"/>
      <c r="C546" s="20"/>
      <c r="D546" s="21"/>
      <c r="K546" s="10"/>
    </row>
    <row r="547" spans="1:11" x14ac:dyDescent="0.25">
      <c r="A547" s="19"/>
      <c r="B547" s="19"/>
      <c r="C547" s="20"/>
      <c r="D547" s="21"/>
      <c r="K547" s="10"/>
    </row>
    <row r="548" spans="1:11" x14ac:dyDescent="0.25">
      <c r="A548" s="19"/>
      <c r="B548" s="19"/>
      <c r="C548" s="20"/>
      <c r="D548" s="21"/>
      <c r="K548" s="10"/>
    </row>
    <row r="549" spans="1:11" x14ac:dyDescent="0.25">
      <c r="A549" s="19"/>
      <c r="B549" s="19"/>
      <c r="C549" s="20"/>
      <c r="D549" s="21"/>
      <c r="K549" s="10"/>
    </row>
    <row r="550" spans="1:11" x14ac:dyDescent="0.25">
      <c r="A550" s="19"/>
      <c r="B550" s="19"/>
      <c r="C550" s="20"/>
      <c r="D550" s="21"/>
      <c r="K550" s="10"/>
    </row>
    <row r="551" spans="1:11" x14ac:dyDescent="0.25">
      <c r="A551" s="19"/>
      <c r="B551" s="19"/>
      <c r="C551" s="20"/>
      <c r="D551" s="21"/>
      <c r="K551" s="10"/>
    </row>
    <row r="552" spans="1:11" x14ac:dyDescent="0.25">
      <c r="A552" s="19"/>
      <c r="B552" s="19"/>
      <c r="C552" s="20"/>
      <c r="D552" s="21"/>
      <c r="K552" s="10"/>
    </row>
    <row r="553" spans="1:11" x14ac:dyDescent="0.25">
      <c r="A553" s="19"/>
      <c r="B553" s="19"/>
      <c r="C553" s="20"/>
      <c r="D553" s="21"/>
      <c r="K553" s="10"/>
    </row>
    <row r="554" spans="1:11" x14ac:dyDescent="0.25">
      <c r="A554" s="19"/>
      <c r="B554" s="19"/>
      <c r="C554" s="20"/>
      <c r="D554" s="21"/>
      <c r="K554" s="10"/>
    </row>
    <row r="555" spans="1:11" x14ac:dyDescent="0.25">
      <c r="A555" s="19"/>
      <c r="B555" s="19"/>
      <c r="C555" s="20"/>
      <c r="D555" s="21"/>
      <c r="K555" s="10"/>
    </row>
    <row r="556" spans="1:11" x14ac:dyDescent="0.25">
      <c r="A556" s="19"/>
      <c r="B556" s="19"/>
      <c r="C556" s="20"/>
      <c r="D556" s="21"/>
      <c r="K556" s="10"/>
    </row>
    <row r="557" spans="1:11" x14ac:dyDescent="0.25">
      <c r="A557" s="19"/>
      <c r="B557" s="19"/>
      <c r="C557" s="20"/>
      <c r="D557" s="21"/>
      <c r="K557" s="10"/>
    </row>
    <row r="558" spans="1:11" x14ac:dyDescent="0.25">
      <c r="A558" s="19"/>
      <c r="B558" s="19"/>
      <c r="C558" s="20"/>
      <c r="D558" s="21"/>
      <c r="K558" s="10"/>
    </row>
    <row r="559" spans="1:11" x14ac:dyDescent="0.25">
      <c r="A559" s="19"/>
      <c r="B559" s="19"/>
      <c r="C559" s="20"/>
      <c r="D559" s="21"/>
      <c r="K559" s="10"/>
    </row>
    <row r="560" spans="1:11" x14ac:dyDescent="0.25">
      <c r="A560" s="19"/>
      <c r="B560" s="19"/>
      <c r="C560" s="20"/>
      <c r="D560" s="21"/>
      <c r="K560" s="10"/>
    </row>
    <row r="561" spans="1:11" x14ac:dyDescent="0.25">
      <c r="A561" s="19"/>
      <c r="B561" s="19"/>
      <c r="C561" s="20"/>
      <c r="D561" s="21"/>
      <c r="K561" s="10"/>
    </row>
    <row r="562" spans="1:11" x14ac:dyDescent="0.25">
      <c r="A562" s="19"/>
      <c r="B562" s="19"/>
      <c r="C562" s="20"/>
      <c r="D562" s="21"/>
      <c r="K562" s="10"/>
    </row>
    <row r="563" spans="1:11" x14ac:dyDescent="0.25">
      <c r="A563" s="19"/>
      <c r="B563" s="19"/>
      <c r="C563" s="20"/>
      <c r="D563" s="21"/>
      <c r="K563" s="10"/>
    </row>
    <row r="564" spans="1:11" x14ac:dyDescent="0.25">
      <c r="A564" s="19"/>
      <c r="B564" s="19"/>
      <c r="C564" s="20"/>
      <c r="D564" s="21"/>
      <c r="K564" s="10"/>
    </row>
    <row r="565" spans="1:11" x14ac:dyDescent="0.25">
      <c r="A565" s="19"/>
      <c r="B565" s="19"/>
      <c r="C565" s="20"/>
      <c r="D565" s="21"/>
      <c r="K565" s="10"/>
    </row>
    <row r="566" spans="1:11" x14ac:dyDescent="0.25">
      <c r="A566" s="19"/>
      <c r="B566" s="19"/>
      <c r="C566" s="20"/>
      <c r="D566" s="21"/>
      <c r="K566" s="10"/>
    </row>
    <row r="567" spans="1:11" x14ac:dyDescent="0.25">
      <c r="A567" s="19"/>
      <c r="B567" s="19"/>
      <c r="C567" s="20"/>
      <c r="D567" s="21"/>
      <c r="K567" s="10"/>
    </row>
    <row r="568" spans="1:11" x14ac:dyDescent="0.25">
      <c r="A568" s="19"/>
      <c r="B568" s="19"/>
      <c r="C568" s="20"/>
      <c r="D568" s="21"/>
      <c r="K568" s="10"/>
    </row>
    <row r="569" spans="1:11" x14ac:dyDescent="0.25">
      <c r="A569" s="19"/>
      <c r="B569" s="19"/>
      <c r="C569" s="20"/>
      <c r="D569" s="21"/>
      <c r="K569" s="10"/>
    </row>
    <row r="570" spans="1:11" x14ac:dyDescent="0.25">
      <c r="A570" s="19"/>
      <c r="B570" s="19"/>
      <c r="C570" s="20"/>
      <c r="D570" s="21"/>
      <c r="K570" s="10"/>
    </row>
    <row r="571" spans="1:11" x14ac:dyDescent="0.25">
      <c r="A571" s="19"/>
      <c r="B571" s="19"/>
      <c r="C571" s="20"/>
      <c r="D571" s="21"/>
      <c r="K571" s="10"/>
    </row>
    <row r="572" spans="1:11" x14ac:dyDescent="0.25">
      <c r="A572" s="19"/>
      <c r="B572" s="19"/>
      <c r="C572" s="20"/>
      <c r="D572" s="21"/>
      <c r="K572" s="10"/>
    </row>
    <row r="573" spans="1:11" x14ac:dyDescent="0.25">
      <c r="A573" s="19"/>
      <c r="B573" s="19"/>
      <c r="C573" s="20"/>
      <c r="D573" s="21"/>
      <c r="K573" s="10"/>
    </row>
    <row r="574" spans="1:11" x14ac:dyDescent="0.25">
      <c r="A574" s="19"/>
      <c r="B574" s="19"/>
      <c r="C574" s="20"/>
      <c r="D574" s="21"/>
      <c r="K574" s="10"/>
    </row>
    <row r="575" spans="1:11" x14ac:dyDescent="0.25">
      <c r="A575" s="19"/>
      <c r="B575" s="19"/>
      <c r="C575" s="20"/>
      <c r="D575" s="21"/>
      <c r="K575" s="10"/>
    </row>
    <row r="576" spans="1:11" x14ac:dyDescent="0.25">
      <c r="A576" s="19"/>
      <c r="B576" s="19"/>
      <c r="C576" s="20"/>
      <c r="D576" s="21"/>
      <c r="K576" s="10"/>
    </row>
    <row r="577" spans="1:11" x14ac:dyDescent="0.25">
      <c r="A577" s="19"/>
      <c r="B577" s="19"/>
      <c r="C577" s="20"/>
      <c r="D577" s="21"/>
      <c r="K577" s="10"/>
    </row>
    <row r="578" spans="1:11" x14ac:dyDescent="0.25">
      <c r="A578" s="19"/>
      <c r="B578" s="19"/>
      <c r="C578" s="20"/>
      <c r="D578" s="21"/>
      <c r="K578" s="10"/>
    </row>
    <row r="579" spans="1:11" x14ac:dyDescent="0.25">
      <c r="A579" s="19"/>
      <c r="B579" s="19"/>
      <c r="C579" s="20"/>
      <c r="D579" s="21"/>
      <c r="K579" s="10"/>
    </row>
    <row r="580" spans="1:11" x14ac:dyDescent="0.25">
      <c r="A580" s="19"/>
      <c r="B580" s="19"/>
      <c r="C580" s="20"/>
      <c r="D580" s="21"/>
      <c r="K580" s="10"/>
    </row>
    <row r="581" spans="1:11" x14ac:dyDescent="0.25">
      <c r="A581" s="19"/>
      <c r="B581" s="19"/>
      <c r="C581" s="20"/>
      <c r="D581" s="21"/>
      <c r="K581" s="10"/>
    </row>
    <row r="582" spans="1:11" x14ac:dyDescent="0.25">
      <c r="A582" s="19"/>
      <c r="B582" s="19"/>
      <c r="C582" s="20"/>
      <c r="D582" s="21"/>
      <c r="K582" s="10"/>
    </row>
    <row r="583" spans="1:11" x14ac:dyDescent="0.25">
      <c r="A583" s="19"/>
      <c r="B583" s="19"/>
      <c r="C583" s="20"/>
      <c r="D583" s="21"/>
      <c r="K583" s="10"/>
    </row>
    <row r="584" spans="1:11" x14ac:dyDescent="0.25">
      <c r="A584" s="19"/>
      <c r="B584" s="19"/>
      <c r="C584" s="20"/>
      <c r="D584" s="21"/>
      <c r="K584" s="10"/>
    </row>
    <row r="585" spans="1:11" x14ac:dyDescent="0.25">
      <c r="A585" s="19"/>
      <c r="B585" s="19"/>
      <c r="C585" s="20"/>
      <c r="D585" s="21"/>
      <c r="K585" s="10"/>
    </row>
    <row r="586" spans="1:11" x14ac:dyDescent="0.25">
      <c r="A586" s="19"/>
      <c r="B586" s="19"/>
      <c r="C586" s="20"/>
      <c r="D586" s="21"/>
      <c r="K586" s="10"/>
    </row>
    <row r="587" spans="1:11" x14ac:dyDescent="0.25">
      <c r="A587" s="19"/>
      <c r="B587" s="19"/>
      <c r="C587" s="20"/>
      <c r="D587" s="21"/>
      <c r="K587" s="10"/>
    </row>
    <row r="588" spans="1:11" x14ac:dyDescent="0.25">
      <c r="A588" s="19"/>
      <c r="B588" s="19"/>
      <c r="C588" s="20"/>
      <c r="D588" s="21"/>
      <c r="K588" s="10"/>
    </row>
    <row r="589" spans="1:11" x14ac:dyDescent="0.25">
      <c r="A589" s="19"/>
      <c r="B589" s="19"/>
      <c r="C589" s="20"/>
      <c r="D589" s="21"/>
      <c r="K589" s="10"/>
    </row>
    <row r="590" spans="1:11" x14ac:dyDescent="0.25">
      <c r="A590" s="19"/>
      <c r="B590" s="19"/>
      <c r="C590" s="20"/>
      <c r="D590" s="21"/>
      <c r="K590" s="10"/>
    </row>
    <row r="591" spans="1:11" x14ac:dyDescent="0.25">
      <c r="A591" s="19"/>
      <c r="B591" s="19"/>
      <c r="C591" s="20"/>
      <c r="D591" s="21"/>
      <c r="K591" s="10"/>
    </row>
    <row r="592" spans="1:11" x14ac:dyDescent="0.25">
      <c r="A592" s="19"/>
      <c r="B592" s="19"/>
      <c r="C592" s="20"/>
      <c r="D592" s="21"/>
      <c r="K592" s="10"/>
    </row>
    <row r="593" spans="1:11" x14ac:dyDescent="0.25">
      <c r="A593" s="19"/>
      <c r="B593" s="19"/>
      <c r="C593" s="20"/>
      <c r="D593" s="21"/>
      <c r="K593" s="10"/>
    </row>
    <row r="594" spans="1:11" x14ac:dyDescent="0.25">
      <c r="A594" s="19"/>
      <c r="B594" s="19"/>
      <c r="C594" s="20"/>
      <c r="D594" s="21"/>
      <c r="K594" s="10"/>
    </row>
    <row r="595" spans="1:11" x14ac:dyDescent="0.25">
      <c r="A595" s="19"/>
      <c r="B595" s="19"/>
      <c r="C595" s="20"/>
      <c r="D595" s="21"/>
      <c r="K595" s="10"/>
    </row>
    <row r="596" spans="1:11" x14ac:dyDescent="0.25">
      <c r="A596" s="19"/>
      <c r="B596" s="19"/>
      <c r="C596" s="20"/>
      <c r="D596" s="21"/>
      <c r="K596" s="10"/>
    </row>
    <row r="597" spans="1:11" x14ac:dyDescent="0.25">
      <c r="A597" s="19"/>
      <c r="B597" s="19"/>
      <c r="C597" s="20"/>
      <c r="D597" s="21"/>
      <c r="K597" s="10"/>
    </row>
    <row r="598" spans="1:11" x14ac:dyDescent="0.25">
      <c r="A598" s="19"/>
      <c r="B598" s="19"/>
      <c r="C598" s="20"/>
      <c r="D598" s="21"/>
      <c r="K598" s="10"/>
    </row>
    <row r="599" spans="1:11" x14ac:dyDescent="0.25">
      <c r="A599" s="19"/>
      <c r="B599" s="19"/>
      <c r="C599" s="20"/>
      <c r="D599" s="21"/>
      <c r="K599" s="10"/>
    </row>
    <row r="600" spans="1:11" x14ac:dyDescent="0.25">
      <c r="A600" s="19"/>
      <c r="B600" s="19"/>
      <c r="C600" s="20"/>
      <c r="D600" s="21"/>
      <c r="K600" s="10"/>
    </row>
    <row r="601" spans="1:11" x14ac:dyDescent="0.25">
      <c r="A601" s="19"/>
      <c r="B601" s="19"/>
      <c r="C601" s="20"/>
      <c r="D601" s="21"/>
      <c r="K601" s="10"/>
    </row>
    <row r="602" spans="1:11" x14ac:dyDescent="0.25">
      <c r="A602" s="19"/>
      <c r="B602" s="19"/>
      <c r="C602" s="20"/>
      <c r="D602" s="21"/>
      <c r="K602" s="10"/>
    </row>
    <row r="603" spans="1:11" x14ac:dyDescent="0.25">
      <c r="A603" s="19"/>
      <c r="B603" s="19"/>
      <c r="C603" s="20"/>
      <c r="D603" s="21"/>
      <c r="K603" s="10"/>
    </row>
    <row r="604" spans="1:11" x14ac:dyDescent="0.25">
      <c r="A604" s="19"/>
      <c r="B604" s="19"/>
      <c r="C604" s="20"/>
      <c r="D604" s="21"/>
      <c r="K604" s="10"/>
    </row>
    <row r="605" spans="1:11" x14ac:dyDescent="0.25">
      <c r="A605" s="19"/>
      <c r="B605" s="19"/>
      <c r="C605" s="20"/>
      <c r="D605" s="21"/>
      <c r="K605" s="10"/>
    </row>
    <row r="606" spans="1:11" x14ac:dyDescent="0.25">
      <c r="A606" s="19"/>
      <c r="B606" s="19"/>
      <c r="C606" s="20"/>
      <c r="D606" s="21"/>
      <c r="K606" s="10"/>
    </row>
    <row r="607" spans="1:11" x14ac:dyDescent="0.25">
      <c r="A607" s="19"/>
      <c r="B607" s="19"/>
      <c r="C607" s="20"/>
      <c r="D607" s="21"/>
      <c r="K607" s="10"/>
    </row>
    <row r="608" spans="1:11" x14ac:dyDescent="0.25">
      <c r="A608" s="19"/>
      <c r="B608" s="19"/>
      <c r="C608" s="20"/>
      <c r="D608" s="21"/>
      <c r="K608" s="10"/>
    </row>
    <row r="609" spans="1:11" x14ac:dyDescent="0.25">
      <c r="A609" s="19"/>
      <c r="B609" s="19"/>
      <c r="C609" s="20"/>
      <c r="D609" s="21"/>
      <c r="K609" s="10"/>
    </row>
    <row r="610" spans="1:11" x14ac:dyDescent="0.25">
      <c r="A610" s="19"/>
      <c r="B610" s="19"/>
      <c r="C610" s="20"/>
      <c r="D610" s="21"/>
      <c r="K610" s="10"/>
    </row>
    <row r="611" spans="1:11" x14ac:dyDescent="0.25">
      <c r="A611" s="19"/>
      <c r="B611" s="19"/>
      <c r="C611" s="20"/>
      <c r="D611" s="21"/>
      <c r="K611" s="10"/>
    </row>
    <row r="612" spans="1:11" x14ac:dyDescent="0.25">
      <c r="A612" s="19"/>
      <c r="B612" s="19"/>
      <c r="C612" s="20"/>
      <c r="D612" s="21"/>
      <c r="K612" s="10"/>
    </row>
    <row r="613" spans="1:11" x14ac:dyDescent="0.25">
      <c r="A613" s="19"/>
      <c r="B613" s="19"/>
      <c r="C613" s="20"/>
      <c r="D613" s="21"/>
      <c r="K613" s="10"/>
    </row>
    <row r="614" spans="1:11" x14ac:dyDescent="0.25">
      <c r="A614" s="19"/>
      <c r="B614" s="19"/>
      <c r="C614" s="20"/>
      <c r="D614" s="21"/>
      <c r="K614" s="10"/>
    </row>
    <row r="615" spans="1:11" x14ac:dyDescent="0.25">
      <c r="A615" s="19"/>
      <c r="B615" s="19"/>
      <c r="C615" s="20"/>
      <c r="D615" s="21"/>
      <c r="K615" s="10"/>
    </row>
    <row r="616" spans="1:11" x14ac:dyDescent="0.25">
      <c r="A616" s="19"/>
      <c r="B616" s="19"/>
      <c r="C616" s="20"/>
      <c r="D616" s="21"/>
      <c r="K616" s="10"/>
    </row>
    <row r="617" spans="1:11" x14ac:dyDescent="0.25">
      <c r="A617" s="19"/>
      <c r="B617" s="19"/>
      <c r="C617" s="20"/>
      <c r="D617" s="21"/>
      <c r="K617" s="10"/>
    </row>
    <row r="618" spans="1:11" x14ac:dyDescent="0.25">
      <c r="A618" s="19"/>
      <c r="B618" s="19"/>
      <c r="C618" s="20"/>
      <c r="D618" s="21"/>
      <c r="K618" s="10"/>
    </row>
    <row r="619" spans="1:11" x14ac:dyDescent="0.25">
      <c r="A619" s="19"/>
      <c r="B619" s="19"/>
      <c r="C619" s="20"/>
      <c r="D619" s="21"/>
      <c r="K619" s="10"/>
    </row>
    <row r="620" spans="1:11" x14ac:dyDescent="0.25">
      <c r="A620" s="19"/>
      <c r="B620" s="19"/>
      <c r="C620" s="20"/>
      <c r="D620" s="21"/>
      <c r="K620" s="10"/>
    </row>
    <row r="621" spans="1:11" x14ac:dyDescent="0.25">
      <c r="A621" s="19"/>
      <c r="B621" s="19"/>
      <c r="C621" s="20"/>
      <c r="D621" s="21"/>
      <c r="K621" s="10"/>
    </row>
    <row r="622" spans="1:11" x14ac:dyDescent="0.25">
      <c r="A622" s="19"/>
      <c r="B622" s="19"/>
      <c r="C622" s="20"/>
      <c r="D622" s="21"/>
      <c r="K622" s="10"/>
    </row>
    <row r="623" spans="1:11" x14ac:dyDescent="0.25">
      <c r="A623" s="19"/>
      <c r="B623" s="19"/>
      <c r="C623" s="20"/>
      <c r="D623" s="21"/>
      <c r="K623" s="10"/>
    </row>
    <row r="624" spans="1:11" x14ac:dyDescent="0.25">
      <c r="A624" s="19"/>
      <c r="B624" s="19"/>
      <c r="C624" s="20"/>
      <c r="D624" s="21"/>
      <c r="K624" s="10"/>
    </row>
    <row r="625" spans="1:11" x14ac:dyDescent="0.25">
      <c r="A625" s="19"/>
      <c r="B625" s="19"/>
      <c r="C625" s="20"/>
      <c r="D625" s="21"/>
      <c r="K625" s="10"/>
    </row>
    <row r="626" spans="1:11" x14ac:dyDescent="0.25">
      <c r="A626" s="19"/>
      <c r="B626" s="19"/>
      <c r="C626" s="20"/>
      <c r="D626" s="21"/>
      <c r="K626" s="10"/>
    </row>
    <row r="627" spans="1:11" x14ac:dyDescent="0.25">
      <c r="A627" s="19"/>
      <c r="B627" s="19"/>
      <c r="C627" s="20"/>
      <c r="D627" s="21"/>
      <c r="K627" s="10"/>
    </row>
    <row r="628" spans="1:11" x14ac:dyDescent="0.25">
      <c r="A628" s="19"/>
      <c r="B628" s="19"/>
      <c r="C628" s="20"/>
      <c r="D628" s="21"/>
      <c r="K628" s="10"/>
    </row>
    <row r="629" spans="1:11" x14ac:dyDescent="0.25">
      <c r="A629" s="19"/>
      <c r="B629" s="19"/>
      <c r="C629" s="20"/>
      <c r="D629" s="21"/>
      <c r="K629" s="10"/>
    </row>
    <row r="630" spans="1:11" x14ac:dyDescent="0.25">
      <c r="A630" s="19"/>
      <c r="B630" s="19"/>
      <c r="C630" s="20"/>
      <c r="D630" s="21"/>
      <c r="K630" s="10"/>
    </row>
    <row r="631" spans="1:11" x14ac:dyDescent="0.25">
      <c r="A631" s="19"/>
      <c r="B631" s="19"/>
      <c r="C631" s="20"/>
      <c r="D631" s="21"/>
      <c r="K631" s="10"/>
    </row>
    <row r="632" spans="1:11" x14ac:dyDescent="0.25">
      <c r="A632" s="19"/>
      <c r="B632" s="19"/>
      <c r="C632" s="20"/>
      <c r="D632" s="21"/>
      <c r="K632" s="10"/>
    </row>
    <row r="633" spans="1:11" x14ac:dyDescent="0.25">
      <c r="A633" s="19"/>
      <c r="B633" s="19"/>
      <c r="C633" s="20"/>
      <c r="D633" s="21"/>
      <c r="K633" s="10"/>
    </row>
    <row r="634" spans="1:11" x14ac:dyDescent="0.25">
      <c r="A634" s="19"/>
      <c r="B634" s="19"/>
      <c r="C634" s="20"/>
      <c r="D634" s="21"/>
      <c r="K634" s="10"/>
    </row>
    <row r="635" spans="1:11" x14ac:dyDescent="0.25">
      <c r="A635" s="19"/>
      <c r="B635" s="19"/>
      <c r="C635" s="20"/>
      <c r="D635" s="21"/>
      <c r="K635" s="10"/>
    </row>
    <row r="636" spans="1:11" x14ac:dyDescent="0.25">
      <c r="A636" s="19"/>
      <c r="B636" s="19"/>
      <c r="C636" s="20"/>
      <c r="D636" s="21"/>
      <c r="K636" s="10"/>
    </row>
    <row r="637" spans="1:11" x14ac:dyDescent="0.25">
      <c r="A637" s="19"/>
      <c r="B637" s="19"/>
      <c r="C637" s="20"/>
      <c r="D637" s="21"/>
      <c r="K637" s="10"/>
    </row>
    <row r="638" spans="1:11" x14ac:dyDescent="0.25">
      <c r="A638" s="19"/>
      <c r="B638" s="19"/>
      <c r="C638" s="20"/>
      <c r="D638" s="21"/>
      <c r="K638" s="10"/>
    </row>
    <row r="639" spans="1:11" x14ac:dyDescent="0.25">
      <c r="A639" s="19"/>
      <c r="B639" s="19"/>
      <c r="C639" s="20"/>
      <c r="D639" s="21"/>
      <c r="K639" s="10"/>
    </row>
    <row r="640" spans="1:11" x14ac:dyDescent="0.25">
      <c r="A640" s="19"/>
      <c r="B640" s="19"/>
      <c r="C640" s="20"/>
      <c r="D640" s="21"/>
      <c r="K640" s="10"/>
    </row>
    <row r="641" spans="1:11" x14ac:dyDescent="0.25">
      <c r="A641" s="19"/>
      <c r="B641" s="19"/>
      <c r="C641" s="20"/>
      <c r="D641" s="21"/>
      <c r="K641" s="10"/>
    </row>
    <row r="642" spans="1:11" x14ac:dyDescent="0.25">
      <c r="A642" s="19"/>
      <c r="B642" s="19"/>
      <c r="C642" s="20"/>
      <c r="D642" s="21"/>
      <c r="K642" s="10"/>
    </row>
    <row r="643" spans="1:11" x14ac:dyDescent="0.25">
      <c r="A643" s="19"/>
      <c r="B643" s="19"/>
      <c r="C643" s="20"/>
      <c r="D643" s="21"/>
      <c r="K643" s="10"/>
    </row>
    <row r="644" spans="1:11" x14ac:dyDescent="0.25">
      <c r="A644" s="19"/>
      <c r="B644" s="19"/>
      <c r="C644" s="20"/>
      <c r="D644" s="21"/>
      <c r="K644" s="10"/>
    </row>
    <row r="645" spans="1:11" x14ac:dyDescent="0.25">
      <c r="A645" s="19"/>
      <c r="B645" s="19"/>
      <c r="C645" s="20"/>
      <c r="D645" s="21"/>
      <c r="K645" s="10"/>
    </row>
    <row r="646" spans="1:11" x14ac:dyDescent="0.25">
      <c r="A646" s="19"/>
      <c r="B646" s="19"/>
      <c r="C646" s="20"/>
      <c r="D646" s="21"/>
      <c r="K646" s="10"/>
    </row>
    <row r="647" spans="1:11" x14ac:dyDescent="0.25">
      <c r="A647" s="19"/>
      <c r="B647" s="19"/>
      <c r="C647" s="20"/>
      <c r="D647" s="21"/>
      <c r="K647" s="10"/>
    </row>
    <row r="648" spans="1:11" x14ac:dyDescent="0.25">
      <c r="A648" s="19"/>
      <c r="B648" s="19"/>
      <c r="C648" s="20"/>
      <c r="D648" s="21"/>
      <c r="K648" s="10"/>
    </row>
    <row r="649" spans="1:11" x14ac:dyDescent="0.25">
      <c r="A649" s="19"/>
      <c r="B649" s="19"/>
      <c r="C649" s="20"/>
      <c r="D649" s="21"/>
      <c r="K649" s="10"/>
    </row>
    <row r="650" spans="1:11" x14ac:dyDescent="0.25">
      <c r="A650" s="19"/>
      <c r="B650" s="19"/>
      <c r="C650" s="20"/>
      <c r="D650" s="21"/>
      <c r="K650" s="10"/>
    </row>
    <row r="651" spans="1:11" x14ac:dyDescent="0.25">
      <c r="A651" s="19"/>
      <c r="B651" s="19"/>
      <c r="C651" s="20"/>
      <c r="D651" s="21"/>
      <c r="K651" s="10"/>
    </row>
    <row r="652" spans="1:11" x14ac:dyDescent="0.25">
      <c r="A652" s="19"/>
      <c r="B652" s="19"/>
      <c r="C652" s="20"/>
      <c r="D652" s="21"/>
      <c r="K652" s="10"/>
    </row>
    <row r="653" spans="1:11" x14ac:dyDescent="0.25">
      <c r="A653" s="19"/>
      <c r="B653" s="19"/>
      <c r="C653" s="20"/>
      <c r="D653" s="21"/>
      <c r="K653" s="10"/>
    </row>
    <row r="654" spans="1:11" x14ac:dyDescent="0.25">
      <c r="A654" s="19"/>
      <c r="B654" s="19"/>
      <c r="C654" s="20"/>
      <c r="D654" s="21"/>
      <c r="K654" s="10"/>
    </row>
    <row r="655" spans="1:11" x14ac:dyDescent="0.25">
      <c r="A655" s="19"/>
      <c r="B655" s="19"/>
      <c r="C655" s="20"/>
      <c r="D655" s="21"/>
      <c r="K655" s="10"/>
    </row>
    <row r="656" spans="1:11" x14ac:dyDescent="0.25">
      <c r="A656" s="19"/>
      <c r="B656" s="19"/>
      <c r="C656" s="20"/>
      <c r="D656" s="21"/>
      <c r="K656" s="10"/>
    </row>
    <row r="657" spans="1:11" x14ac:dyDescent="0.25">
      <c r="A657" s="19"/>
      <c r="B657" s="19"/>
      <c r="C657" s="20"/>
      <c r="D657" s="21"/>
      <c r="K657" s="10"/>
    </row>
    <row r="658" spans="1:11" x14ac:dyDescent="0.25">
      <c r="A658" s="19"/>
      <c r="B658" s="19"/>
      <c r="C658" s="20"/>
      <c r="D658" s="21"/>
      <c r="K658" s="10"/>
    </row>
    <row r="659" spans="1:11" x14ac:dyDescent="0.25">
      <c r="A659" s="19"/>
      <c r="B659" s="19"/>
      <c r="C659" s="20"/>
      <c r="D659" s="21"/>
      <c r="K659" s="10"/>
    </row>
    <row r="660" spans="1:11" x14ac:dyDescent="0.25">
      <c r="A660" s="19"/>
      <c r="B660" s="19"/>
      <c r="C660" s="20"/>
      <c r="D660" s="21"/>
      <c r="K660" s="10"/>
    </row>
    <row r="661" spans="1:11" x14ac:dyDescent="0.25">
      <c r="A661" s="19"/>
      <c r="B661" s="19"/>
      <c r="C661" s="20"/>
      <c r="D661" s="21"/>
      <c r="K661" s="10"/>
    </row>
    <row r="662" spans="1:11" x14ac:dyDescent="0.25">
      <c r="A662" s="19"/>
      <c r="B662" s="19"/>
      <c r="C662" s="20"/>
      <c r="D662" s="21"/>
      <c r="K662" s="10"/>
    </row>
    <row r="663" spans="1:11" x14ac:dyDescent="0.25">
      <c r="A663" s="19"/>
      <c r="B663" s="19"/>
      <c r="C663" s="20"/>
      <c r="D663" s="21"/>
      <c r="K663" s="10"/>
    </row>
    <row r="664" spans="1:11" x14ac:dyDescent="0.25">
      <c r="A664" s="19"/>
      <c r="B664" s="19"/>
      <c r="C664" s="20"/>
      <c r="D664" s="21"/>
      <c r="K664" s="10"/>
    </row>
    <row r="665" spans="1:11" x14ac:dyDescent="0.25">
      <c r="A665" s="19"/>
      <c r="B665" s="19"/>
      <c r="C665" s="20"/>
      <c r="D665" s="21"/>
      <c r="K665" s="10"/>
    </row>
    <row r="666" spans="1:11" x14ac:dyDescent="0.25">
      <c r="A666" s="19"/>
      <c r="B666" s="19"/>
      <c r="C666" s="20"/>
      <c r="D666" s="21"/>
      <c r="K666" s="10"/>
    </row>
    <row r="667" spans="1:11" x14ac:dyDescent="0.25">
      <c r="A667" s="19"/>
      <c r="B667" s="19"/>
      <c r="C667" s="20"/>
      <c r="D667" s="21"/>
      <c r="K667" s="10"/>
    </row>
    <row r="668" spans="1:11" x14ac:dyDescent="0.25">
      <c r="A668" s="19"/>
      <c r="B668" s="19"/>
      <c r="C668" s="20"/>
      <c r="D668" s="21"/>
      <c r="K668" s="10"/>
    </row>
    <row r="669" spans="1:11" x14ac:dyDescent="0.25">
      <c r="A669" s="19"/>
      <c r="B669" s="19"/>
      <c r="C669" s="20"/>
      <c r="D669" s="21"/>
      <c r="K669" s="10"/>
    </row>
    <row r="670" spans="1:11" x14ac:dyDescent="0.25">
      <c r="A670" s="19"/>
      <c r="B670" s="19"/>
      <c r="C670" s="20"/>
      <c r="D670" s="21"/>
      <c r="K670" s="10"/>
    </row>
    <row r="671" spans="1:11" x14ac:dyDescent="0.25">
      <c r="A671" s="19"/>
      <c r="B671" s="19"/>
      <c r="C671" s="20"/>
      <c r="D671" s="21"/>
      <c r="K671" s="10"/>
    </row>
    <row r="672" spans="1:11" x14ac:dyDescent="0.25">
      <c r="A672" s="19"/>
      <c r="B672" s="19"/>
      <c r="C672" s="20"/>
      <c r="D672" s="21"/>
      <c r="K672" s="10"/>
    </row>
    <row r="673" spans="1:11" x14ac:dyDescent="0.25">
      <c r="A673" s="19"/>
      <c r="B673" s="19"/>
      <c r="C673" s="20"/>
      <c r="D673" s="21"/>
      <c r="K673" s="10"/>
    </row>
    <row r="674" spans="1:11" x14ac:dyDescent="0.25">
      <c r="A674" s="19"/>
      <c r="B674" s="19"/>
      <c r="C674" s="20"/>
      <c r="D674" s="21"/>
      <c r="K674" s="10"/>
    </row>
    <row r="675" spans="1:11" x14ac:dyDescent="0.25">
      <c r="A675" s="19"/>
      <c r="B675" s="19"/>
      <c r="C675" s="20"/>
      <c r="D675" s="21"/>
      <c r="K675" s="10"/>
    </row>
    <row r="676" spans="1:11" x14ac:dyDescent="0.25">
      <c r="A676" s="19"/>
      <c r="B676" s="19"/>
      <c r="C676" s="20"/>
      <c r="D676" s="21"/>
      <c r="K676" s="10"/>
    </row>
    <row r="677" spans="1:11" x14ac:dyDescent="0.25">
      <c r="A677" s="19"/>
      <c r="B677" s="19"/>
      <c r="C677" s="20"/>
      <c r="D677" s="21"/>
      <c r="K677" s="10"/>
    </row>
    <row r="678" spans="1:11" x14ac:dyDescent="0.25">
      <c r="A678" s="19"/>
      <c r="B678" s="19"/>
      <c r="C678" s="20"/>
      <c r="D678" s="21"/>
      <c r="K678" s="10"/>
    </row>
    <row r="679" spans="1:11" x14ac:dyDescent="0.25">
      <c r="A679" s="19"/>
      <c r="B679" s="19"/>
      <c r="C679" s="20"/>
      <c r="D679" s="21"/>
      <c r="K679" s="10"/>
    </row>
    <row r="680" spans="1:11" x14ac:dyDescent="0.25">
      <c r="A680" s="19"/>
      <c r="B680" s="19"/>
      <c r="C680" s="20"/>
      <c r="D680" s="21"/>
      <c r="K680" s="10"/>
    </row>
    <row r="681" spans="1:11" x14ac:dyDescent="0.25">
      <c r="A681" s="19"/>
      <c r="B681" s="19"/>
      <c r="C681" s="20"/>
      <c r="D681" s="21"/>
      <c r="K681" s="10"/>
    </row>
    <row r="682" spans="1:11" x14ac:dyDescent="0.25">
      <c r="A682" s="19"/>
      <c r="B682" s="19"/>
      <c r="C682" s="20"/>
      <c r="D682" s="21"/>
      <c r="K682" s="10"/>
    </row>
    <row r="683" spans="1:11" x14ac:dyDescent="0.25">
      <c r="A683" s="19"/>
      <c r="B683" s="19"/>
      <c r="C683" s="20"/>
      <c r="D683" s="21"/>
      <c r="K683" s="10"/>
    </row>
    <row r="684" spans="1:11" x14ac:dyDescent="0.25">
      <c r="A684" s="19"/>
      <c r="B684" s="19"/>
      <c r="C684" s="20"/>
      <c r="D684" s="21"/>
      <c r="K684" s="10"/>
    </row>
    <row r="685" spans="1:11" x14ac:dyDescent="0.25">
      <c r="A685" s="19"/>
      <c r="B685" s="19"/>
      <c r="C685" s="20"/>
      <c r="D685" s="21"/>
      <c r="K685" s="10"/>
    </row>
    <row r="686" spans="1:11" x14ac:dyDescent="0.25">
      <c r="A686" s="19"/>
      <c r="B686" s="19"/>
      <c r="C686" s="20"/>
      <c r="D686" s="21"/>
      <c r="K686" s="10"/>
    </row>
    <row r="687" spans="1:11" x14ac:dyDescent="0.25">
      <c r="A687" s="19"/>
      <c r="B687" s="19"/>
      <c r="C687" s="20"/>
      <c r="D687" s="21"/>
      <c r="K687" s="10"/>
    </row>
    <row r="688" spans="1:11" x14ac:dyDescent="0.25">
      <c r="A688" s="19"/>
      <c r="B688" s="19"/>
      <c r="C688" s="20"/>
      <c r="D688" s="21"/>
      <c r="K688" s="10"/>
    </row>
    <row r="689" spans="1:11" x14ac:dyDescent="0.25">
      <c r="A689" s="19"/>
      <c r="B689" s="19"/>
      <c r="C689" s="20"/>
      <c r="D689" s="21"/>
      <c r="K689" s="10"/>
    </row>
    <row r="690" spans="1:11" x14ac:dyDescent="0.25">
      <c r="A690" s="19"/>
      <c r="B690" s="19"/>
      <c r="C690" s="20"/>
      <c r="D690" s="21"/>
      <c r="K690" s="10"/>
    </row>
    <row r="691" spans="1:11" x14ac:dyDescent="0.25">
      <c r="A691" s="19"/>
      <c r="B691" s="19"/>
      <c r="C691" s="20"/>
      <c r="D691" s="21"/>
      <c r="K691" s="10"/>
    </row>
    <row r="692" spans="1:11" x14ac:dyDescent="0.25">
      <c r="A692" s="19"/>
      <c r="B692" s="19"/>
      <c r="C692" s="20"/>
      <c r="D692" s="21"/>
      <c r="K692" s="10"/>
    </row>
    <row r="693" spans="1:11" x14ac:dyDescent="0.25">
      <c r="A693" s="19"/>
      <c r="B693" s="19"/>
      <c r="C693" s="20"/>
      <c r="D693" s="21"/>
      <c r="K693" s="10"/>
    </row>
    <row r="694" spans="1:11" x14ac:dyDescent="0.25">
      <c r="A694" s="19"/>
      <c r="B694" s="19"/>
      <c r="C694" s="20"/>
      <c r="D694" s="21"/>
      <c r="K694" s="10"/>
    </row>
    <row r="695" spans="1:11" x14ac:dyDescent="0.25">
      <c r="A695" s="19"/>
      <c r="B695" s="19"/>
      <c r="C695" s="20"/>
      <c r="D695" s="21"/>
      <c r="K695" s="10"/>
    </row>
    <row r="696" spans="1:11" x14ac:dyDescent="0.25">
      <c r="A696" s="19"/>
      <c r="B696" s="19"/>
      <c r="C696" s="20"/>
      <c r="D696" s="21"/>
      <c r="K696" s="10"/>
    </row>
    <row r="697" spans="1:11" x14ac:dyDescent="0.25">
      <c r="A697" s="19"/>
      <c r="B697" s="19"/>
      <c r="C697" s="20"/>
      <c r="D697" s="21"/>
      <c r="K697" s="10"/>
    </row>
    <row r="698" spans="1:11" x14ac:dyDescent="0.25">
      <c r="A698" s="19"/>
      <c r="B698" s="19"/>
      <c r="C698" s="20"/>
      <c r="D698" s="21"/>
      <c r="K698" s="10"/>
    </row>
    <row r="699" spans="1:11" x14ac:dyDescent="0.25">
      <c r="A699" s="19"/>
      <c r="B699" s="19"/>
      <c r="C699" s="20"/>
      <c r="D699" s="21"/>
      <c r="K699" s="10"/>
    </row>
    <row r="700" spans="1:11" x14ac:dyDescent="0.25">
      <c r="A700" s="19"/>
      <c r="B700" s="19"/>
      <c r="C700" s="20"/>
      <c r="D700" s="21"/>
      <c r="K700" s="10"/>
    </row>
    <row r="701" spans="1:11" x14ac:dyDescent="0.25">
      <c r="A701" s="19"/>
      <c r="B701" s="19"/>
      <c r="C701" s="20"/>
      <c r="D701" s="21"/>
      <c r="K701" s="10"/>
    </row>
    <row r="702" spans="1:11" x14ac:dyDescent="0.25">
      <c r="A702" s="19"/>
      <c r="B702" s="19"/>
      <c r="C702" s="20"/>
      <c r="D702" s="21"/>
      <c r="K702" s="10"/>
    </row>
    <row r="703" spans="1:11" x14ac:dyDescent="0.25">
      <c r="A703" s="19"/>
      <c r="B703" s="19"/>
      <c r="C703" s="20"/>
      <c r="D703" s="21"/>
      <c r="K703" s="10"/>
    </row>
    <row r="704" spans="1:11" x14ac:dyDescent="0.25">
      <c r="A704" s="19"/>
      <c r="B704" s="19"/>
      <c r="C704" s="20"/>
      <c r="D704" s="21"/>
      <c r="K704" s="10"/>
    </row>
    <row r="705" spans="1:11" x14ac:dyDescent="0.25">
      <c r="A705" s="19"/>
      <c r="B705" s="19"/>
      <c r="C705" s="20"/>
      <c r="D705" s="21"/>
      <c r="K705" s="10"/>
    </row>
    <row r="706" spans="1:11" x14ac:dyDescent="0.25">
      <c r="A706" s="19"/>
      <c r="B706" s="19"/>
      <c r="C706" s="20"/>
      <c r="D706" s="21"/>
      <c r="K706" s="10"/>
    </row>
    <row r="707" spans="1:11" x14ac:dyDescent="0.25">
      <c r="A707" s="19"/>
      <c r="B707" s="19"/>
      <c r="C707" s="20"/>
      <c r="D707" s="21"/>
      <c r="K707" s="10"/>
    </row>
    <row r="708" spans="1:11" x14ac:dyDescent="0.25">
      <c r="A708" s="19"/>
      <c r="B708" s="19"/>
      <c r="C708" s="20"/>
      <c r="D708" s="21"/>
      <c r="K708" s="10"/>
    </row>
    <row r="709" spans="1:11" x14ac:dyDescent="0.25">
      <c r="A709" s="19"/>
      <c r="B709" s="19"/>
      <c r="C709" s="20"/>
      <c r="D709" s="21"/>
      <c r="K709" s="10"/>
    </row>
    <row r="710" spans="1:11" x14ac:dyDescent="0.25">
      <c r="A710" s="19"/>
      <c r="B710" s="19"/>
      <c r="C710" s="20"/>
      <c r="D710" s="21"/>
      <c r="K710" s="10"/>
    </row>
    <row r="711" spans="1:11" x14ac:dyDescent="0.25">
      <c r="A711" s="19"/>
      <c r="B711" s="19"/>
      <c r="C711" s="20"/>
      <c r="D711" s="21"/>
      <c r="K711" s="10"/>
    </row>
    <row r="712" spans="1:11" x14ac:dyDescent="0.25">
      <c r="A712" s="19"/>
      <c r="B712" s="19"/>
      <c r="C712" s="20"/>
      <c r="D712" s="21"/>
      <c r="K712" s="10"/>
    </row>
    <row r="713" spans="1:11" x14ac:dyDescent="0.25">
      <c r="A713" s="19"/>
      <c r="B713" s="19"/>
      <c r="C713" s="20"/>
      <c r="D713" s="21"/>
      <c r="K713" s="10"/>
    </row>
    <row r="714" spans="1:11" x14ac:dyDescent="0.25">
      <c r="A714" s="19"/>
      <c r="B714" s="19"/>
      <c r="C714" s="20"/>
      <c r="D714" s="21"/>
      <c r="K714" s="10"/>
    </row>
    <row r="715" spans="1:11" x14ac:dyDescent="0.25">
      <c r="A715" s="19"/>
      <c r="B715" s="19"/>
      <c r="C715" s="20"/>
      <c r="D715" s="21"/>
      <c r="K715" s="10"/>
    </row>
    <row r="716" spans="1:11" x14ac:dyDescent="0.25">
      <c r="A716" s="19"/>
      <c r="B716" s="19"/>
      <c r="C716" s="20"/>
      <c r="D716" s="21"/>
      <c r="K716" s="10"/>
    </row>
    <row r="717" spans="1:11" x14ac:dyDescent="0.25">
      <c r="A717" s="19"/>
      <c r="B717" s="19"/>
      <c r="C717" s="20"/>
      <c r="D717" s="21"/>
      <c r="K717" s="10"/>
    </row>
    <row r="718" spans="1:11" x14ac:dyDescent="0.25">
      <c r="A718" s="19"/>
      <c r="B718" s="19"/>
      <c r="C718" s="20"/>
      <c r="D718" s="21"/>
      <c r="K718" s="10"/>
    </row>
    <row r="719" spans="1:11" x14ac:dyDescent="0.25">
      <c r="A719" s="19"/>
      <c r="B719" s="19"/>
      <c r="C719" s="20"/>
      <c r="D719" s="21"/>
      <c r="K719" s="10"/>
    </row>
    <row r="720" spans="1:11" x14ac:dyDescent="0.25">
      <c r="A720" s="19"/>
      <c r="B720" s="19"/>
      <c r="C720" s="20"/>
      <c r="D720" s="21"/>
      <c r="K720" s="10"/>
    </row>
    <row r="721" spans="1:11" x14ac:dyDescent="0.25">
      <c r="A721" s="19"/>
      <c r="B721" s="19"/>
      <c r="C721" s="20"/>
      <c r="D721" s="21"/>
      <c r="K721" s="10"/>
    </row>
    <row r="722" spans="1:11" x14ac:dyDescent="0.25">
      <c r="A722" s="19"/>
      <c r="B722" s="19"/>
      <c r="C722" s="20"/>
      <c r="D722" s="21"/>
      <c r="K722" s="10"/>
    </row>
    <row r="723" spans="1:11" x14ac:dyDescent="0.25">
      <c r="A723" s="19"/>
      <c r="B723" s="19"/>
      <c r="C723" s="20"/>
      <c r="D723" s="21"/>
      <c r="K723" s="10"/>
    </row>
    <row r="724" spans="1:11" x14ac:dyDescent="0.25">
      <c r="A724" s="19"/>
      <c r="B724" s="19"/>
      <c r="C724" s="20"/>
      <c r="D724" s="21"/>
      <c r="K724" s="10"/>
    </row>
    <row r="725" spans="1:11" x14ac:dyDescent="0.25">
      <c r="A725" s="19"/>
      <c r="B725" s="19"/>
      <c r="C725" s="20"/>
      <c r="D725" s="21"/>
      <c r="K725" s="10"/>
    </row>
    <row r="726" spans="1:11" x14ac:dyDescent="0.25">
      <c r="A726" s="19"/>
      <c r="B726" s="19"/>
      <c r="C726" s="20"/>
      <c r="D726" s="21"/>
      <c r="K726" s="10"/>
    </row>
    <row r="727" spans="1:11" x14ac:dyDescent="0.25">
      <c r="A727" s="19"/>
      <c r="B727" s="19"/>
      <c r="C727" s="20"/>
      <c r="D727" s="21"/>
      <c r="K727" s="10"/>
    </row>
    <row r="728" spans="1:11" x14ac:dyDescent="0.25">
      <c r="A728" s="19"/>
      <c r="B728" s="19"/>
      <c r="C728" s="20"/>
      <c r="D728" s="21"/>
      <c r="K728" s="10"/>
    </row>
    <row r="729" spans="1:11" x14ac:dyDescent="0.25">
      <c r="A729" s="19"/>
      <c r="B729" s="19"/>
      <c r="C729" s="20"/>
      <c r="D729" s="21"/>
      <c r="K729" s="10"/>
    </row>
    <row r="730" spans="1:11" x14ac:dyDescent="0.25">
      <c r="A730" s="19"/>
      <c r="B730" s="19"/>
      <c r="C730" s="20"/>
      <c r="D730" s="21"/>
      <c r="K730" s="10"/>
    </row>
    <row r="731" spans="1:11" x14ac:dyDescent="0.25">
      <c r="A731" s="19"/>
      <c r="B731" s="19"/>
      <c r="C731" s="20"/>
      <c r="D731" s="21"/>
      <c r="K731" s="10"/>
    </row>
    <row r="732" spans="1:11" x14ac:dyDescent="0.25">
      <c r="A732" s="19"/>
      <c r="B732" s="19"/>
      <c r="C732" s="20"/>
      <c r="D732" s="21"/>
      <c r="K732" s="10"/>
    </row>
    <row r="733" spans="1:11" x14ac:dyDescent="0.25">
      <c r="A733" s="19"/>
      <c r="B733" s="19"/>
      <c r="C733" s="20"/>
      <c r="D733" s="21"/>
      <c r="K733" s="10"/>
    </row>
    <row r="734" spans="1:11" x14ac:dyDescent="0.25">
      <c r="A734" s="19"/>
      <c r="B734" s="19"/>
      <c r="C734" s="20"/>
      <c r="D734" s="21"/>
      <c r="K734" s="10"/>
    </row>
    <row r="735" spans="1:11" x14ac:dyDescent="0.25">
      <c r="A735" s="19"/>
      <c r="B735" s="19"/>
      <c r="C735" s="20"/>
      <c r="D735" s="21"/>
      <c r="K735" s="10"/>
    </row>
    <row r="736" spans="1:11" x14ac:dyDescent="0.25">
      <c r="A736" s="19"/>
      <c r="B736" s="19"/>
      <c r="C736" s="20"/>
      <c r="D736" s="21"/>
      <c r="K736" s="10"/>
    </row>
    <row r="737" spans="1:11" x14ac:dyDescent="0.25">
      <c r="A737" s="19"/>
      <c r="B737" s="19"/>
      <c r="C737" s="20"/>
      <c r="D737" s="21"/>
      <c r="K737" s="10"/>
    </row>
    <row r="738" spans="1:11" x14ac:dyDescent="0.25">
      <c r="A738" s="19"/>
      <c r="B738" s="19"/>
      <c r="C738" s="20"/>
      <c r="D738" s="21"/>
      <c r="K738" s="10"/>
    </row>
    <row r="739" spans="1:11" x14ac:dyDescent="0.25">
      <c r="A739" s="19"/>
      <c r="B739" s="19"/>
      <c r="C739" s="20"/>
      <c r="D739" s="21"/>
      <c r="K739" s="10"/>
    </row>
    <row r="740" spans="1:11" x14ac:dyDescent="0.25">
      <c r="A740" s="19"/>
      <c r="B740" s="19"/>
      <c r="C740" s="20"/>
      <c r="D740" s="21"/>
      <c r="K740" s="10"/>
    </row>
    <row r="741" spans="1:11" x14ac:dyDescent="0.25">
      <c r="A741" s="19"/>
      <c r="B741" s="19"/>
      <c r="C741" s="20"/>
      <c r="D741" s="21"/>
      <c r="K741" s="10"/>
    </row>
    <row r="742" spans="1:11" x14ac:dyDescent="0.25">
      <c r="A742" s="19"/>
      <c r="B742" s="19"/>
      <c r="C742" s="20"/>
      <c r="D742" s="21"/>
      <c r="K742" s="10"/>
    </row>
    <row r="743" spans="1:11" x14ac:dyDescent="0.25">
      <c r="A743" s="19"/>
      <c r="B743" s="19"/>
      <c r="C743" s="20"/>
      <c r="D743" s="21"/>
      <c r="K743" s="10"/>
    </row>
    <row r="744" spans="1:11" x14ac:dyDescent="0.25">
      <c r="A744" s="19"/>
      <c r="B744" s="19"/>
      <c r="C744" s="20"/>
      <c r="D744" s="21"/>
      <c r="K744" s="10"/>
    </row>
    <row r="745" spans="1:11" x14ac:dyDescent="0.25">
      <c r="A745" s="19"/>
      <c r="B745" s="19"/>
      <c r="C745" s="20"/>
      <c r="D745" s="21"/>
      <c r="K745" s="10"/>
    </row>
    <row r="746" spans="1:11" x14ac:dyDescent="0.25">
      <c r="A746" s="19"/>
      <c r="B746" s="19"/>
      <c r="C746" s="20"/>
      <c r="D746" s="21"/>
      <c r="K746" s="10"/>
    </row>
    <row r="747" spans="1:11" x14ac:dyDescent="0.25">
      <c r="A747" s="19"/>
      <c r="B747" s="19"/>
      <c r="C747" s="20"/>
      <c r="D747" s="21"/>
      <c r="K747" s="10"/>
    </row>
    <row r="748" spans="1:11" x14ac:dyDescent="0.25">
      <c r="A748" s="19"/>
      <c r="B748" s="19"/>
      <c r="C748" s="20"/>
      <c r="D748" s="21"/>
      <c r="K748" s="10"/>
    </row>
    <row r="749" spans="1:11" x14ac:dyDescent="0.25">
      <c r="A749" s="19"/>
      <c r="B749" s="19"/>
      <c r="C749" s="20"/>
      <c r="D749" s="21"/>
      <c r="K749" s="10"/>
    </row>
    <row r="750" spans="1:11" x14ac:dyDescent="0.25">
      <c r="A750" s="19"/>
      <c r="B750" s="19"/>
      <c r="C750" s="20"/>
      <c r="D750" s="21"/>
      <c r="K750" s="10"/>
    </row>
    <row r="751" spans="1:11" x14ac:dyDescent="0.25">
      <c r="A751" s="19"/>
      <c r="B751" s="19"/>
      <c r="C751" s="20"/>
      <c r="D751" s="21"/>
      <c r="K751" s="10"/>
    </row>
    <row r="752" spans="1:11" x14ac:dyDescent="0.25">
      <c r="A752" s="19"/>
      <c r="B752" s="19"/>
      <c r="C752" s="20"/>
      <c r="D752" s="21"/>
      <c r="K752" s="10"/>
    </row>
    <row r="753" spans="1:11" x14ac:dyDescent="0.25">
      <c r="A753" s="19"/>
      <c r="B753" s="19"/>
      <c r="C753" s="20"/>
      <c r="D753" s="21"/>
      <c r="K753" s="10"/>
    </row>
    <row r="754" spans="1:11" x14ac:dyDescent="0.25">
      <c r="A754" s="19"/>
      <c r="B754" s="19"/>
      <c r="C754" s="20"/>
      <c r="D754" s="21"/>
      <c r="K754" s="10"/>
    </row>
    <row r="755" spans="1:11" x14ac:dyDescent="0.25">
      <c r="A755" s="19"/>
      <c r="B755" s="19"/>
      <c r="C755" s="20"/>
      <c r="D755" s="21"/>
      <c r="K755" s="10"/>
    </row>
    <row r="756" spans="1:11" x14ac:dyDescent="0.25">
      <c r="A756" s="19"/>
      <c r="B756" s="19"/>
      <c r="C756" s="20"/>
      <c r="D756" s="21"/>
      <c r="K756" s="10"/>
    </row>
    <row r="757" spans="1:11" x14ac:dyDescent="0.25">
      <c r="A757" s="19"/>
      <c r="B757" s="19"/>
      <c r="C757" s="20"/>
      <c r="D757" s="21"/>
      <c r="K757" s="10"/>
    </row>
    <row r="758" spans="1:11" x14ac:dyDescent="0.25">
      <c r="A758" s="19"/>
      <c r="B758" s="19"/>
      <c r="C758" s="20"/>
      <c r="D758" s="21"/>
      <c r="K758" s="10"/>
    </row>
    <row r="759" spans="1:11" x14ac:dyDescent="0.25">
      <c r="A759" s="19"/>
      <c r="B759" s="19"/>
      <c r="C759" s="20"/>
      <c r="D759" s="21"/>
      <c r="K759" s="10"/>
    </row>
    <row r="760" spans="1:11" x14ac:dyDescent="0.25">
      <c r="A760" s="19"/>
      <c r="B760" s="19"/>
      <c r="C760" s="20"/>
      <c r="D760" s="21"/>
      <c r="K760" s="10"/>
    </row>
    <row r="761" spans="1:11" x14ac:dyDescent="0.25">
      <c r="A761" s="19"/>
      <c r="B761" s="19"/>
      <c r="C761" s="20"/>
      <c r="D761" s="21"/>
      <c r="K761" s="10"/>
    </row>
    <row r="762" spans="1:11" x14ac:dyDescent="0.25">
      <c r="A762" s="19"/>
      <c r="B762" s="19"/>
      <c r="C762" s="20"/>
      <c r="D762" s="21"/>
      <c r="K762" s="10"/>
    </row>
    <row r="763" spans="1:11" x14ac:dyDescent="0.25">
      <c r="A763" s="19"/>
      <c r="B763" s="19"/>
      <c r="C763" s="20"/>
      <c r="D763" s="21"/>
      <c r="K763" s="10"/>
    </row>
    <row r="764" spans="1:11" x14ac:dyDescent="0.25">
      <c r="A764" s="19"/>
      <c r="B764" s="19"/>
      <c r="C764" s="20"/>
      <c r="D764" s="21"/>
      <c r="K764" s="10"/>
    </row>
    <row r="765" spans="1:11" x14ac:dyDescent="0.25">
      <c r="A765" s="19"/>
      <c r="B765" s="19"/>
      <c r="C765" s="20"/>
      <c r="D765" s="21"/>
      <c r="K765" s="10"/>
    </row>
    <row r="766" spans="1:11" x14ac:dyDescent="0.25">
      <c r="A766" s="19"/>
      <c r="B766" s="19"/>
      <c r="C766" s="20"/>
      <c r="D766" s="21"/>
      <c r="K766" s="10"/>
    </row>
    <row r="767" spans="1:11" x14ac:dyDescent="0.25">
      <c r="A767" s="19"/>
      <c r="B767" s="19"/>
      <c r="C767" s="20"/>
      <c r="D767" s="21"/>
      <c r="K767" s="10"/>
    </row>
    <row r="768" spans="1:11" x14ac:dyDescent="0.25">
      <c r="A768" s="19"/>
      <c r="B768" s="19"/>
      <c r="C768" s="20"/>
      <c r="D768" s="21"/>
      <c r="K768" s="10"/>
    </row>
    <row r="769" spans="1:11" x14ac:dyDescent="0.25">
      <c r="A769" s="19"/>
      <c r="B769" s="19"/>
      <c r="C769" s="20"/>
      <c r="D769" s="21"/>
      <c r="K769" s="10"/>
    </row>
    <row r="770" spans="1:11" x14ac:dyDescent="0.25">
      <c r="A770" s="19"/>
      <c r="B770" s="19"/>
      <c r="C770" s="20"/>
      <c r="D770" s="21"/>
      <c r="K770" s="10"/>
    </row>
    <row r="771" spans="1:11" x14ac:dyDescent="0.25">
      <c r="A771" s="19"/>
      <c r="B771" s="19"/>
      <c r="C771" s="20"/>
      <c r="D771" s="21"/>
      <c r="K771" s="10"/>
    </row>
    <row r="772" spans="1:11" x14ac:dyDescent="0.25">
      <c r="A772" s="19"/>
      <c r="B772" s="19"/>
      <c r="C772" s="20"/>
      <c r="D772" s="21"/>
      <c r="K772" s="10"/>
    </row>
    <row r="773" spans="1:11" x14ac:dyDescent="0.25">
      <c r="A773" s="19"/>
      <c r="B773" s="19"/>
      <c r="C773" s="20"/>
      <c r="D773" s="21"/>
      <c r="K773" s="10"/>
    </row>
    <row r="774" spans="1:11" x14ac:dyDescent="0.25">
      <c r="A774" s="19"/>
      <c r="B774" s="19"/>
      <c r="C774" s="20"/>
      <c r="D774" s="21"/>
      <c r="K774" s="10"/>
    </row>
    <row r="775" spans="1:11" x14ac:dyDescent="0.25">
      <c r="A775" s="19"/>
      <c r="B775" s="19"/>
      <c r="C775" s="20"/>
      <c r="D775" s="21"/>
      <c r="K775" s="10"/>
    </row>
    <row r="776" spans="1:11" x14ac:dyDescent="0.25">
      <c r="A776" s="19"/>
      <c r="B776" s="19"/>
      <c r="C776" s="20"/>
      <c r="D776" s="21"/>
      <c r="K776" s="10"/>
    </row>
    <row r="777" spans="1:11" x14ac:dyDescent="0.25">
      <c r="A777" s="19"/>
      <c r="B777" s="19"/>
      <c r="C777" s="20"/>
      <c r="D777" s="21"/>
      <c r="K777" s="10"/>
    </row>
    <row r="778" spans="1:11" x14ac:dyDescent="0.25">
      <c r="A778" s="19"/>
      <c r="B778" s="19"/>
      <c r="C778" s="20"/>
      <c r="D778" s="21"/>
      <c r="K778" s="10"/>
    </row>
    <row r="779" spans="1:11" x14ac:dyDescent="0.25">
      <c r="A779" s="19"/>
      <c r="B779" s="19"/>
      <c r="C779" s="20"/>
      <c r="D779" s="21"/>
      <c r="K779" s="10"/>
    </row>
    <row r="780" spans="1:11" x14ac:dyDescent="0.25">
      <c r="A780" s="19"/>
      <c r="B780" s="19"/>
      <c r="C780" s="20"/>
      <c r="D780" s="21"/>
      <c r="K780" s="10"/>
    </row>
    <row r="781" spans="1:11" x14ac:dyDescent="0.25">
      <c r="A781" s="19"/>
      <c r="B781" s="19"/>
      <c r="C781" s="20"/>
      <c r="D781" s="21"/>
      <c r="K781" s="10"/>
    </row>
    <row r="782" spans="1:11" x14ac:dyDescent="0.25">
      <c r="A782" s="19"/>
      <c r="B782" s="19"/>
      <c r="C782" s="20"/>
      <c r="D782" s="21"/>
      <c r="K782" s="10"/>
    </row>
    <row r="783" spans="1:11" x14ac:dyDescent="0.25">
      <c r="A783" s="19"/>
      <c r="B783" s="19"/>
      <c r="C783" s="20"/>
      <c r="D783" s="21"/>
      <c r="K783" s="10"/>
    </row>
    <row r="784" spans="1:11" x14ac:dyDescent="0.25">
      <c r="A784" s="19"/>
      <c r="B784" s="19"/>
      <c r="C784" s="20"/>
      <c r="D784" s="21"/>
      <c r="K784" s="10"/>
    </row>
    <row r="785" spans="1:11" x14ac:dyDescent="0.25">
      <c r="A785" s="19"/>
      <c r="B785" s="19"/>
      <c r="C785" s="20"/>
      <c r="D785" s="21"/>
      <c r="K785" s="10"/>
    </row>
    <row r="786" spans="1:11" x14ac:dyDescent="0.25">
      <c r="A786" s="19"/>
      <c r="B786" s="19"/>
      <c r="C786" s="20"/>
      <c r="D786" s="21"/>
      <c r="K786" s="10"/>
    </row>
    <row r="787" spans="1:11" x14ac:dyDescent="0.25">
      <c r="A787" s="19"/>
      <c r="B787" s="19"/>
      <c r="C787" s="20"/>
      <c r="D787" s="21"/>
      <c r="K787" s="10"/>
    </row>
    <row r="788" spans="1:11" x14ac:dyDescent="0.25">
      <c r="A788" s="19"/>
      <c r="B788" s="19"/>
      <c r="C788" s="20"/>
      <c r="D788" s="21"/>
      <c r="K788" s="10"/>
    </row>
    <row r="789" spans="1:11" x14ac:dyDescent="0.25">
      <c r="A789" s="19"/>
      <c r="B789" s="19"/>
      <c r="C789" s="20"/>
      <c r="D789" s="21"/>
      <c r="K789" s="10"/>
    </row>
    <row r="790" spans="1:11" x14ac:dyDescent="0.25">
      <c r="A790" s="19"/>
      <c r="B790" s="19"/>
      <c r="C790" s="20"/>
      <c r="D790" s="21"/>
      <c r="K790" s="10"/>
    </row>
    <row r="791" spans="1:11" x14ac:dyDescent="0.25">
      <c r="A791" s="19"/>
      <c r="B791" s="19"/>
      <c r="C791" s="20"/>
      <c r="D791" s="21"/>
      <c r="K791" s="10"/>
    </row>
    <row r="792" spans="1:11" x14ac:dyDescent="0.25">
      <c r="A792" s="19"/>
      <c r="B792" s="19"/>
      <c r="C792" s="20"/>
      <c r="D792" s="21"/>
      <c r="K792" s="10"/>
    </row>
    <row r="793" spans="1:11" x14ac:dyDescent="0.25">
      <c r="A793" s="19"/>
      <c r="B793" s="19"/>
      <c r="C793" s="20"/>
      <c r="D793" s="21"/>
      <c r="K793" s="10"/>
    </row>
    <row r="794" spans="1:11" x14ac:dyDescent="0.25">
      <c r="A794" s="19"/>
      <c r="B794" s="19"/>
      <c r="C794" s="20"/>
      <c r="D794" s="21"/>
      <c r="K794" s="10"/>
    </row>
    <row r="795" spans="1:11" x14ac:dyDescent="0.25">
      <c r="A795" s="19"/>
      <c r="B795" s="19"/>
      <c r="C795" s="20"/>
      <c r="D795" s="21"/>
      <c r="K795" s="10"/>
    </row>
    <row r="796" spans="1:11" x14ac:dyDescent="0.25">
      <c r="A796" s="19"/>
      <c r="B796" s="19"/>
      <c r="C796" s="20"/>
      <c r="D796" s="21"/>
      <c r="K796" s="10"/>
    </row>
    <row r="797" spans="1:11" x14ac:dyDescent="0.25">
      <c r="A797" s="19"/>
      <c r="B797" s="19"/>
      <c r="C797" s="20"/>
      <c r="D797" s="21"/>
      <c r="K797" s="10"/>
    </row>
    <row r="798" spans="1:11" x14ac:dyDescent="0.25">
      <c r="A798" s="19"/>
      <c r="B798" s="19"/>
      <c r="C798" s="20"/>
      <c r="D798" s="21"/>
      <c r="K798" s="10"/>
    </row>
    <row r="799" spans="1:11" x14ac:dyDescent="0.25">
      <c r="A799" s="19"/>
      <c r="B799" s="19"/>
      <c r="C799" s="20"/>
      <c r="D799" s="21"/>
      <c r="K799" s="10"/>
    </row>
    <row r="800" spans="1:11" x14ac:dyDescent="0.25">
      <c r="A800" s="19"/>
      <c r="B800" s="19"/>
      <c r="C800" s="20"/>
      <c r="D800" s="21"/>
      <c r="K800" s="10"/>
    </row>
    <row r="801" spans="1:11" x14ac:dyDescent="0.25">
      <c r="A801" s="19"/>
      <c r="B801" s="19"/>
      <c r="C801" s="20"/>
      <c r="D801" s="21"/>
      <c r="K801" s="10"/>
    </row>
    <row r="802" spans="1:11" x14ac:dyDescent="0.25">
      <c r="A802" s="19"/>
      <c r="B802" s="19"/>
      <c r="C802" s="20"/>
      <c r="D802" s="21"/>
      <c r="K802" s="10"/>
    </row>
    <row r="803" spans="1:11" x14ac:dyDescent="0.25">
      <c r="A803" s="19"/>
      <c r="B803" s="19"/>
      <c r="C803" s="20"/>
      <c r="D803" s="21"/>
      <c r="K803" s="10"/>
    </row>
    <row r="804" spans="1:11" x14ac:dyDescent="0.25">
      <c r="A804" s="19"/>
      <c r="B804" s="19"/>
      <c r="C804" s="20"/>
      <c r="D804" s="21"/>
      <c r="K804" s="10"/>
    </row>
    <row r="805" spans="1:11" x14ac:dyDescent="0.25">
      <c r="A805" s="19"/>
      <c r="B805" s="19"/>
      <c r="C805" s="20"/>
      <c r="D805" s="21"/>
      <c r="K805" s="10"/>
    </row>
    <row r="806" spans="1:11" x14ac:dyDescent="0.25">
      <c r="A806" s="19"/>
      <c r="B806" s="19"/>
      <c r="C806" s="20"/>
      <c r="D806" s="21"/>
      <c r="K806" s="10"/>
    </row>
    <row r="807" spans="1:11" x14ac:dyDescent="0.25">
      <c r="A807" s="19"/>
      <c r="B807" s="19"/>
      <c r="C807" s="20"/>
      <c r="D807" s="21"/>
      <c r="K807" s="10"/>
    </row>
    <row r="808" spans="1:11" x14ac:dyDescent="0.25">
      <c r="A808" s="19"/>
      <c r="B808" s="19"/>
      <c r="C808" s="20"/>
      <c r="D808" s="21"/>
      <c r="K808" s="10"/>
    </row>
    <row r="809" spans="1:11" x14ac:dyDescent="0.25">
      <c r="A809" s="19"/>
      <c r="B809" s="19"/>
      <c r="C809" s="20"/>
      <c r="D809" s="21"/>
      <c r="K809" s="10"/>
    </row>
    <row r="810" spans="1:11" x14ac:dyDescent="0.25">
      <c r="A810" s="19"/>
      <c r="B810" s="19"/>
      <c r="C810" s="20"/>
      <c r="D810" s="21"/>
      <c r="K810" s="10"/>
    </row>
    <row r="811" spans="1:11" x14ac:dyDescent="0.25">
      <c r="A811" s="19"/>
      <c r="B811" s="19"/>
      <c r="C811" s="20"/>
      <c r="D811" s="21"/>
      <c r="K811" s="10"/>
    </row>
    <row r="812" spans="1:11" x14ac:dyDescent="0.25">
      <c r="A812" s="19"/>
      <c r="B812" s="19"/>
      <c r="C812" s="20"/>
      <c r="D812" s="21"/>
      <c r="K812" s="10"/>
    </row>
    <row r="813" spans="1:11" x14ac:dyDescent="0.25">
      <c r="A813" s="19"/>
      <c r="B813" s="19"/>
      <c r="C813" s="20"/>
      <c r="D813" s="21"/>
      <c r="K813" s="10"/>
    </row>
    <row r="814" spans="1:11" x14ac:dyDescent="0.25">
      <c r="A814" s="19"/>
      <c r="B814" s="19"/>
      <c r="C814" s="20"/>
      <c r="D814" s="21"/>
      <c r="K814" s="10"/>
    </row>
    <row r="815" spans="1:11" x14ac:dyDescent="0.25">
      <c r="A815" s="19"/>
      <c r="B815" s="19"/>
      <c r="C815" s="20"/>
      <c r="D815" s="21"/>
      <c r="K815" s="10"/>
    </row>
    <row r="816" spans="1:11" x14ac:dyDescent="0.25">
      <c r="A816" s="19"/>
      <c r="B816" s="19"/>
      <c r="C816" s="20"/>
      <c r="D816" s="21"/>
      <c r="K816" s="10"/>
    </row>
    <row r="817" spans="1:11" x14ac:dyDescent="0.25">
      <c r="A817" s="19"/>
      <c r="B817" s="19"/>
      <c r="C817" s="20"/>
      <c r="D817" s="21"/>
      <c r="K817" s="10"/>
    </row>
    <row r="818" spans="1:11" x14ac:dyDescent="0.25">
      <c r="A818" s="19"/>
      <c r="B818" s="19"/>
      <c r="C818" s="20"/>
      <c r="D818" s="21"/>
      <c r="K818" s="10"/>
    </row>
    <row r="819" spans="1:11" x14ac:dyDescent="0.25">
      <c r="A819" s="19"/>
      <c r="B819" s="19"/>
      <c r="C819" s="20"/>
      <c r="D819" s="21"/>
      <c r="K819" s="10"/>
    </row>
    <row r="820" spans="1:11" x14ac:dyDescent="0.25">
      <c r="A820" s="19"/>
      <c r="B820" s="19"/>
      <c r="C820" s="20"/>
      <c r="D820" s="21"/>
      <c r="K820" s="10"/>
    </row>
    <row r="821" spans="1:11" x14ac:dyDescent="0.25">
      <c r="A821" s="19"/>
      <c r="B821" s="19"/>
      <c r="C821" s="20"/>
      <c r="D821" s="21"/>
      <c r="K821" s="10"/>
    </row>
    <row r="822" spans="1:11" x14ac:dyDescent="0.25">
      <c r="A822" s="19"/>
      <c r="B822" s="19"/>
      <c r="C822" s="20"/>
      <c r="D822" s="21"/>
      <c r="K822" s="10"/>
    </row>
    <row r="823" spans="1:11" x14ac:dyDescent="0.25">
      <c r="A823" s="19"/>
      <c r="B823" s="19"/>
      <c r="C823" s="20"/>
      <c r="D823" s="21"/>
      <c r="K823" s="10"/>
    </row>
    <row r="824" spans="1:11" x14ac:dyDescent="0.25">
      <c r="A824" s="19"/>
      <c r="B824" s="19"/>
      <c r="C824" s="20"/>
      <c r="D824" s="21"/>
      <c r="K824" s="10"/>
    </row>
    <row r="825" spans="1:11" x14ac:dyDescent="0.25">
      <c r="A825" s="19"/>
      <c r="B825" s="19"/>
      <c r="C825" s="20"/>
      <c r="D825" s="21"/>
      <c r="K825" s="10"/>
    </row>
    <row r="826" spans="1:11" x14ac:dyDescent="0.25">
      <c r="A826" s="19"/>
      <c r="B826" s="19"/>
      <c r="C826" s="20"/>
      <c r="D826" s="21"/>
      <c r="K826" s="10"/>
    </row>
    <row r="827" spans="1:11" x14ac:dyDescent="0.25">
      <c r="A827" s="19"/>
      <c r="B827" s="19"/>
      <c r="C827" s="20"/>
      <c r="D827" s="21"/>
      <c r="K827" s="10"/>
    </row>
    <row r="828" spans="1:11" x14ac:dyDescent="0.25">
      <c r="A828" s="19"/>
      <c r="B828" s="19"/>
      <c r="C828" s="20"/>
      <c r="D828" s="21"/>
      <c r="K828" s="10"/>
    </row>
    <row r="829" spans="1:11" x14ac:dyDescent="0.25">
      <c r="A829" s="19"/>
      <c r="B829" s="19"/>
      <c r="C829" s="20"/>
      <c r="D829" s="21"/>
      <c r="K829" s="10"/>
    </row>
    <row r="830" spans="1:11" x14ac:dyDescent="0.25">
      <c r="A830" s="19"/>
      <c r="B830" s="19"/>
      <c r="C830" s="20"/>
      <c r="D830" s="21"/>
      <c r="K830" s="10"/>
    </row>
    <row r="831" spans="1:11" x14ac:dyDescent="0.25">
      <c r="A831" s="19"/>
      <c r="B831" s="19"/>
      <c r="C831" s="20"/>
      <c r="D831" s="21"/>
      <c r="K831" s="10"/>
    </row>
    <row r="832" spans="1:11" x14ac:dyDescent="0.25">
      <c r="A832" s="19"/>
      <c r="B832" s="19"/>
      <c r="C832" s="20"/>
      <c r="D832" s="21"/>
      <c r="K832" s="10"/>
    </row>
    <row r="833" spans="1:11" x14ac:dyDescent="0.25">
      <c r="A833" s="19"/>
      <c r="B833" s="19"/>
      <c r="C833" s="20"/>
      <c r="D833" s="21"/>
      <c r="K833" s="10"/>
    </row>
    <row r="834" spans="1:11" x14ac:dyDescent="0.25">
      <c r="A834" s="19"/>
      <c r="B834" s="19"/>
      <c r="C834" s="20"/>
      <c r="D834" s="21"/>
      <c r="K834" s="10"/>
    </row>
    <row r="835" spans="1:11" x14ac:dyDescent="0.25">
      <c r="A835" s="19"/>
      <c r="B835" s="19"/>
      <c r="C835" s="20"/>
      <c r="D835" s="21"/>
      <c r="K835" s="10"/>
    </row>
    <row r="836" spans="1:11" x14ac:dyDescent="0.25">
      <c r="A836" s="19"/>
      <c r="B836" s="19"/>
      <c r="C836" s="20"/>
      <c r="D836" s="21"/>
      <c r="K836" s="10"/>
    </row>
    <row r="837" spans="1:11" x14ac:dyDescent="0.25">
      <c r="A837" s="19"/>
      <c r="B837" s="19"/>
      <c r="C837" s="20"/>
      <c r="D837" s="21"/>
      <c r="K837" s="10"/>
    </row>
    <row r="838" spans="1:11" x14ac:dyDescent="0.25">
      <c r="A838" s="19"/>
      <c r="B838" s="19"/>
      <c r="C838" s="20"/>
      <c r="D838" s="21"/>
      <c r="K838" s="10"/>
    </row>
    <row r="839" spans="1:11" x14ac:dyDescent="0.25">
      <c r="A839" s="19"/>
      <c r="B839" s="19"/>
      <c r="C839" s="20"/>
      <c r="D839" s="21"/>
      <c r="K839" s="10"/>
    </row>
    <row r="840" spans="1:11" x14ac:dyDescent="0.25">
      <c r="A840" s="19"/>
      <c r="B840" s="19"/>
      <c r="C840" s="20"/>
      <c r="D840" s="21"/>
      <c r="K840" s="10"/>
    </row>
    <row r="841" spans="1:11" x14ac:dyDescent="0.25">
      <c r="A841" s="19"/>
      <c r="B841" s="19"/>
      <c r="C841" s="20"/>
      <c r="D841" s="21"/>
      <c r="K841" s="10"/>
    </row>
    <row r="842" spans="1:11" x14ac:dyDescent="0.25">
      <c r="A842" s="19"/>
      <c r="B842" s="19"/>
      <c r="C842" s="20"/>
      <c r="D842" s="21"/>
      <c r="K842" s="10"/>
    </row>
    <row r="843" spans="1:11" x14ac:dyDescent="0.25">
      <c r="A843" s="19"/>
      <c r="B843" s="19"/>
      <c r="C843" s="20"/>
      <c r="D843" s="21"/>
      <c r="K843" s="10"/>
    </row>
    <row r="844" spans="1:11" x14ac:dyDescent="0.25">
      <c r="A844" s="19"/>
      <c r="B844" s="19"/>
      <c r="C844" s="20"/>
      <c r="D844" s="21"/>
      <c r="K844" s="10"/>
    </row>
    <row r="845" spans="1:11" x14ac:dyDescent="0.25">
      <c r="A845" s="19"/>
      <c r="B845" s="19"/>
      <c r="C845" s="20"/>
      <c r="D845" s="21"/>
      <c r="K845" s="10"/>
    </row>
    <row r="846" spans="1:11" x14ac:dyDescent="0.25">
      <c r="A846" s="19"/>
      <c r="B846" s="19"/>
      <c r="C846" s="20"/>
      <c r="D846" s="21"/>
      <c r="K846" s="10"/>
    </row>
    <row r="847" spans="1:11" x14ac:dyDescent="0.25">
      <c r="A847" s="19"/>
      <c r="B847" s="19"/>
      <c r="C847" s="20"/>
      <c r="D847" s="21"/>
      <c r="K847" s="10"/>
    </row>
    <row r="848" spans="1:11" x14ac:dyDescent="0.25">
      <c r="A848" s="19"/>
      <c r="B848" s="19"/>
      <c r="C848" s="20"/>
      <c r="D848" s="21"/>
      <c r="K848" s="10"/>
    </row>
    <row r="849" spans="1:11" x14ac:dyDescent="0.25">
      <c r="A849" s="19"/>
      <c r="B849" s="19"/>
      <c r="C849" s="20"/>
      <c r="D849" s="21"/>
      <c r="K849" s="10"/>
    </row>
    <row r="850" spans="1:11" x14ac:dyDescent="0.25">
      <c r="A850" s="19"/>
      <c r="B850" s="19"/>
      <c r="C850" s="20"/>
      <c r="D850" s="21"/>
      <c r="K850" s="10"/>
    </row>
    <row r="851" spans="1:11" x14ac:dyDescent="0.25">
      <c r="A851" s="19"/>
      <c r="B851" s="19"/>
      <c r="C851" s="20"/>
      <c r="D851" s="21"/>
      <c r="K851" s="10"/>
    </row>
    <row r="852" spans="1:11" x14ac:dyDescent="0.25">
      <c r="A852" s="19"/>
      <c r="B852" s="19"/>
      <c r="C852" s="20"/>
      <c r="D852" s="21"/>
      <c r="K852" s="10"/>
    </row>
    <row r="853" spans="1:11" x14ac:dyDescent="0.25">
      <c r="A853" s="19"/>
      <c r="B853" s="19"/>
      <c r="C853" s="20"/>
      <c r="D853" s="21"/>
      <c r="K853" s="10"/>
    </row>
    <row r="854" spans="1:11" x14ac:dyDescent="0.25">
      <c r="A854" s="19"/>
      <c r="B854" s="19"/>
      <c r="C854" s="20"/>
      <c r="D854" s="21"/>
      <c r="K854" s="10"/>
    </row>
    <row r="855" spans="1:11" x14ac:dyDescent="0.25">
      <c r="A855" s="19"/>
      <c r="B855" s="19"/>
      <c r="C855" s="20"/>
      <c r="D855" s="21"/>
      <c r="K855" s="10"/>
    </row>
    <row r="856" spans="1:11" x14ac:dyDescent="0.25">
      <c r="A856" s="19"/>
      <c r="B856" s="19"/>
      <c r="C856" s="20"/>
      <c r="D856" s="21"/>
      <c r="K856" s="10"/>
    </row>
    <row r="857" spans="1:11" x14ac:dyDescent="0.25">
      <c r="A857" s="19"/>
      <c r="B857" s="19"/>
      <c r="C857" s="20"/>
      <c r="D857" s="21"/>
      <c r="K857" s="10"/>
    </row>
    <row r="858" spans="1:11" x14ac:dyDescent="0.25">
      <c r="A858" s="19"/>
      <c r="B858" s="19"/>
      <c r="C858" s="20"/>
      <c r="D858" s="21"/>
      <c r="K858" s="10"/>
    </row>
    <row r="859" spans="1:11" x14ac:dyDescent="0.25">
      <c r="A859" s="19"/>
      <c r="B859" s="19"/>
      <c r="C859" s="20"/>
      <c r="D859" s="21"/>
      <c r="K859" s="10"/>
    </row>
    <row r="860" spans="1:11" x14ac:dyDescent="0.25">
      <c r="A860" s="19"/>
      <c r="B860" s="19"/>
      <c r="C860" s="20"/>
      <c r="D860" s="21"/>
      <c r="K860" s="10"/>
    </row>
    <row r="861" spans="1:11" x14ac:dyDescent="0.25">
      <c r="A861" s="19"/>
      <c r="B861" s="19"/>
      <c r="C861" s="20"/>
      <c r="D861" s="21"/>
      <c r="K861" s="10"/>
    </row>
    <row r="862" spans="1:11" x14ac:dyDescent="0.25">
      <c r="A862" s="19"/>
      <c r="B862" s="19"/>
      <c r="C862" s="20"/>
      <c r="D862" s="21"/>
      <c r="K862" s="10"/>
    </row>
    <row r="863" spans="1:11" x14ac:dyDescent="0.25">
      <c r="A863" s="19"/>
      <c r="B863" s="19"/>
      <c r="C863" s="20"/>
      <c r="D863" s="21"/>
      <c r="K863" s="10"/>
    </row>
    <row r="864" spans="1:11" x14ac:dyDescent="0.25">
      <c r="A864" s="19"/>
      <c r="B864" s="19"/>
      <c r="C864" s="20"/>
      <c r="D864" s="21"/>
      <c r="K864" s="10"/>
    </row>
    <row r="865" spans="1:11" x14ac:dyDescent="0.25">
      <c r="A865" s="19"/>
      <c r="B865" s="19"/>
      <c r="C865" s="20"/>
      <c r="D865" s="21"/>
      <c r="K865" s="10"/>
    </row>
    <row r="866" spans="1:11" x14ac:dyDescent="0.25">
      <c r="A866" s="19"/>
      <c r="B866" s="19"/>
      <c r="C866" s="20"/>
      <c r="D866" s="21"/>
      <c r="K866" s="10"/>
    </row>
    <row r="867" spans="1:11" x14ac:dyDescent="0.25">
      <c r="A867" s="19"/>
      <c r="B867" s="19"/>
      <c r="C867" s="20"/>
      <c r="D867" s="21"/>
      <c r="K867" s="10"/>
    </row>
    <row r="868" spans="1:11" x14ac:dyDescent="0.25">
      <c r="A868" s="19"/>
      <c r="B868" s="19"/>
      <c r="C868" s="20"/>
      <c r="D868" s="21"/>
      <c r="K868" s="10"/>
    </row>
    <row r="869" spans="1:11" x14ac:dyDescent="0.25">
      <c r="A869" s="19"/>
      <c r="B869" s="19"/>
      <c r="C869" s="20"/>
      <c r="D869" s="21"/>
      <c r="K869" s="10"/>
    </row>
    <row r="870" spans="1:11" x14ac:dyDescent="0.25">
      <c r="A870" s="19"/>
      <c r="B870" s="19"/>
      <c r="C870" s="20"/>
      <c r="D870" s="21"/>
      <c r="K870" s="10"/>
    </row>
    <row r="871" spans="1:11" x14ac:dyDescent="0.25">
      <c r="A871" s="19"/>
      <c r="B871" s="19"/>
      <c r="C871" s="20"/>
      <c r="D871" s="21"/>
      <c r="K871" s="10"/>
    </row>
    <row r="872" spans="1:11" x14ac:dyDescent="0.25">
      <c r="A872" s="19"/>
      <c r="B872" s="19"/>
      <c r="C872" s="20"/>
      <c r="D872" s="21"/>
      <c r="K872" s="10"/>
    </row>
    <row r="873" spans="1:11" x14ac:dyDescent="0.25">
      <c r="A873" s="19"/>
      <c r="B873" s="19"/>
      <c r="C873" s="20"/>
      <c r="D873" s="21"/>
      <c r="K873" s="10"/>
    </row>
    <row r="874" spans="1:11" x14ac:dyDescent="0.25">
      <c r="A874" s="19"/>
      <c r="B874" s="19"/>
      <c r="C874" s="20"/>
      <c r="D874" s="21"/>
      <c r="K874" s="10"/>
    </row>
    <row r="875" spans="1:11" x14ac:dyDescent="0.25">
      <c r="A875" s="19"/>
      <c r="B875" s="19"/>
      <c r="C875" s="20"/>
      <c r="D875" s="21"/>
      <c r="K875" s="10"/>
    </row>
    <row r="876" spans="1:11" x14ac:dyDescent="0.25">
      <c r="A876" s="19"/>
      <c r="B876" s="19"/>
      <c r="C876" s="20"/>
      <c r="D876" s="21"/>
      <c r="K876" s="10"/>
    </row>
    <row r="877" spans="1:11" x14ac:dyDescent="0.25">
      <c r="A877" s="19"/>
      <c r="B877" s="19"/>
      <c r="C877" s="20"/>
      <c r="D877" s="21"/>
      <c r="K877" s="10"/>
    </row>
    <row r="878" spans="1:11" x14ac:dyDescent="0.25">
      <c r="A878" s="19"/>
      <c r="B878" s="19"/>
      <c r="C878" s="20"/>
      <c r="D878" s="21"/>
      <c r="K878" s="10"/>
    </row>
    <row r="879" spans="1:11" x14ac:dyDescent="0.25">
      <c r="A879" s="19"/>
      <c r="B879" s="19"/>
      <c r="C879" s="20"/>
      <c r="D879" s="21"/>
      <c r="K879" s="10"/>
    </row>
    <row r="880" spans="1:11" x14ac:dyDescent="0.25">
      <c r="A880" s="19"/>
      <c r="B880" s="19"/>
      <c r="C880" s="20"/>
      <c r="D880" s="21"/>
      <c r="K880" s="10"/>
    </row>
    <row r="881" spans="1:11" x14ac:dyDescent="0.25">
      <c r="A881" s="19"/>
      <c r="B881" s="19"/>
      <c r="C881" s="20"/>
      <c r="D881" s="21"/>
      <c r="K881" s="10"/>
    </row>
    <row r="882" spans="1:11" x14ac:dyDescent="0.25">
      <c r="A882" s="19"/>
      <c r="B882" s="19"/>
      <c r="C882" s="20"/>
      <c r="D882" s="21"/>
      <c r="K882" s="10"/>
    </row>
    <row r="883" spans="1:11" x14ac:dyDescent="0.25">
      <c r="A883" s="19"/>
      <c r="B883" s="19"/>
      <c r="C883" s="20"/>
      <c r="D883" s="21"/>
      <c r="K883" s="10"/>
    </row>
    <row r="884" spans="1:11" x14ac:dyDescent="0.25">
      <c r="A884" s="19"/>
      <c r="B884" s="19"/>
      <c r="C884" s="20"/>
      <c r="D884" s="21"/>
      <c r="K884" s="10"/>
    </row>
    <row r="885" spans="1:11" x14ac:dyDescent="0.25">
      <c r="A885" s="19"/>
      <c r="B885" s="19"/>
      <c r="C885" s="20"/>
      <c r="D885" s="21"/>
      <c r="K885" s="10"/>
    </row>
    <row r="886" spans="1:11" x14ac:dyDescent="0.25">
      <c r="A886" s="19"/>
      <c r="B886" s="19"/>
      <c r="C886" s="20"/>
      <c r="D886" s="21"/>
      <c r="K886" s="10"/>
    </row>
    <row r="887" spans="1:11" x14ac:dyDescent="0.25">
      <c r="A887" s="19"/>
      <c r="B887" s="19"/>
      <c r="C887" s="20"/>
      <c r="D887" s="21"/>
      <c r="K887" s="10"/>
    </row>
    <row r="888" spans="1:11" x14ac:dyDescent="0.25">
      <c r="A888" s="19"/>
      <c r="B888" s="19"/>
      <c r="C888" s="20"/>
      <c r="D888" s="21"/>
      <c r="K888" s="10"/>
    </row>
    <row r="889" spans="1:11" x14ac:dyDescent="0.25">
      <c r="A889" s="19"/>
      <c r="B889" s="19"/>
      <c r="C889" s="20"/>
      <c r="D889" s="21"/>
      <c r="K889" s="10"/>
    </row>
    <row r="890" spans="1:11" x14ac:dyDescent="0.25">
      <c r="A890" s="19"/>
      <c r="B890" s="19"/>
      <c r="C890" s="20"/>
      <c r="D890" s="21"/>
      <c r="K890" s="10"/>
    </row>
    <row r="891" spans="1:11" x14ac:dyDescent="0.25">
      <c r="A891" s="19"/>
      <c r="B891" s="19"/>
      <c r="C891" s="20"/>
      <c r="D891" s="21"/>
      <c r="K891" s="10"/>
    </row>
    <row r="892" spans="1:11" x14ac:dyDescent="0.25">
      <c r="A892" s="19"/>
      <c r="B892" s="19"/>
      <c r="C892" s="20"/>
      <c r="D892" s="21"/>
      <c r="K892" s="10"/>
    </row>
    <row r="893" spans="1:11" x14ac:dyDescent="0.25">
      <c r="A893" s="19"/>
      <c r="B893" s="19"/>
      <c r="C893" s="20"/>
      <c r="D893" s="21"/>
      <c r="K893" s="10"/>
    </row>
    <row r="894" spans="1:11" x14ac:dyDescent="0.25">
      <c r="A894" s="19"/>
      <c r="B894" s="19"/>
      <c r="C894" s="20"/>
      <c r="D894" s="21"/>
      <c r="K894" s="10"/>
    </row>
    <row r="895" spans="1:11" x14ac:dyDescent="0.25">
      <c r="A895" s="19"/>
      <c r="B895" s="19"/>
      <c r="C895" s="20"/>
      <c r="D895" s="21"/>
      <c r="K895" s="10"/>
    </row>
    <row r="896" spans="1:11" x14ac:dyDescent="0.25">
      <c r="A896" s="19"/>
      <c r="B896" s="19"/>
      <c r="C896" s="20"/>
      <c r="D896" s="21"/>
      <c r="K896" s="10"/>
    </row>
    <row r="897" spans="1:11" x14ac:dyDescent="0.25">
      <c r="A897" s="19"/>
      <c r="B897" s="19"/>
      <c r="C897" s="20"/>
      <c r="D897" s="21"/>
      <c r="K897" s="10"/>
    </row>
    <row r="898" spans="1:11" x14ac:dyDescent="0.25">
      <c r="A898" s="19"/>
      <c r="B898" s="19"/>
      <c r="C898" s="20"/>
      <c r="D898" s="21"/>
      <c r="K898" s="10"/>
    </row>
    <row r="899" spans="1:11" x14ac:dyDescent="0.25">
      <c r="A899" s="19"/>
      <c r="B899" s="19"/>
      <c r="C899" s="20"/>
      <c r="D899" s="21"/>
      <c r="K899" s="10"/>
    </row>
    <row r="900" spans="1:11" x14ac:dyDescent="0.25">
      <c r="A900" s="19"/>
      <c r="B900" s="19"/>
      <c r="C900" s="20"/>
      <c r="D900" s="21"/>
      <c r="K900" s="10"/>
    </row>
    <row r="901" spans="1:11" x14ac:dyDescent="0.25">
      <c r="A901" s="19"/>
      <c r="B901" s="19"/>
      <c r="C901" s="20"/>
      <c r="D901" s="21"/>
      <c r="K901" s="10"/>
    </row>
    <row r="902" spans="1:11" x14ac:dyDescent="0.25">
      <c r="A902" s="19"/>
      <c r="B902" s="19"/>
      <c r="C902" s="20"/>
      <c r="D902" s="21"/>
      <c r="K902" s="10"/>
    </row>
    <row r="903" spans="1:11" x14ac:dyDescent="0.25">
      <c r="A903" s="19"/>
      <c r="B903" s="19"/>
      <c r="C903" s="20"/>
      <c r="D903" s="21"/>
      <c r="K903" s="10"/>
    </row>
    <row r="904" spans="1:11" x14ac:dyDescent="0.25">
      <c r="A904" s="19"/>
      <c r="B904" s="19"/>
      <c r="C904" s="20"/>
      <c r="D904" s="21"/>
      <c r="K904" s="10"/>
    </row>
    <row r="905" spans="1:11" x14ac:dyDescent="0.25">
      <c r="A905" s="19"/>
      <c r="B905" s="19"/>
      <c r="C905" s="20"/>
      <c r="D905" s="21"/>
      <c r="K905" s="10"/>
    </row>
    <row r="906" spans="1:11" x14ac:dyDescent="0.25">
      <c r="A906" s="19"/>
      <c r="B906" s="19"/>
      <c r="C906" s="20"/>
      <c r="D906" s="21"/>
      <c r="K906" s="10"/>
    </row>
    <row r="907" spans="1:11" x14ac:dyDescent="0.25">
      <c r="A907" s="19"/>
      <c r="B907" s="19"/>
      <c r="C907" s="20"/>
      <c r="D907" s="21"/>
      <c r="K907" s="10"/>
    </row>
    <row r="908" spans="1:11" x14ac:dyDescent="0.25">
      <c r="A908" s="19"/>
      <c r="B908" s="19"/>
      <c r="C908" s="20"/>
      <c r="D908" s="21"/>
      <c r="K908" s="10"/>
    </row>
    <row r="909" spans="1:11" x14ac:dyDescent="0.25">
      <c r="A909" s="19"/>
      <c r="B909" s="19"/>
      <c r="C909" s="20"/>
      <c r="D909" s="21"/>
      <c r="K909" s="10"/>
    </row>
    <row r="910" spans="1:11" x14ac:dyDescent="0.25">
      <c r="A910" s="19"/>
      <c r="B910" s="19"/>
      <c r="C910" s="20"/>
      <c r="D910" s="21"/>
      <c r="K910" s="10"/>
    </row>
    <row r="911" spans="1:11" x14ac:dyDescent="0.25">
      <c r="A911" s="19"/>
      <c r="B911" s="19"/>
      <c r="C911" s="20"/>
      <c r="D911" s="21"/>
      <c r="K911" s="10"/>
    </row>
    <row r="912" spans="1:11" x14ac:dyDescent="0.25">
      <c r="A912" s="19"/>
      <c r="B912" s="19"/>
      <c r="C912" s="20"/>
      <c r="D912" s="21"/>
      <c r="K912" s="10"/>
    </row>
    <row r="913" spans="1:11" x14ac:dyDescent="0.25">
      <c r="A913" s="19"/>
      <c r="B913" s="19"/>
      <c r="C913" s="20"/>
      <c r="D913" s="21"/>
      <c r="K913" s="10"/>
    </row>
    <row r="914" spans="1:11" x14ac:dyDescent="0.25">
      <c r="A914" s="19"/>
      <c r="B914" s="19"/>
      <c r="C914" s="20"/>
      <c r="D914" s="21"/>
      <c r="K914" s="10"/>
    </row>
    <row r="915" spans="1:11" x14ac:dyDescent="0.25">
      <c r="A915" s="19"/>
      <c r="B915" s="19"/>
      <c r="C915" s="20"/>
      <c r="D915" s="21"/>
      <c r="K915" s="10"/>
    </row>
    <row r="916" spans="1:11" x14ac:dyDescent="0.25">
      <c r="A916" s="19"/>
      <c r="B916" s="19"/>
      <c r="C916" s="20"/>
      <c r="D916" s="21"/>
      <c r="K916" s="10"/>
    </row>
    <row r="917" spans="1:11" x14ac:dyDescent="0.25">
      <c r="A917" s="19"/>
      <c r="B917" s="19"/>
      <c r="C917" s="20"/>
      <c r="D917" s="21"/>
      <c r="K917" s="10"/>
    </row>
    <row r="918" spans="1:11" x14ac:dyDescent="0.25">
      <c r="A918" s="19"/>
      <c r="B918" s="19"/>
      <c r="C918" s="20"/>
      <c r="D918" s="21"/>
      <c r="K918" s="10"/>
    </row>
    <row r="919" spans="1:11" x14ac:dyDescent="0.25">
      <c r="A919" s="19"/>
      <c r="B919" s="19"/>
      <c r="C919" s="20"/>
      <c r="D919" s="21"/>
      <c r="K919" s="10"/>
    </row>
    <row r="920" spans="1:11" x14ac:dyDescent="0.25">
      <c r="A920" s="19"/>
      <c r="B920" s="19"/>
      <c r="C920" s="20"/>
      <c r="D920" s="21"/>
      <c r="K920" s="10"/>
    </row>
    <row r="921" spans="1:11" x14ac:dyDescent="0.25">
      <c r="A921" s="19"/>
      <c r="B921" s="19"/>
      <c r="C921" s="20"/>
      <c r="D921" s="21"/>
      <c r="K921" s="10"/>
    </row>
    <row r="922" spans="1:11" x14ac:dyDescent="0.25">
      <c r="A922" s="19"/>
      <c r="B922" s="19"/>
      <c r="C922" s="20"/>
      <c r="D922" s="21"/>
      <c r="K922" s="10"/>
    </row>
    <row r="923" spans="1:11" x14ac:dyDescent="0.25">
      <c r="A923" s="19"/>
      <c r="B923" s="19"/>
      <c r="C923" s="20"/>
      <c r="D923" s="21"/>
      <c r="K923" s="10"/>
    </row>
    <row r="924" spans="1:11" x14ac:dyDescent="0.25">
      <c r="A924" s="19"/>
      <c r="B924" s="19"/>
      <c r="C924" s="20"/>
      <c r="D924" s="21"/>
      <c r="K924" s="10"/>
    </row>
    <row r="925" spans="1:11" x14ac:dyDescent="0.25">
      <c r="A925" s="19"/>
      <c r="B925" s="19"/>
      <c r="C925" s="20"/>
      <c r="D925" s="21"/>
      <c r="K925" s="10"/>
    </row>
    <row r="926" spans="1:11" x14ac:dyDescent="0.25">
      <c r="A926" s="19"/>
      <c r="B926" s="19"/>
      <c r="C926" s="20"/>
      <c r="D926" s="21"/>
      <c r="K926" s="10"/>
    </row>
    <row r="927" spans="1:11" x14ac:dyDescent="0.25">
      <c r="A927" s="19"/>
      <c r="B927" s="19"/>
      <c r="C927" s="20"/>
      <c r="D927" s="21"/>
      <c r="K927" s="10"/>
    </row>
    <row r="928" spans="1:11" x14ac:dyDescent="0.25">
      <c r="A928" s="19"/>
      <c r="B928" s="19"/>
      <c r="C928" s="20"/>
      <c r="D928" s="21"/>
      <c r="K928" s="10"/>
    </row>
    <row r="929" spans="1:11" x14ac:dyDescent="0.25">
      <c r="A929" s="19"/>
      <c r="B929" s="19"/>
      <c r="C929" s="20"/>
      <c r="D929" s="21"/>
      <c r="K929" s="10"/>
    </row>
    <row r="930" spans="1:11" x14ac:dyDescent="0.25">
      <c r="A930" s="19"/>
      <c r="B930" s="19"/>
      <c r="C930" s="20"/>
      <c r="D930" s="21"/>
      <c r="K930" s="10"/>
    </row>
    <row r="931" spans="1:11" x14ac:dyDescent="0.25">
      <c r="A931" s="19"/>
      <c r="B931" s="19"/>
      <c r="C931" s="20"/>
      <c r="D931" s="21"/>
      <c r="K931" s="10"/>
    </row>
    <row r="932" spans="1:11" x14ac:dyDescent="0.25">
      <c r="A932" s="19"/>
      <c r="B932" s="19"/>
      <c r="C932" s="20"/>
      <c r="D932" s="21"/>
      <c r="K932" s="10"/>
    </row>
    <row r="933" spans="1:11" x14ac:dyDescent="0.25">
      <c r="A933" s="19"/>
      <c r="B933" s="19"/>
      <c r="C933" s="20"/>
      <c r="D933" s="21"/>
      <c r="K933" s="10"/>
    </row>
    <row r="934" spans="1:11" x14ac:dyDescent="0.25">
      <c r="A934" s="19"/>
      <c r="B934" s="19"/>
      <c r="C934" s="20"/>
      <c r="D934" s="21"/>
      <c r="K934" s="10"/>
    </row>
    <row r="935" spans="1:11" x14ac:dyDescent="0.25">
      <c r="A935" s="19"/>
      <c r="B935" s="19"/>
      <c r="C935" s="20"/>
      <c r="D935" s="21"/>
      <c r="K935" s="10"/>
    </row>
    <row r="936" spans="1:11" x14ac:dyDescent="0.25">
      <c r="A936" s="19"/>
      <c r="B936" s="19"/>
      <c r="C936" s="20"/>
      <c r="D936" s="21"/>
      <c r="K936" s="10"/>
    </row>
    <row r="937" spans="1:11" x14ac:dyDescent="0.25">
      <c r="A937" s="19"/>
      <c r="B937" s="19"/>
      <c r="C937" s="20"/>
      <c r="D937" s="21"/>
      <c r="K937" s="10"/>
    </row>
    <row r="938" spans="1:11" x14ac:dyDescent="0.25">
      <c r="A938" s="19"/>
      <c r="B938" s="19"/>
      <c r="C938" s="20"/>
      <c r="D938" s="21"/>
      <c r="K938" s="10"/>
    </row>
    <row r="939" spans="1:11" x14ac:dyDescent="0.25">
      <c r="A939" s="19"/>
      <c r="B939" s="19"/>
      <c r="C939" s="20"/>
      <c r="D939" s="21"/>
      <c r="K939" s="10"/>
    </row>
    <row r="940" spans="1:11" x14ac:dyDescent="0.25">
      <c r="A940" s="19"/>
      <c r="B940" s="19"/>
      <c r="C940" s="20"/>
      <c r="D940" s="21"/>
      <c r="K940" s="10"/>
    </row>
    <row r="941" spans="1:11" x14ac:dyDescent="0.25">
      <c r="A941" s="19"/>
      <c r="B941" s="19"/>
      <c r="C941" s="20"/>
      <c r="D941" s="21"/>
      <c r="K941" s="10"/>
    </row>
    <row r="942" spans="1:11" x14ac:dyDescent="0.25">
      <c r="A942" s="19"/>
      <c r="B942" s="19"/>
      <c r="C942" s="20"/>
      <c r="D942" s="21"/>
      <c r="K942" s="10"/>
    </row>
    <row r="943" spans="1:11" x14ac:dyDescent="0.25">
      <c r="A943" s="19"/>
      <c r="B943" s="19"/>
      <c r="C943" s="20"/>
      <c r="D943" s="21"/>
      <c r="K943" s="10"/>
    </row>
    <row r="944" spans="1:11" x14ac:dyDescent="0.25">
      <c r="A944" s="19"/>
      <c r="B944" s="19"/>
      <c r="C944" s="20"/>
      <c r="D944" s="21"/>
      <c r="K944" s="10"/>
    </row>
    <row r="945" spans="1:11" x14ac:dyDescent="0.25">
      <c r="A945" s="19"/>
      <c r="B945" s="19"/>
      <c r="C945" s="20"/>
      <c r="D945" s="21"/>
      <c r="K945" s="10"/>
    </row>
    <row r="946" spans="1:11" x14ac:dyDescent="0.25">
      <c r="A946" s="19"/>
      <c r="B946" s="19"/>
      <c r="C946" s="20"/>
      <c r="D946" s="21"/>
      <c r="K946" s="10"/>
    </row>
    <row r="947" spans="1:11" x14ac:dyDescent="0.25">
      <c r="A947" s="19"/>
      <c r="B947" s="19"/>
      <c r="C947" s="20"/>
      <c r="D947" s="21"/>
      <c r="K947" s="10"/>
    </row>
    <row r="948" spans="1:11" x14ac:dyDescent="0.25">
      <c r="A948" s="19"/>
      <c r="B948" s="19"/>
      <c r="C948" s="20"/>
      <c r="D948" s="21"/>
      <c r="K948" s="10"/>
    </row>
    <row r="949" spans="1:11" x14ac:dyDescent="0.25">
      <c r="A949" s="19"/>
      <c r="B949" s="19"/>
      <c r="C949" s="20"/>
      <c r="D949" s="21"/>
      <c r="K949" s="10"/>
    </row>
    <row r="950" spans="1:11" x14ac:dyDescent="0.25">
      <c r="A950" s="19"/>
      <c r="B950" s="19"/>
      <c r="C950" s="20"/>
      <c r="D950" s="21"/>
      <c r="K950" s="10"/>
    </row>
    <row r="951" spans="1:11" x14ac:dyDescent="0.25">
      <c r="A951" s="19"/>
      <c r="B951" s="19"/>
      <c r="C951" s="20"/>
      <c r="D951" s="21"/>
      <c r="K951" s="10"/>
    </row>
    <row r="952" spans="1:11" x14ac:dyDescent="0.25">
      <c r="A952" s="19"/>
      <c r="B952" s="19"/>
      <c r="C952" s="20"/>
      <c r="D952" s="21"/>
      <c r="K952" s="10"/>
    </row>
    <row r="953" spans="1:11" x14ac:dyDescent="0.25">
      <c r="A953" s="19"/>
      <c r="B953" s="19"/>
      <c r="C953" s="20"/>
      <c r="D953" s="21"/>
      <c r="K953" s="10"/>
    </row>
    <row r="954" spans="1:11" x14ac:dyDescent="0.25">
      <c r="A954" s="19"/>
      <c r="B954" s="19"/>
      <c r="C954" s="20"/>
      <c r="D954" s="21"/>
      <c r="K954" s="10"/>
    </row>
    <row r="955" spans="1:11" x14ac:dyDescent="0.25">
      <c r="A955" s="19"/>
      <c r="B955" s="19"/>
      <c r="C955" s="20"/>
      <c r="D955" s="21"/>
      <c r="K955" s="10"/>
    </row>
    <row r="956" spans="1:11" x14ac:dyDescent="0.25">
      <c r="A956" s="19"/>
      <c r="B956" s="19"/>
      <c r="C956" s="20"/>
      <c r="D956" s="21"/>
      <c r="K956" s="10"/>
    </row>
    <row r="957" spans="1:11" x14ac:dyDescent="0.25">
      <c r="A957" s="19"/>
      <c r="B957" s="19"/>
      <c r="C957" s="20"/>
      <c r="D957" s="21"/>
      <c r="K957" s="10"/>
    </row>
    <row r="958" spans="1:11" x14ac:dyDescent="0.25">
      <c r="A958" s="19"/>
      <c r="B958" s="19"/>
      <c r="C958" s="20"/>
      <c r="D958" s="21"/>
      <c r="K958" s="10"/>
    </row>
    <row r="959" spans="1:11" x14ac:dyDescent="0.25">
      <c r="A959" s="19"/>
      <c r="B959" s="19"/>
      <c r="C959" s="20"/>
      <c r="D959" s="21"/>
      <c r="K959" s="10"/>
    </row>
    <row r="960" spans="1:11" x14ac:dyDescent="0.25">
      <c r="A960" s="19"/>
      <c r="B960" s="19"/>
      <c r="C960" s="20"/>
      <c r="D960" s="21"/>
      <c r="K960" s="10"/>
    </row>
    <row r="961" spans="1:11" x14ac:dyDescent="0.25">
      <c r="A961" s="19"/>
      <c r="B961" s="19"/>
      <c r="C961" s="20"/>
      <c r="D961" s="21"/>
      <c r="K961" s="10"/>
    </row>
    <row r="962" spans="1:11" x14ac:dyDescent="0.25">
      <c r="A962" s="19"/>
      <c r="B962" s="19"/>
      <c r="C962" s="20"/>
      <c r="D962" s="21"/>
      <c r="K962" s="10"/>
    </row>
    <row r="963" spans="1:11" x14ac:dyDescent="0.25">
      <c r="A963" s="19"/>
      <c r="B963" s="19"/>
      <c r="C963" s="20"/>
      <c r="D963" s="21"/>
      <c r="K963" s="10"/>
    </row>
    <row r="964" spans="1:11" x14ac:dyDescent="0.25">
      <c r="A964" s="19"/>
      <c r="B964" s="19"/>
      <c r="C964" s="20"/>
      <c r="D964" s="21"/>
      <c r="K964" s="10"/>
    </row>
    <row r="965" spans="1:11" x14ac:dyDescent="0.25">
      <c r="A965" s="19"/>
      <c r="B965" s="19"/>
      <c r="C965" s="20"/>
      <c r="D965" s="21"/>
      <c r="K965" s="10"/>
    </row>
    <row r="966" spans="1:11" x14ac:dyDescent="0.25">
      <c r="A966" s="19"/>
      <c r="B966" s="19"/>
      <c r="C966" s="20"/>
      <c r="D966" s="21"/>
      <c r="K966" s="10"/>
    </row>
    <row r="967" spans="1:11" x14ac:dyDescent="0.25">
      <c r="A967" s="19"/>
      <c r="B967" s="19"/>
      <c r="C967" s="20"/>
      <c r="D967" s="21"/>
      <c r="K967" s="10"/>
    </row>
    <row r="968" spans="1:11" x14ac:dyDescent="0.25">
      <c r="A968" s="19"/>
      <c r="B968" s="19"/>
      <c r="C968" s="20"/>
      <c r="D968" s="21"/>
      <c r="K968" s="10"/>
    </row>
    <row r="969" spans="1:11" x14ac:dyDescent="0.25">
      <c r="A969" s="19"/>
      <c r="B969" s="19"/>
      <c r="C969" s="20"/>
      <c r="D969" s="21"/>
      <c r="K969" s="10"/>
    </row>
  </sheetData>
  <mergeCells count="62">
    <mergeCell ref="K20:L20"/>
    <mergeCell ref="D21:I21"/>
    <mergeCell ref="K21:U21"/>
    <mergeCell ref="D22:I22"/>
    <mergeCell ref="K22:N22"/>
    <mergeCell ref="A15:A17"/>
    <mergeCell ref="B15:B17"/>
    <mergeCell ref="C15:C17"/>
    <mergeCell ref="D18:I18"/>
    <mergeCell ref="D19:I19"/>
    <mergeCell ref="K18:U18"/>
    <mergeCell ref="K19:Y19"/>
    <mergeCell ref="D12:I12"/>
    <mergeCell ref="D13:I13"/>
    <mergeCell ref="D14:I14"/>
    <mergeCell ref="K14:L14"/>
    <mergeCell ref="K12:L12"/>
    <mergeCell ref="D15:I17"/>
    <mergeCell ref="J15:J17"/>
    <mergeCell ref="K15:AH15"/>
    <mergeCell ref="K17:N17"/>
    <mergeCell ref="D9:I9"/>
    <mergeCell ref="K9:L9"/>
    <mergeCell ref="D10:I10"/>
    <mergeCell ref="K10:L10"/>
    <mergeCell ref="D11:I11"/>
    <mergeCell ref="K11:M11"/>
    <mergeCell ref="D6:I6"/>
    <mergeCell ref="K6:L6"/>
    <mergeCell ref="D7:I7"/>
    <mergeCell ref="K7:Q7"/>
    <mergeCell ref="D8:I8"/>
    <mergeCell ref="K8:N8"/>
    <mergeCell ref="A3:A4"/>
    <mergeCell ref="B3:B4"/>
    <mergeCell ref="C3:C4"/>
    <mergeCell ref="D3:I4"/>
    <mergeCell ref="J3:J4"/>
    <mergeCell ref="K2:Z2"/>
    <mergeCell ref="K3:U3"/>
    <mergeCell ref="K4:U4"/>
    <mergeCell ref="K5:Z5"/>
    <mergeCell ref="D1:I1"/>
    <mergeCell ref="D2:I2"/>
    <mergeCell ref="D5:I5"/>
    <mergeCell ref="A29:A35"/>
    <mergeCell ref="B29:B35"/>
    <mergeCell ref="C29:C35"/>
    <mergeCell ref="D29:I35"/>
    <mergeCell ref="J29:J35"/>
    <mergeCell ref="K28:L28"/>
    <mergeCell ref="K34:M34"/>
    <mergeCell ref="K35:M35"/>
    <mergeCell ref="D25:I27"/>
    <mergeCell ref="D28:I28"/>
    <mergeCell ref="D23:I23"/>
    <mergeCell ref="D24:I24"/>
    <mergeCell ref="K24:N24"/>
    <mergeCell ref="A25:A27"/>
    <mergeCell ref="B25:B27"/>
    <mergeCell ref="C25:C27"/>
    <mergeCell ref="J25:J27"/>
  </mergeCells>
  <hyperlinks>
    <hyperlink ref="K7" r:id="rId1" xr:uid="{00000000-0004-0000-0100-000000000000}"/>
    <hyperlink ref="K8" r:id="rId2" xr:uid="{00000000-0004-0000-0100-000001000000}"/>
    <hyperlink ref="K11" r:id="rId3" xr:uid="{00000000-0004-0000-0100-000002000000}"/>
    <hyperlink ref="K18" r:id="rId4" xr:uid="{00000000-0004-0000-0100-000003000000}"/>
    <hyperlink ref="K20" r:id="rId5" xr:uid="{00000000-0004-0000-0100-000004000000}"/>
    <hyperlink ref="K22" r:id="rId6" xr:uid="{00000000-0004-0000-0100-000005000000}"/>
    <hyperlink ref="K35" r:id="rId7" xr:uid="{00000000-0004-0000-0100-000006000000}"/>
  </hyperlinks>
  <pageMargins left="0.7" right="0.7" top="0.75" bottom="0.75" header="0.3" footer="0.3"/>
  <pageSetup scale="66" fitToHeight="0" orientation="portrait" horizontalDpi="1200" verticalDpi="1200" r:id="rId8"/>
  <legacy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GBHv3Rev3</vt:lpstr>
      <vt:lpstr>GBH+Regen</vt:lpstr>
      <vt:lpstr>'GBH+Regen'!Print_Area</vt:lpstr>
      <vt:lpstr>GBHv3Rev3!Print_Area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Laptop</dc:creator>
  <cp:lastModifiedBy>Matthew Vande</cp:lastModifiedBy>
  <cp:lastPrinted>2023-06-01T17:58:55Z</cp:lastPrinted>
  <dcterms:created xsi:type="dcterms:W3CDTF">2020-02-26T17:55:12Z</dcterms:created>
  <dcterms:modified xsi:type="dcterms:W3CDTF">2024-02-09T14:32:19Z</dcterms:modified>
</cp:coreProperties>
</file>