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uong_dan" sheetId="1" state="visible" r:id="rId3"/>
    <sheet name="Dau_vao" sheetId="2" state="visible" r:id="rId4"/>
    <sheet name="DCF" sheetId="3" state="visible" r:id="rId5"/>
    <sheet name="So_sanh" sheetId="4" state="visible" r:id="rId6"/>
    <sheet name="PP_VC" sheetId="5" state="visible" r:id="rId7"/>
    <sheet name="Scorecard" sheetId="6" state="visible" r:id="rId8"/>
    <sheet name="Berkus" sheetId="7" state="visible" r:id="rId9"/>
    <sheet name="Tong_hop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<sst xmlns="http://schemas.openxmlformats.org/spreadsheetml/2006/main" count="267" uniqueCount="241">
  <si>
    <t xml:space="preserve">Mẫu định giá startup — DCF và 4 phương pháp đối chiếu</t>
  </si>
  <si>
    <t xml:space="preserve">fundraising.vn · Phiên bản 1 · Số liệu trong mẫu là ví dụ minh hoạ</t>
  </si>
  <si>
    <t xml:space="preserve">Quy ước màu</t>
  </si>
  <si>
    <t xml:space="preserve">Chữ xanh, nền vàng</t>
  </si>
  <si>
    <t xml:space="preserve">Ô nhập liệu — chỉ sửa những ô này</t>
  </si>
  <si>
    <t xml:space="preserve">Chữ xanh lá</t>
  </si>
  <si>
    <t xml:space="preserve">Lấy số từ tab khác</t>
  </si>
  <si>
    <t xml:space="preserve">Chữ đen</t>
  </si>
  <si>
    <t xml:space="preserve">Công thức — không sửa</t>
  </si>
  <si>
    <t xml:space="preserve">Các bước</t>
  </si>
  <si>
    <t xml:space="preserve">1. Dau_vao</t>
  </si>
  <si>
    <t xml:space="preserve">Điền thông tin vòng gọi vốn, tiền mặt, nợ, doanh thu 12 tháng gần nhất và dự phóng tăng trưởng, biên EBITDA 5 năm. Nếu đã có mô hình tài chính 36 tháng, lấy số từ đó.</t>
  </si>
  <si>
    <t xml:space="preserve">2. DCF</t>
  </si>
  <si>
    <t xml:space="preserve">Xem giá trị vốn chủ theo DCF và hai bảng độ nhạy. Chú ý dòng '% EV đến từ giá trị cuối' và bội số ngầm định của Gordon.</t>
  </si>
  <si>
    <t xml:space="preserve">3. So_sanh</t>
  </si>
  <si>
    <t xml:space="preserve">Thay 5 dòng minh hoạ bằng công ty hoặc thương vụ thật, ghi nguồn.</t>
  </si>
  <si>
    <t xml:space="preserve">4. PP_VC</t>
  </si>
  <si>
    <t xml:space="preserve">Chỉnh bội số thoát, pha loãng và bội số lợi nhuận mục tiêu của nhà đầu tư.</t>
  </si>
  <si>
    <t xml:space="preserve">5. Scorecard / Berkus</t>
  </si>
  <si>
    <t xml:space="preserve">Chấm điểm nếu công ty chưa có doanh thu hoặc doanh thu còn rất nhỏ.</t>
  </si>
  <si>
    <t xml:space="preserve">6. Tong_hop</t>
  </si>
  <si>
    <t xml:space="preserve">Đặt trọng số cho từng phương pháp theo giai đoạn, đọc pre-money đề xuất, tỷ lệ sở hữu và mục Kiểm tra.</t>
  </si>
  <si>
    <t xml:space="preserve">Chọn phương pháp theo giai đoạn</t>
  </si>
  <si>
    <t xml:space="preserve">Ý tưởng, chưa sản phẩm</t>
  </si>
  <si>
    <t xml:space="preserve">Berkus, Scorecard. DCF gần như không có ý nghĩa.</t>
  </si>
  <si>
    <t xml:space="preserve">Pre-seed, có sản phẩm, doanh thu nhỏ</t>
  </si>
  <si>
    <t xml:space="preserve">Scorecard, phương pháp VC; so sánh với thương vụ cùng giai đoạn.</t>
  </si>
  <si>
    <t xml:space="preserve">Seed, doanh thu tăng đều</t>
  </si>
  <si>
    <t xml:space="preserve">Phương pháp VC và so sánh bội số là chính; DCF để kiểm tra logic của kế hoạch.</t>
  </si>
  <si>
    <t xml:space="preserve">Series A trở đi, có lãi gộp ổn định</t>
  </si>
  <si>
    <t xml:space="preserve">So sánh bội số và DCF có trọng số lớn hơn.</t>
  </si>
  <si>
    <t xml:space="preserve">Giới hạn của mẫu</t>
  </si>
  <si>
    <t xml:space="preserve">Chiết khấu cuối kỳ</t>
  </si>
  <si>
    <t xml:space="preserve">Dòng tiền được chiết khấu vào cuối mỗi năm, chưa dùng quy ước giữa kỳ.</t>
  </si>
  <si>
    <t xml:space="preserve">Thuế</t>
  </si>
  <si>
    <t xml:space="preserve">Chưa tính chuyển lỗ và ưu đãi thuế; startup đủ điều kiện ưu đãi có thể có dòng tiền cao hơn.</t>
  </si>
  <si>
    <t xml:space="preserve">Định giá là đàm phán</t>
  </si>
  <si>
    <t xml:space="preserve">Kết quả là điểm tựa để trao đổi với nhà đầu tư, không phải giá bắt buộc. Mẫu không phải tư vấn đầu tư.</t>
  </si>
  <si>
    <t xml:space="preserve">Đầu vào chung</t>
  </si>
  <si>
    <t xml:space="preserve">Chỉ sửa ô chữ xanh nền vàng. Số trong mẫu là ví dụ minh hoạ, không phải dữ liệu thị trường.</t>
  </si>
  <si>
    <t xml:space="preserve">Thông tin chung</t>
  </si>
  <si>
    <t xml:space="preserve">Tên công ty</t>
  </si>
  <si>
    <t xml:space="preserve">Công ty ví dụ SaaS</t>
  </si>
  <si>
    <t xml:space="preserve">Đơn vị tiền</t>
  </si>
  <si>
    <t xml:space="preserve">triệu VNĐ</t>
  </si>
  <si>
    <t xml:space="preserve">Mọi số tiền trong file dùng cùng đơn vị này</t>
  </si>
  <si>
    <t xml:space="preserve">Ngày định giá</t>
  </si>
  <si>
    <t xml:space="preserve">Số vốn gọi vòng này</t>
  </si>
  <si>
    <t xml:space="preserve">Ví dụ: vòng seed 4 tỷ đồng</t>
  </si>
  <si>
    <t xml:space="preserve">Tiền mặt hiện có (trước vòng)</t>
  </si>
  <si>
    <t xml:space="preserve">Nợ vay</t>
  </si>
  <si>
    <t xml:space="preserve">Gồm vay ngân hàng, vay cổ đông phải trả</t>
  </si>
  <si>
    <t xml:space="preserve">DCF — dòng tiền chiết khấu</t>
  </si>
  <si>
    <t xml:space="preserve">Doanh thu 12 tháng gần nhất (LTM)</t>
  </si>
  <si>
    <t xml:space="preserve">Thuế thu nhập doanh nghiệp</t>
  </si>
  <si>
    <t xml:space="preserve">Thuế suất phổ thông tại Việt Nam; mẫu chưa tính chuyển lỗ</t>
  </si>
  <si>
    <t xml:space="preserve">Tỷ lệ chiết khấu (chi phí vốn)</t>
  </si>
  <si>
    <t xml:space="preserve">Startup giai đoạn sớm thường dùng 30–60%, càng sớm càng cao; doanh nghiệp niêm yết chỉ khoảng 10–15%</t>
  </si>
  <si>
    <t xml:space="preserve">Tăng trưởng dài hạn (Gordon)</t>
  </si>
  <si>
    <t xml:space="preserve">Không nên vượt tăng trưởng GDP danh nghĩa dài hạn</t>
  </si>
  <si>
    <t xml:space="preserve">Bội số thoát EV/EBITDA</t>
  </si>
  <si>
    <t xml:space="preserve">12x EBITDA với biên 25% tương đương 3x doanh thu — khớp với bội số ở phương pháp VC</t>
  </si>
  <si>
    <t xml:space="preserve">Cách tính giá trị cuối (1 = Gordon, 2 = Bội số thoát)</t>
  </si>
  <si>
    <t xml:space="preserve">Startup còn tăng trưởng nhanh ở năm 5 nên dùng 2; xem giải thích ở tab DCF</t>
  </si>
  <si>
    <t xml:space="preserve">Khấu hao, % doanh thu</t>
  </si>
  <si>
    <t xml:space="preserve">Đầu tư tài sản (capex), % doanh thu</t>
  </si>
  <si>
    <t xml:space="preserve">Vốn lưu động, % doanh thu</t>
  </si>
  <si>
    <t xml:space="preserve">Mức vốn lưu động cần giữ; phần tăng thêm mỗi năm làm giảm dòng tiền</t>
  </si>
  <si>
    <t xml:space="preserve">Dự phóng theo năm</t>
  </si>
  <si>
    <t xml:space="preserve">Năm 1</t>
  </si>
  <si>
    <t xml:space="preserve">Năm 2</t>
  </si>
  <si>
    <t xml:space="preserve">Năm 3</t>
  </si>
  <si>
    <t xml:space="preserve">Năm 4</t>
  </si>
  <si>
    <t xml:space="preserve">Năm 5</t>
  </si>
  <si>
    <t xml:space="preserve">Tăng trưởng doanh thu</t>
  </si>
  <si>
    <t xml:space="preserve">Tăng trưởng nên giảm dần theo năm; so với số liệu tăng trưởng thực tế 12 tháng qua</t>
  </si>
  <si>
    <t xml:space="preserve">Biên EBITDA</t>
  </si>
  <si>
    <t xml:space="preserve">So sánh và phương pháp VC</t>
  </si>
  <si>
    <t xml:space="preserve">Chiết khấu thanh khoản cho công ty chưa niêm yết</t>
  </si>
  <si>
    <t xml:space="preserve">Thường 20–40%</t>
  </si>
  <si>
    <t xml:space="preserve">Bội số thoát EV/Doanh thu (phương pháp VC)</t>
  </si>
  <si>
    <t xml:space="preserve">Áp lên doanh thu năm 5 của tab DCF</t>
  </si>
  <si>
    <t xml:space="preserve">Tổng pha loãng qua các vòng sau</t>
  </si>
  <si>
    <t xml:space="preserve">Ví dụ: 2 vòng, mỗi vòng khoảng 16% → 1 − 0,84 × 0,84 ≈ 30%</t>
  </si>
  <si>
    <t xml:space="preserve">Bội số lợi nhuận mục tiêu của NĐT — kịch bản thấp</t>
  </si>
  <si>
    <t xml:space="preserve">Mục tiêu càng cao, định giá càng thấp</t>
  </si>
  <si>
    <t xml:space="preserve">Bội số lợi nhuận mục tiêu của NĐT — cơ sở</t>
  </si>
  <si>
    <t xml:space="preserve">Bội số lợi nhuận mục tiêu của NĐT — kịch bản cao</t>
  </si>
  <si>
    <t xml:space="preserve">Biên độ ± cho Scorecard và Berkus</t>
  </si>
  <si>
    <t xml:space="preserve">Hai phương pháp này cho một con số; biên độ dùng cho biểu đồ tổng hợp</t>
  </si>
  <si>
    <t xml:space="preserve">Định giá DCF — dòng tiền tự do của doanh nghiệp (triệu VNĐ)</t>
  </si>
  <si>
    <t xml:space="preserve">Toàn bộ tab này là công thức; sửa giả định ở tab Dau_vao.</t>
  </si>
  <si>
    <t xml:space="preserve">Khoản mục</t>
  </si>
  <si>
    <t xml:space="preserve">Năm 0 (LTM)</t>
  </si>
  <si>
    <t xml:space="preserve">Kỳ chiết khấu (năm)</t>
  </si>
  <si>
    <t xml:space="preserve">Doanh thu</t>
  </si>
  <si>
    <t xml:space="preserve">EBITDA</t>
  </si>
  <si>
    <t xml:space="preserve">Khấu hao</t>
  </si>
  <si>
    <t xml:space="preserve">EBIT</t>
  </si>
  <si>
    <t xml:space="preserve">Thuế TNDN (chỉ khi EBIT dương)</t>
  </si>
  <si>
    <t xml:space="preserve">Mẫu chưa tính chuyển lỗ các năm trước — thực tế thuế có thể thấp hơn</t>
  </si>
  <si>
    <t xml:space="preserve">Lợi nhuận hoạt động sau thuế (NOPAT)</t>
  </si>
  <si>
    <t xml:space="preserve">+ Cộng lại khấu hao</t>
  </si>
  <si>
    <t xml:space="preserve">− Đầu tư tài sản (capex)</t>
  </si>
  <si>
    <t xml:space="preserve">− Tăng vốn lưu động</t>
  </si>
  <si>
    <t xml:space="preserve">Dòng tiền tự do (FCFF)</t>
  </si>
  <si>
    <t xml:space="preserve">Hệ số chiết khấu</t>
  </si>
  <si>
    <t xml:space="preserve">Giá trị hiện tại của FCFF</t>
  </si>
  <si>
    <t xml:space="preserve">Từ dòng tiền đến giá trị vốn chủ sở hữu</t>
  </si>
  <si>
    <t xml:space="preserve">Tổng giá trị hiện tại FCFF năm 1–5</t>
  </si>
  <si>
    <t xml:space="preserve">Giá trị cuối — Gordon (tại năm 5)</t>
  </si>
  <si>
    <t xml:space="preserve">Bằng FCFF năm 5 × (1+g) / (r − g)</t>
  </si>
  <si>
    <t xml:space="preserve">Giá trị cuối — Bội số thoát (tại năm 5)</t>
  </si>
  <si>
    <t xml:space="preserve">Bằng EBITDA năm 5 × bội số</t>
  </si>
  <si>
    <t xml:space="preserve">Bội số EV/EBITDA ngầm định trong cách Gordon</t>
  </si>
  <si>
    <t xml:space="preserve">Nếu quá thấp so với thị trường: công ty chưa ổn định ở năm 5, Gordon không hợp</t>
  </si>
  <si>
    <t xml:space="preserve">Giá trị cuối được chọn</t>
  </si>
  <si>
    <t xml:space="preserve">Giá trị hiện tại của giá trị cuối</t>
  </si>
  <si>
    <t xml:space="preserve">Giá trị doanh nghiệp (EV)</t>
  </si>
  <si>
    <t xml:space="preserve">% EV đến từ giá trị cuối</t>
  </si>
  <si>
    <t xml:space="preserve">Startup thường trên 100% vì dòng tiền các năm đầu âm</t>
  </si>
  <si>
    <t xml:space="preserve">+ Tiền mặt</t>
  </si>
  <si>
    <t xml:space="preserve">− Nợ vay</t>
  </si>
  <si>
    <t xml:space="preserve">Giá trị vốn chủ sở hữu (pre-money theo DCF)</t>
  </si>
  <si>
    <t xml:space="preserve">Độ nhạy 1 — giá trị vốn chủ theo tỷ lệ chiết khấu (dòng) × bội số thoát (cột)</t>
  </si>
  <si>
    <t xml:space="preserve">r \ bội số</t>
  </si>
  <si>
    <t xml:space="preserve">Độ nhạy 2 — giá trị vốn chủ theo tỷ lệ chiết khấu (dòng) × tăng trưởng dài hạn (cột), cách Gordon</t>
  </si>
  <si>
    <t xml:space="preserve">r \ g</t>
  </si>
  <si>
    <t xml:space="preserve">Ô tô xanh ở giữa mỗi bảng = kịch bản cơ sở. Khoảng thấp–cao ở tab Tong_hop lấy từ 9 ô ở giữa (±2,5 điểm % chiết khấu, ±1 bậc bội số hoặc ±1 điểm % tăng trưởng).</t>
  </si>
  <si>
    <t xml:space="preserve">Phương pháp so sánh (bội số thị trường) — triệu VNĐ</t>
  </si>
  <si>
    <t xml:space="preserve">5 công ty dưới đây là số MINH HOẠ. Thay bằng dữ liệu thật: công ty niêm yết cùng ngành hoặc thương vụ gọi vốn/M&amp;A công bố.</t>
  </si>
  <si>
    <t xml:space="preserve">Công ty / thương vụ</t>
  </si>
  <si>
    <t xml:space="preserve">Loại</t>
  </si>
  <si>
    <t xml:space="preserve">EV / Doanh thu</t>
  </si>
  <si>
    <t xml:space="preserve">Năm</t>
  </si>
  <si>
    <t xml:space="preserve">Nguồn số liệu</t>
  </si>
  <si>
    <t xml:space="preserve">Công ty A (minh hoạ)</t>
  </si>
  <si>
    <t xml:space="preserve">Niêm yết khu vực</t>
  </si>
  <si>
    <t xml:space="preserve">2026</t>
  </si>
  <si>
    <t xml:space="preserve">Ghi nguồn khi thay số thật</t>
  </si>
  <si>
    <t xml:space="preserve">Công ty B (minh hoạ)</t>
  </si>
  <si>
    <t xml:space="preserve">Công ty C (minh hoạ)</t>
  </si>
  <si>
    <t xml:space="preserve">Thương vụ gọi vốn</t>
  </si>
  <si>
    <t xml:space="preserve">Công ty D (minh hoạ)</t>
  </si>
  <si>
    <t xml:space="preserve">Thương vụ M&amp;A</t>
  </si>
  <si>
    <t xml:space="preserve">Công ty E (minh hoạ)</t>
  </si>
  <si>
    <t xml:space="preserve">Thống kê bội số</t>
  </si>
  <si>
    <t xml:space="preserve">Tứ phân vị 1 (thấp)</t>
  </si>
  <si>
    <t xml:space="preserve">Trung vị (cơ sở)</t>
  </si>
  <si>
    <t xml:space="preserve">Dùng trung vị thay vì trung bình để tránh bị một thương vụ cá biệt kéo lệch</t>
  </si>
  <si>
    <t xml:space="preserve">Tứ phân vị 3 (cao)</t>
  </si>
  <si>
    <t xml:space="preserve">Áp dụng cho công ty</t>
  </si>
  <si>
    <t xml:space="preserve">Thấp</t>
  </si>
  <si>
    <t xml:space="preserve">Cơ sở</t>
  </si>
  <si>
    <t xml:space="preserve">Cao</t>
  </si>
  <si>
    <t xml:space="preserve">Doanh thu LTM</t>
  </si>
  <si>
    <t xml:space="preserve">Bội số EV / Doanh thu</t>
  </si>
  <si>
    <t xml:space="preserve">Chiết khấu thanh khoản</t>
  </si>
  <si>
    <t xml:space="preserve">+ Tiền mặt − Nợ vay</t>
  </si>
  <si>
    <t xml:space="preserve">Giá trị vốn chủ sở hữu (pre-money)</t>
  </si>
  <si>
    <t xml:space="preserve">Phương pháp VC — đi ngược từ giá trị lúc thoát vốn (triệu VNĐ)</t>
  </si>
  <si>
    <t xml:space="preserve">Nhà đầu tư hỏi: bán công ty ở năm 5 được bao nhiêu, và hôm nay phải mua vào ở giá nào để đạt mức lợi nhuận mục tiêu?</t>
  </si>
  <si>
    <t xml:space="preserve">Ghi chú</t>
  </si>
  <si>
    <t xml:space="preserve">Doanh thu năm thoát (năm 5, từ tab DCF)</t>
  </si>
  <si>
    <t xml:space="preserve">Bội số thoát EV / Doanh thu</t>
  </si>
  <si>
    <t xml:space="preserve">Giá trị công ty lúc thoát</t>
  </si>
  <si>
    <t xml:space="preserve">Tỷ lệ NĐT còn giữ sau pha loãng</t>
  </si>
  <si>
    <t xml:space="preserve">Các vòng sau làm cổ phần NĐT hôm nay nhỏ lại</t>
  </si>
  <si>
    <t xml:space="preserve">Bội số lợi nhuận mục tiêu của NĐT</t>
  </si>
  <si>
    <t xml:space="preserve">Thấp = NĐT đòi nhiều hơn</t>
  </si>
  <si>
    <t xml:space="preserve">Giá trị post-money hôm nay</t>
  </si>
  <si>
    <t xml:space="preserve">Bằng giá trị thoát × tỷ lệ giữ lại ÷ bội số mục tiêu</t>
  </si>
  <si>
    <t xml:space="preserve">− Số vốn gọi vòng này</t>
  </si>
  <si>
    <t xml:space="preserve">Giá trị pre-money</t>
  </si>
  <si>
    <t xml:space="preserve">Tỷ lệ sở hữu NĐT nhận ngay sau vòng</t>
  </si>
  <si>
    <t xml:space="preserve">IRR tương đương (5 năm)</t>
  </si>
  <si>
    <t xml:space="preserve">Để đối chiếu với tỷ lệ chiết khấu ở DCF</t>
  </si>
  <si>
    <t xml:space="preserve">Phương pháp Scorecard (Bill Payne) — triệu VNĐ</t>
  </si>
  <si>
    <t xml:space="preserve">Hợp với startup chưa có doanh thu: lấy định giá trung bình của các thương vụ tương tự, rồi điều chỉnh theo từng tiêu chí.</t>
  </si>
  <si>
    <t xml:space="preserve">Định giá pre-money trung bình của thương vụ tương tự (cùng giai đoạn, khu vực)</t>
  </si>
  <si>
    <t xml:space="preserve">Số minh hoạ — thay bằng dữ liệu thương vụ bạn thu thập được</t>
  </si>
  <si>
    <t xml:space="preserve">Tiêu chí</t>
  </si>
  <si>
    <t xml:space="preserve">Trọng số</t>
  </si>
  <si>
    <t xml:space="preserve">So với trung bình</t>
  </si>
  <si>
    <t xml:space="preserve">Điểm có trọng số</t>
  </si>
  <si>
    <t xml:space="preserve">Cách chấm</t>
  </si>
  <si>
    <t xml:space="preserve">Đội ngũ sáng lập và quản lý</t>
  </si>
  <si>
    <t xml:space="preserve">100% = ngang trung bình; 150% = vượt trội; 50% = yếu hơn</t>
  </si>
  <si>
    <t xml:space="preserve">Quy mô thị trường</t>
  </si>
  <si>
    <t xml:space="preserve">Sản phẩm / công nghệ</t>
  </si>
  <si>
    <t xml:space="preserve">Môi trường cạnh tranh</t>
  </si>
  <si>
    <t xml:space="preserve">Cạnh tranh gay gắt hơn trung bình → dưới 100%</t>
  </si>
  <si>
    <t xml:space="preserve">Marketing, kênh bán, đối tác</t>
  </si>
  <si>
    <t xml:space="preserve">Nhu cầu vốn bổ sung</t>
  </si>
  <si>
    <t xml:space="preserve">Yếu tố khác</t>
  </si>
  <si>
    <t xml:space="preserve">Tổng</t>
  </si>
  <si>
    <t xml:space="preserve">Định giá pre-money theo Scorecard</t>
  </si>
  <si>
    <t xml:space="preserve">Phương pháp Berkus — triệu VNĐ</t>
  </si>
  <si>
    <t xml:space="preserve">Dành cho giai đoạn trước doanh thu: mỗi yếu tố làm giảm một loại rủi ro được cộng tối đa một mức trần.</t>
  </si>
  <si>
    <t xml:space="preserve">Mức trần mỗi yếu tố</t>
  </si>
  <si>
    <t xml:space="preserve">Bản gốc của Berkus dùng 500.000 USD; điều chỉnh theo mặt bằng thị trường bạn gọi vốn</t>
  </si>
  <si>
    <t xml:space="preserve">Yếu tố</t>
  </si>
  <si>
    <t xml:space="preserve">Rủi ro được giảm</t>
  </si>
  <si>
    <t xml:space="preserve">Mức đạt được</t>
  </si>
  <si>
    <t xml:space="preserve">Giá trị cộng thêm</t>
  </si>
  <si>
    <t xml:space="preserve">Ý tưởng tốt (giá trị cơ bản)</t>
  </si>
  <si>
    <t xml:space="preserve">Rủi ro sản phẩm</t>
  </si>
  <si>
    <t xml:space="preserve">Có nguyên mẫu / sản phẩm chạy được</t>
  </si>
  <si>
    <t xml:space="preserve">Rủi ro công nghệ</t>
  </si>
  <si>
    <t xml:space="preserve">Đội ngũ quản lý chất lượng</t>
  </si>
  <si>
    <t xml:space="preserve">Rủi ro thực thi</t>
  </si>
  <si>
    <t xml:space="preserve">Quan hệ chiến lược, đối tác</t>
  </si>
  <si>
    <t xml:space="preserve">Rủi ro thị trường</t>
  </si>
  <si>
    <t xml:space="preserve">Đã ra mắt / có doanh số đầu tiên</t>
  </si>
  <si>
    <t xml:space="preserve">Rủi ro sản xuất, bán hàng</t>
  </si>
  <si>
    <t xml:space="preserve">Định giá pre-money theo Berkus</t>
  </si>
  <si>
    <t xml:space="preserve">Lưu ý: công ty đã có doanh thu ổn định thì Berkus ít ý nghĩa; mẫu đặt trọng số 0% ở tab Tong_hop cho ví dụ này.</t>
  </si>
  <si>
    <t xml:space="preserve">Tổng hợp định giá pre-money (triệu VNĐ)</t>
  </si>
  <si>
    <t xml:space="preserve">Mỗi phương pháp cho một khoảng; trọng số phản ánh mức phù hợp với giai đoạn của công ty.</t>
  </si>
  <si>
    <t xml:space="preserve">Phương pháp</t>
  </si>
  <si>
    <t xml:space="preserve">Đóng góp</t>
  </si>
  <si>
    <t xml:space="preserve">Biểu đồ: đầu</t>
  </si>
  <si>
    <t xml:space="preserve">độ rộng</t>
  </si>
  <si>
    <t xml:space="preserve">DCF</t>
  </si>
  <si>
    <t xml:space="preserve">So sánh bội số</t>
  </si>
  <si>
    <t xml:space="preserve">Phương pháp VC</t>
  </si>
  <si>
    <t xml:space="preserve">Scorecard</t>
  </si>
  <si>
    <t xml:space="preserve">Berkus</t>
  </si>
  <si>
    <t xml:space="preserve">Đề xuất cho vòng gọi vốn</t>
  </si>
  <si>
    <t xml:space="preserve">Pre-money có trọng số</t>
  </si>
  <si>
    <t xml:space="preserve">Số vốn gọi</t>
  </si>
  <si>
    <t xml:space="preserve">Post-money</t>
  </si>
  <si>
    <t xml:space="preserve">Tỷ lệ sở hữu nhà đầu tư mới</t>
  </si>
  <si>
    <t xml:space="preserve">Tỷ lệ founder và cổ đông hiện hữu còn lại</t>
  </si>
  <si>
    <t xml:space="preserve">Kiểm tra</t>
  </si>
  <si>
    <t xml:space="preserve">Trọng số các phương pháp cộng đủ 100%</t>
  </si>
  <si>
    <t xml:space="preserve">Trọng số Scorecard cộng đủ 100%</t>
  </si>
  <si>
    <t xml:space="preserve">Tỷ lệ chiết khấu lớn hơn tăng trưởng dài hạn</t>
  </si>
  <si>
    <t xml:space="preserve">Chênh lệch giữa phương pháp cao nhất và thấp nhất (cơ sở)</t>
  </si>
  <si>
    <t xml:space="preserve">Trên ~3x: xem lại giả định của phương pháp lệch nhất trước khi đưa cho NĐT</t>
  </si>
  <si>
    <t xml:space="preserve">Tỷ lệ sở hữu NĐT mới trong khoảng 10–30%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</si>
</sst>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#,##0;\(#,##0\);\-"/>
    <numFmt numFmtId="167" formatCode="0.0%;\(0.0%\);\-"/>
    <numFmt numFmtId="168" formatCode="0.0\x"/>
    <numFmt numFmtId="169" formatCode="0"/>
    <numFmt numFmtId="170" formatCode="0.000"/>
    <numFmt numFmtId="171" formatCode="0%"/>
    <numFmt numFmtId="172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7304F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color rgb="FF17304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D9E7F5"/>
      </patternFill>
    </fill>
    <fill>
      <patternFill patternType="solid">
        <fgColor rgb="FFFFF9C4"/>
        <bgColor rgb="FFFFFF99"/>
      </patternFill>
    </fill>
    <fill>
      <patternFill patternType="solid">
        <fgColor rgb="FF17304F"/>
        <bgColor rgb="FF333333"/>
      </patternFill>
    </fill>
    <fill>
      <patternFill patternType="solid">
        <fgColor rgb="FFD9E7F5"/>
        <bgColor rgb="FFEAF2F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9C4"/>
      <rgbColor rgb="FFEAF2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7F5"/>
      <rgbColor rgb="FFCCFFCC"/>
      <rgbColor rgb="FFFFFF99"/>
      <rgbColor rgb="FF99CCFF"/>
      <rgbColor rgb="FFFF99CC"/>
      <rgbColor rgb="FFCC99FF"/>
      <rgbColor rgb="FFFFCC99"/>
      <rgbColor rgb="FF2E6BB0"/>
      <rgbColor rgb="FF33CCCC"/>
      <rgbColor rgb="FF99CC00"/>
      <rgbColor rgb="FFFFCC00"/>
      <rgbColor rgb="FFFF9900"/>
      <rgbColor rgb="FFFF6600"/>
      <rgbColor rgb="FF666666"/>
      <rgbColor rgb="FF969696"/>
      <rgbColor rgb="FF17304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Khoảng định giá theo phương pháp (football field)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Tong_hop!H4</c:f>
              <c:strCache>
                <c:ptCount val="1"/>
                <c:pt idx="0">
                  <c:v>Biểu đồ: đầu</c:v>
                </c:pt>
              </c:strCache>
            </c:strRef>
          </c:tx>
          <c:spPr>
            <a:noFill/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Tong_hop!$A$5:$A$9</c:f>
              <c:strCache>
                <c:ptCount val="5"/>
                <c:pt idx="0">
                  <c:v>DCF</c:v>
                </c:pt>
                <c:pt idx="1">
                  <c:v>So sánh bội số</c:v>
                </c:pt>
                <c:pt idx="2">
                  <c:v>Phương pháp VC</c:v>
                </c:pt>
                <c:pt idx="3">
                  <c:v>Scorecard</c:v>
                </c:pt>
                <c:pt idx="4">
                  <c:v>Berkus</c:v>
                </c:pt>
              </c:strCache>
            </c:strRef>
          </c:cat>
          <c:val>
            <c:numRef>
              <c:f>Tong_hop!$H$5:$H$9</c:f>
              <c:numCache>
                <c:formatCode>#,##0;\(#,##0\);\-</c:formatCode>
                <c:ptCount val="5"/>
                <c:pt idx="0">
                  <c:v>23426.8658008615</c:v>
                </c:pt>
                <c:pt idx="1">
                  <c:v>12500</c:v>
                </c:pt>
                <c:pt idx="2">
                  <c:v>5686.4768</c:v>
                </c:pt>
                <c:pt idx="3">
                  <c:v>19975</c:v>
                </c:pt>
                <c:pt idx="4">
                  <c:v>13600</c:v>
                </c:pt>
              </c:numCache>
            </c:numRef>
          </c:val>
        </c:ser>
        <c:ser>
          <c:idx val="1"/>
          <c:order val="1"/>
          <c:tx>
            <c:strRef>
              <c:f>Tong_hop!I4</c:f>
              <c:strCache>
                <c:ptCount val="1"/>
                <c:pt idx="0">
                  <c:v>độ rộng</c:v>
                </c:pt>
              </c:strCache>
            </c:strRef>
          </c:tx>
          <c:spPr>
            <a:solidFill>
              <a:srgbClr val="2e6bb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Tong_hop!$A$5:$A$9</c:f>
              <c:strCache>
                <c:ptCount val="5"/>
                <c:pt idx="0">
                  <c:v>DCF</c:v>
                </c:pt>
                <c:pt idx="1">
                  <c:v>So sánh bội số</c:v>
                </c:pt>
                <c:pt idx="2">
                  <c:v>Phương pháp VC</c:v>
                </c:pt>
                <c:pt idx="3">
                  <c:v>Scorecard</c:v>
                </c:pt>
                <c:pt idx="4">
                  <c:v>Berkus</c:v>
                </c:pt>
              </c:strCache>
            </c:strRef>
          </c:cat>
          <c:val>
            <c:numRef>
              <c:f>Tong_hop!$I$5:$I$9</c:f>
              <c:numCache>
                <c:formatCode>#,##0;\(#,##0\);\-</c:formatCode>
                <c:ptCount val="5"/>
                <c:pt idx="0">
                  <c:v>10940.3583069881</c:v>
                </c:pt>
                <c:pt idx="1">
                  <c:v>6300</c:v>
                </c:pt>
                <c:pt idx="2">
                  <c:v>11070.2592</c:v>
                </c:pt>
                <c:pt idx="3">
                  <c:v>7050</c:v>
                </c:pt>
                <c:pt idx="4">
                  <c:v>4800</c:v>
                </c:pt>
              </c:numCache>
            </c:numRef>
          </c:val>
        </c:ser>
        <c:gapWidth val="150"/>
        <c:overlap val="100"/>
        <c:axId val="48489823"/>
        <c:axId val="43002669"/>
      </c:barChart>
      <c:catAx>
        <c:axId val="4848982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002669"/>
        <c:crosses val="autoZero"/>
        <c:auto val="1"/>
        <c:lblAlgn val="ctr"/>
        <c:lblOffset val="100"/>
        <c:noMultiLvlLbl val="0"/>
      </c:catAx>
      <c:valAx>
        <c:axId val="43002669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48982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25</xdr:row>
      <xdr:rowOff>48240</xdr:rowOff>
    </xdr:from>
    <xdr:to>
      <xdr:col>5</xdr:col>
      <xdr:colOff>417960</xdr:colOff>
      <xdr:row>40</xdr:row>
      <xdr:rowOff>70200</xdr:rowOff>
    </xdr:to>
    <xdr:graphicFrame>
      <xdr:nvGraphicFramePr>
        <xdr:cNvPr id="0" name="Chart 1"/>
        <xdr:cNvGraphicFramePr/>
      </xdr:nvGraphicFramePr>
      <xdr:xfrm>
        <a:off x="0" y="49528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3" t="s">
        <v>1</v>
      </c>
      <c r="B2" s="2"/>
    </row>
    <row r="3" customFormat="false" ht="15" hidden="false" customHeight="false" outlineLevel="0" collapsed="false">
      <c r="A3" s="2"/>
      <c r="B3" s="2"/>
    </row>
    <row r="4" customFormat="false" ht="15" hidden="false" customHeight="false" outlineLevel="0" collapsed="false">
      <c r="A4" s="4" t="s">
        <v>2</v>
      </c>
      <c r="B4" s="5"/>
    </row>
    <row r="5" customFormat="false" ht="15" hidden="false" customHeight="false" outlineLevel="0" collapsed="false">
      <c r="A5" s="6" t="s">
        <v>3</v>
      </c>
      <c r="B5" s="2" t="s">
        <v>4</v>
      </c>
    </row>
    <row r="6" customFormat="false" ht="15" hidden="false" customHeight="false" outlineLevel="0" collapsed="false">
      <c r="A6" s="7" t="s">
        <v>5</v>
      </c>
      <c r="B6" s="2" t="s">
        <v>6</v>
      </c>
    </row>
    <row r="7" customFormat="false" ht="15" hidden="false" customHeight="false" outlineLevel="0" collapsed="false">
      <c r="A7" s="2" t="s">
        <v>7</v>
      </c>
      <c r="B7" s="2" t="s">
        <v>8</v>
      </c>
    </row>
    <row r="8" customFormat="false" ht="15" hidden="false" customHeight="false" outlineLevel="0" collapsed="false">
      <c r="A8" s="2"/>
      <c r="B8" s="2"/>
    </row>
    <row r="9" customFormat="false" ht="15" hidden="false" customHeight="false" outlineLevel="0" collapsed="false">
      <c r="A9" s="4" t="s">
        <v>9</v>
      </c>
      <c r="B9" s="5"/>
    </row>
    <row r="10" customFormat="false" ht="23.85" hidden="false" customHeight="false" outlineLevel="0" collapsed="false">
      <c r="A10" s="8" t="s">
        <v>10</v>
      </c>
      <c r="B10" s="9" t="s">
        <v>11</v>
      </c>
    </row>
    <row r="11" customFormat="false" ht="23.85" hidden="false" customHeight="false" outlineLevel="0" collapsed="false">
      <c r="A11" s="8" t="s">
        <v>12</v>
      </c>
      <c r="B11" s="9" t="s">
        <v>13</v>
      </c>
    </row>
    <row r="12" customFormat="false" ht="15" hidden="false" customHeight="false" outlineLevel="0" collapsed="false">
      <c r="A12" s="8" t="s">
        <v>14</v>
      </c>
      <c r="B12" s="9" t="s">
        <v>15</v>
      </c>
    </row>
    <row r="13" customFormat="false" ht="15" hidden="false" customHeight="false" outlineLevel="0" collapsed="false">
      <c r="A13" s="8" t="s">
        <v>16</v>
      </c>
      <c r="B13" s="9" t="s">
        <v>17</v>
      </c>
    </row>
    <row r="14" customFormat="false" ht="15" hidden="false" customHeight="false" outlineLevel="0" collapsed="false">
      <c r="A14" s="8" t="s">
        <v>18</v>
      </c>
      <c r="B14" s="9" t="s">
        <v>19</v>
      </c>
    </row>
    <row r="15" customFormat="false" ht="15" hidden="false" customHeight="false" outlineLevel="0" collapsed="false">
      <c r="A15" s="8" t="s">
        <v>20</v>
      </c>
      <c r="B15" s="9" t="s">
        <v>21</v>
      </c>
    </row>
    <row r="16" customFormat="false" ht="15" hidden="false" customHeight="false" outlineLevel="0" collapsed="false">
      <c r="A16" s="2"/>
      <c r="B16" s="2"/>
    </row>
    <row r="17" customFormat="false" ht="15" hidden="false" customHeight="false" outlineLevel="0" collapsed="false">
      <c r="A17" s="4" t="s">
        <v>22</v>
      </c>
      <c r="B17" s="5"/>
    </row>
    <row r="18" customFormat="false" ht="15" hidden="false" customHeight="false" outlineLevel="0" collapsed="false">
      <c r="A18" s="8" t="s">
        <v>23</v>
      </c>
      <c r="B18" s="9" t="s">
        <v>24</v>
      </c>
    </row>
    <row r="19" customFormat="false" ht="15" hidden="false" customHeight="false" outlineLevel="0" collapsed="false">
      <c r="A19" s="8" t="s">
        <v>25</v>
      </c>
      <c r="B19" s="9" t="s">
        <v>26</v>
      </c>
    </row>
    <row r="20" customFormat="false" ht="15" hidden="false" customHeight="false" outlineLevel="0" collapsed="false">
      <c r="A20" s="8" t="s">
        <v>27</v>
      </c>
      <c r="B20" s="9" t="s">
        <v>28</v>
      </c>
    </row>
    <row r="21" customFormat="false" ht="15" hidden="false" customHeight="false" outlineLevel="0" collapsed="false">
      <c r="A21" s="8" t="s">
        <v>29</v>
      </c>
      <c r="B21" s="9" t="s">
        <v>30</v>
      </c>
    </row>
    <row r="22" customFormat="false" ht="15" hidden="false" customHeight="false" outlineLevel="0" collapsed="false">
      <c r="A22" s="2"/>
      <c r="B22" s="2"/>
    </row>
    <row r="23" customFormat="false" ht="15" hidden="false" customHeight="false" outlineLevel="0" collapsed="false">
      <c r="A23" s="4" t="s">
        <v>31</v>
      </c>
      <c r="B23" s="5"/>
    </row>
    <row r="24" customFormat="false" ht="15" hidden="false" customHeight="false" outlineLevel="0" collapsed="false">
      <c r="A24" s="8" t="s">
        <v>32</v>
      </c>
      <c r="B24" s="9" t="s">
        <v>33</v>
      </c>
    </row>
    <row r="25" customFormat="false" ht="15" hidden="false" customHeight="false" outlineLevel="0" collapsed="false">
      <c r="A25" s="8" t="s">
        <v>34</v>
      </c>
      <c r="B25" s="9" t="s">
        <v>35</v>
      </c>
    </row>
    <row r="26" customFormat="false" ht="15" hidden="false" customHeight="false" outlineLevel="0" collapsed="false">
      <c r="A26" s="8" t="s">
        <v>36</v>
      </c>
      <c r="B26" s="9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6" min="3" style="0" width="12"/>
    <col collapsed="false" customWidth="true" hidden="false" outlineLevel="0" max="7" min="7" style="0" width="50"/>
  </cols>
  <sheetData>
    <row r="1" customFormat="false" ht="17.35" hidden="false" customHeight="false" outlineLevel="0" collapsed="false">
      <c r="A1" s="1" t="s">
        <v>38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39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</row>
    <row r="4" customFormat="false" ht="15" hidden="false" customHeight="false" outlineLevel="0" collapsed="false">
      <c r="A4" s="4" t="s">
        <v>40</v>
      </c>
      <c r="B4" s="5"/>
      <c r="C4" s="5"/>
      <c r="D4" s="5"/>
      <c r="E4" s="5"/>
      <c r="F4" s="5"/>
      <c r="G4" s="5"/>
    </row>
    <row r="5" customFormat="false" ht="15" hidden="false" customHeight="false" outlineLevel="0" collapsed="false">
      <c r="A5" s="2" t="s">
        <v>41</v>
      </c>
      <c r="B5" s="6" t="s">
        <v>42</v>
      </c>
      <c r="C5" s="2"/>
      <c r="D5" s="2"/>
      <c r="E5" s="2"/>
      <c r="F5" s="2"/>
      <c r="G5" s="3"/>
    </row>
    <row r="6" customFormat="false" ht="15" hidden="false" customHeight="false" outlineLevel="0" collapsed="false">
      <c r="A6" s="2" t="s">
        <v>43</v>
      </c>
      <c r="B6" s="6" t="s">
        <v>44</v>
      </c>
      <c r="C6" s="2"/>
      <c r="D6" s="2"/>
      <c r="E6" s="2"/>
      <c r="F6" s="2"/>
      <c r="G6" s="3" t="s">
        <v>45</v>
      </c>
    </row>
    <row r="7" customFormat="false" ht="15" hidden="false" customHeight="false" outlineLevel="0" collapsed="false">
      <c r="A7" s="2" t="s">
        <v>46</v>
      </c>
      <c r="B7" s="10" t="n">
        <v>46295</v>
      </c>
      <c r="C7" s="2"/>
      <c r="D7" s="2"/>
      <c r="E7" s="2"/>
      <c r="F7" s="2"/>
      <c r="G7" s="3"/>
    </row>
    <row r="8" customFormat="false" ht="15" hidden="false" customHeight="false" outlineLevel="0" collapsed="false">
      <c r="A8" s="2" t="s">
        <v>47</v>
      </c>
      <c r="B8" s="11" t="n">
        <v>4000</v>
      </c>
      <c r="C8" s="2"/>
      <c r="D8" s="2"/>
      <c r="E8" s="2"/>
      <c r="F8" s="2"/>
      <c r="G8" s="3" t="s">
        <v>48</v>
      </c>
    </row>
    <row r="9" customFormat="false" ht="15" hidden="false" customHeight="false" outlineLevel="0" collapsed="false">
      <c r="A9" s="2" t="s">
        <v>49</v>
      </c>
      <c r="B9" s="11" t="n">
        <v>2000</v>
      </c>
      <c r="C9" s="2"/>
      <c r="D9" s="2"/>
      <c r="E9" s="2"/>
      <c r="F9" s="2"/>
      <c r="G9" s="3"/>
    </row>
    <row r="10" customFormat="false" ht="15" hidden="false" customHeight="false" outlineLevel="0" collapsed="false">
      <c r="A10" s="2" t="s">
        <v>50</v>
      </c>
      <c r="B10" s="11" t="n">
        <v>0</v>
      </c>
      <c r="C10" s="2"/>
      <c r="D10" s="2"/>
      <c r="E10" s="2"/>
      <c r="F10" s="2"/>
      <c r="G10" s="3" t="s">
        <v>51</v>
      </c>
    </row>
    <row r="11" customFormat="false" ht="15" hidden="false" customHeight="false" outlineLevel="0" collapsed="false">
      <c r="A11" s="2"/>
      <c r="B11" s="2"/>
      <c r="C11" s="2"/>
      <c r="D11" s="2"/>
      <c r="E11" s="2"/>
      <c r="F11" s="2"/>
      <c r="G11" s="2"/>
    </row>
    <row r="12" customFormat="false" ht="15" hidden="false" customHeight="false" outlineLevel="0" collapsed="false">
      <c r="A12" s="4" t="s">
        <v>52</v>
      </c>
      <c r="B12" s="5"/>
      <c r="C12" s="5"/>
      <c r="D12" s="5"/>
      <c r="E12" s="5"/>
      <c r="F12" s="5"/>
      <c r="G12" s="5"/>
    </row>
    <row r="13" customFormat="false" ht="15" hidden="false" customHeight="false" outlineLevel="0" collapsed="false">
      <c r="A13" s="2" t="s">
        <v>53</v>
      </c>
      <c r="B13" s="11" t="n">
        <v>6000</v>
      </c>
      <c r="C13" s="2"/>
      <c r="D13" s="2"/>
      <c r="E13" s="2"/>
      <c r="F13" s="2"/>
      <c r="G13" s="3"/>
    </row>
    <row r="14" customFormat="false" ht="15" hidden="false" customHeight="false" outlineLevel="0" collapsed="false">
      <c r="A14" s="2" t="s">
        <v>54</v>
      </c>
      <c r="B14" s="12" t="n">
        <v>0.2</v>
      </c>
      <c r="C14" s="2"/>
      <c r="D14" s="2"/>
      <c r="E14" s="2"/>
      <c r="F14" s="2"/>
      <c r="G14" s="3" t="s">
        <v>55</v>
      </c>
    </row>
    <row r="15" customFormat="false" ht="15" hidden="false" customHeight="false" outlineLevel="0" collapsed="false">
      <c r="A15" s="2" t="s">
        <v>56</v>
      </c>
      <c r="B15" s="12" t="n">
        <v>0.45</v>
      </c>
      <c r="C15" s="2"/>
      <c r="D15" s="2"/>
      <c r="E15" s="2"/>
      <c r="F15" s="2"/>
      <c r="G15" s="3" t="s">
        <v>57</v>
      </c>
    </row>
    <row r="16" customFormat="false" ht="15" hidden="false" customHeight="false" outlineLevel="0" collapsed="false">
      <c r="A16" s="2" t="s">
        <v>58</v>
      </c>
      <c r="B16" s="12" t="n">
        <v>0.05</v>
      </c>
      <c r="C16" s="2"/>
      <c r="D16" s="2"/>
      <c r="E16" s="2"/>
      <c r="F16" s="2"/>
      <c r="G16" s="3" t="s">
        <v>59</v>
      </c>
    </row>
    <row r="17" customFormat="false" ht="15" hidden="false" customHeight="false" outlineLevel="0" collapsed="false">
      <c r="A17" s="2" t="s">
        <v>60</v>
      </c>
      <c r="B17" s="13" t="n">
        <v>12</v>
      </c>
      <c r="C17" s="2"/>
      <c r="D17" s="2"/>
      <c r="E17" s="2"/>
      <c r="F17" s="2"/>
      <c r="G17" s="3" t="s">
        <v>61</v>
      </c>
    </row>
    <row r="18" customFormat="false" ht="15" hidden="false" customHeight="false" outlineLevel="0" collapsed="false">
      <c r="A18" s="2" t="s">
        <v>62</v>
      </c>
      <c r="B18" s="14" t="n">
        <v>2</v>
      </c>
      <c r="C18" s="2"/>
      <c r="D18" s="2"/>
      <c r="E18" s="2"/>
      <c r="F18" s="2"/>
      <c r="G18" s="3" t="s">
        <v>63</v>
      </c>
    </row>
    <row r="19" customFormat="false" ht="15" hidden="false" customHeight="false" outlineLevel="0" collapsed="false">
      <c r="A19" s="2" t="s">
        <v>64</v>
      </c>
      <c r="B19" s="12" t="n">
        <v>0.03</v>
      </c>
      <c r="C19" s="2"/>
      <c r="D19" s="2"/>
      <c r="E19" s="2"/>
      <c r="F19" s="2"/>
      <c r="G19" s="3"/>
    </row>
    <row r="20" customFormat="false" ht="15" hidden="false" customHeight="false" outlineLevel="0" collapsed="false">
      <c r="A20" s="2" t="s">
        <v>65</v>
      </c>
      <c r="B20" s="12" t="n">
        <v>0.05</v>
      </c>
      <c r="C20" s="2"/>
      <c r="D20" s="2"/>
      <c r="E20" s="2"/>
      <c r="F20" s="2"/>
      <c r="G20" s="3"/>
    </row>
    <row r="21" customFormat="false" ht="15" hidden="false" customHeight="false" outlineLevel="0" collapsed="false">
      <c r="A21" s="2" t="s">
        <v>66</v>
      </c>
      <c r="B21" s="12" t="n">
        <v>0.1</v>
      </c>
      <c r="C21" s="2"/>
      <c r="D21" s="2"/>
      <c r="E21" s="2"/>
      <c r="F21" s="2"/>
      <c r="G21" s="3" t="s">
        <v>67</v>
      </c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</row>
    <row r="23" customFormat="false" ht="15" hidden="false" customHeight="false" outlineLevel="0" collapsed="false">
      <c r="A23" s="15" t="s">
        <v>68</v>
      </c>
      <c r="B23" s="15" t="s">
        <v>69</v>
      </c>
      <c r="C23" s="15" t="s">
        <v>70</v>
      </c>
      <c r="D23" s="15" t="s">
        <v>71</v>
      </c>
      <c r="E23" s="15" t="s">
        <v>72</v>
      </c>
      <c r="F23" s="15" t="s">
        <v>73</v>
      </c>
      <c r="G23" s="2"/>
    </row>
    <row r="24" customFormat="false" ht="15" hidden="false" customHeight="false" outlineLevel="0" collapsed="false">
      <c r="A24" s="2" t="s">
        <v>74</v>
      </c>
      <c r="B24" s="12" t="n">
        <v>1.2</v>
      </c>
      <c r="C24" s="12" t="n">
        <v>0.8</v>
      </c>
      <c r="D24" s="12" t="n">
        <v>0.6</v>
      </c>
      <c r="E24" s="12" t="n">
        <v>0.4</v>
      </c>
      <c r="F24" s="12" t="n">
        <v>0.3</v>
      </c>
      <c r="G24" s="3" t="s">
        <v>75</v>
      </c>
    </row>
    <row r="25" customFormat="false" ht="15" hidden="false" customHeight="false" outlineLevel="0" collapsed="false">
      <c r="A25" s="2" t="s">
        <v>76</v>
      </c>
      <c r="B25" s="12" t="n">
        <v>-0.4</v>
      </c>
      <c r="C25" s="12" t="n">
        <v>-0.15</v>
      </c>
      <c r="D25" s="12" t="n">
        <v>0.05</v>
      </c>
      <c r="E25" s="12" t="n">
        <v>0.15</v>
      </c>
      <c r="F25" s="12" t="n">
        <v>0.25</v>
      </c>
      <c r="G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</row>
    <row r="27" customFormat="false" ht="15" hidden="false" customHeight="false" outlineLevel="0" collapsed="false">
      <c r="A27" s="4" t="s">
        <v>77</v>
      </c>
      <c r="B27" s="5"/>
      <c r="C27" s="5"/>
      <c r="D27" s="5"/>
      <c r="E27" s="5"/>
      <c r="F27" s="5"/>
      <c r="G27" s="5"/>
    </row>
    <row r="28" customFormat="false" ht="15" hidden="false" customHeight="false" outlineLevel="0" collapsed="false">
      <c r="A28" s="2" t="s">
        <v>78</v>
      </c>
      <c r="B28" s="12" t="n">
        <v>0.3</v>
      </c>
      <c r="C28" s="2"/>
      <c r="D28" s="2"/>
      <c r="E28" s="2"/>
      <c r="F28" s="2"/>
      <c r="G28" s="3" t="s">
        <v>79</v>
      </c>
    </row>
    <row r="29" customFormat="false" ht="15" hidden="false" customHeight="false" outlineLevel="0" collapsed="false">
      <c r="A29" s="2" t="s">
        <v>80</v>
      </c>
      <c r="B29" s="13" t="n">
        <v>3</v>
      </c>
      <c r="C29" s="2"/>
      <c r="D29" s="2"/>
      <c r="E29" s="2"/>
      <c r="F29" s="2"/>
      <c r="G29" s="3" t="s">
        <v>81</v>
      </c>
    </row>
    <row r="30" customFormat="false" ht="15" hidden="false" customHeight="false" outlineLevel="0" collapsed="false">
      <c r="A30" s="2" t="s">
        <v>82</v>
      </c>
      <c r="B30" s="12" t="n">
        <v>0.3</v>
      </c>
      <c r="C30" s="2"/>
      <c r="D30" s="2"/>
      <c r="E30" s="2"/>
      <c r="F30" s="2"/>
      <c r="G30" s="3" t="s">
        <v>83</v>
      </c>
    </row>
    <row r="31" customFormat="false" ht="15" hidden="false" customHeight="false" outlineLevel="0" collapsed="false">
      <c r="A31" s="2" t="s">
        <v>84</v>
      </c>
      <c r="B31" s="13" t="n">
        <v>15</v>
      </c>
      <c r="C31" s="2"/>
      <c r="D31" s="2"/>
      <c r="E31" s="2"/>
      <c r="F31" s="2"/>
      <c r="G31" s="3" t="s">
        <v>85</v>
      </c>
    </row>
    <row r="32" customFormat="false" ht="15" hidden="false" customHeight="false" outlineLevel="0" collapsed="false">
      <c r="A32" s="2" t="s">
        <v>86</v>
      </c>
      <c r="B32" s="13" t="n">
        <v>10</v>
      </c>
      <c r="C32" s="2"/>
      <c r="D32" s="2"/>
      <c r="E32" s="2"/>
      <c r="F32" s="2"/>
      <c r="G32" s="3"/>
    </row>
    <row r="33" customFormat="false" ht="15" hidden="false" customHeight="false" outlineLevel="0" collapsed="false">
      <c r="A33" s="2" t="s">
        <v>87</v>
      </c>
      <c r="B33" s="13" t="n">
        <v>7</v>
      </c>
      <c r="C33" s="2"/>
      <c r="D33" s="2"/>
      <c r="E33" s="2"/>
      <c r="F33" s="2"/>
      <c r="G33" s="3"/>
    </row>
    <row r="34" customFormat="false" ht="15" hidden="false" customHeight="false" outlineLevel="0" collapsed="false">
      <c r="A34" s="2" t="s">
        <v>88</v>
      </c>
      <c r="B34" s="12" t="n">
        <v>0.15</v>
      </c>
      <c r="C34" s="2"/>
      <c r="D34" s="2"/>
      <c r="E34" s="2"/>
      <c r="F34" s="2"/>
      <c r="G34" s="3" t="s">
        <v>89</v>
      </c>
    </row>
  </sheetData>
  <dataValidations count="1">
    <dataValidation allowBlank="false" errorStyle="stop" operator="between" showDropDown="false" showErrorMessage="false" showInputMessage="false" sqref="B18" type="list">
      <formula1>"1,2"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7" min="2" style="0" width="13"/>
    <col collapsed="false" customWidth="true" hidden="false" outlineLevel="0" max="8" min="8" style="0" width="40"/>
  </cols>
  <sheetData>
    <row r="1" customFormat="false" ht="17.35" hidden="false" customHeight="false" outlineLevel="0" collapsed="false">
      <c r="A1" s="1" t="s">
        <v>90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91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15" t="s">
        <v>92</v>
      </c>
      <c r="B4" s="15" t="s">
        <v>93</v>
      </c>
      <c r="C4" s="15" t="s">
        <v>69</v>
      </c>
      <c r="D4" s="15" t="s">
        <v>70</v>
      </c>
      <c r="E4" s="15" t="s">
        <v>71</v>
      </c>
      <c r="F4" s="15" t="s">
        <v>72</v>
      </c>
      <c r="G4" s="15" t="s">
        <v>73</v>
      </c>
      <c r="H4" s="2"/>
    </row>
    <row r="5" customFormat="false" ht="15" hidden="false" customHeight="false" outlineLevel="0" collapsed="false">
      <c r="A5" s="2" t="s">
        <v>94</v>
      </c>
      <c r="B5" s="16" t="n">
        <v>0</v>
      </c>
      <c r="C5" s="16" t="n">
        <f aca="false">B5+1</f>
        <v>1</v>
      </c>
      <c r="D5" s="16" t="n">
        <f aca="false">C5+1</f>
        <v>2</v>
      </c>
      <c r="E5" s="16" t="n">
        <f aca="false">D5+1</f>
        <v>3</v>
      </c>
      <c r="F5" s="16" t="n">
        <f aca="false">E5+1</f>
        <v>4</v>
      </c>
      <c r="G5" s="16" t="n">
        <f aca="false">F5+1</f>
        <v>5</v>
      </c>
      <c r="H5" s="2"/>
    </row>
    <row r="6" customFormat="false" ht="15" hidden="false" customHeight="false" outlineLevel="0" collapsed="false">
      <c r="A6" s="2" t="s">
        <v>74</v>
      </c>
      <c r="B6" s="2"/>
      <c r="C6" s="17" t="n">
        <f aca="false">Dau_vao!B24</f>
        <v>1.2</v>
      </c>
      <c r="D6" s="17" t="n">
        <f aca="false">Dau_vao!C24</f>
        <v>0.8</v>
      </c>
      <c r="E6" s="17" t="n">
        <f aca="false">Dau_vao!D24</f>
        <v>0.6</v>
      </c>
      <c r="F6" s="17" t="n">
        <f aca="false">Dau_vao!E24</f>
        <v>0.4</v>
      </c>
      <c r="G6" s="17" t="n">
        <f aca="false">Dau_vao!F24</f>
        <v>0.3</v>
      </c>
      <c r="H6" s="2"/>
    </row>
    <row r="7" customFormat="false" ht="15" hidden="false" customHeight="false" outlineLevel="0" collapsed="false">
      <c r="A7" s="18" t="s">
        <v>95</v>
      </c>
      <c r="B7" s="19" t="n">
        <f aca="false">Dau_vao!$B$13</f>
        <v>6000</v>
      </c>
      <c r="C7" s="20" t="n">
        <f aca="false">B7*(1+C6)</f>
        <v>13200</v>
      </c>
      <c r="D7" s="20" t="n">
        <f aca="false">C7*(1+D6)</f>
        <v>23760</v>
      </c>
      <c r="E7" s="20" t="n">
        <f aca="false">D7*(1+E6)</f>
        <v>38016</v>
      </c>
      <c r="F7" s="20" t="n">
        <f aca="false">E7*(1+F6)</f>
        <v>53222.4</v>
      </c>
      <c r="G7" s="20" t="n">
        <f aca="false">F7*(1+G6)</f>
        <v>69189.12</v>
      </c>
      <c r="H7" s="2"/>
    </row>
    <row r="8" customFormat="false" ht="15" hidden="false" customHeight="false" outlineLevel="0" collapsed="false">
      <c r="A8" s="2" t="s">
        <v>76</v>
      </c>
      <c r="B8" s="2"/>
      <c r="C8" s="17" t="n">
        <f aca="false">Dau_vao!B25</f>
        <v>-0.4</v>
      </c>
      <c r="D8" s="17" t="n">
        <f aca="false">Dau_vao!C25</f>
        <v>-0.15</v>
      </c>
      <c r="E8" s="17" t="n">
        <f aca="false">Dau_vao!D25</f>
        <v>0.05</v>
      </c>
      <c r="F8" s="17" t="n">
        <f aca="false">Dau_vao!E25</f>
        <v>0.15</v>
      </c>
      <c r="G8" s="17" t="n">
        <f aca="false">Dau_vao!F25</f>
        <v>0.25</v>
      </c>
      <c r="H8" s="2"/>
    </row>
    <row r="9" customFormat="false" ht="15" hidden="false" customHeight="false" outlineLevel="0" collapsed="false">
      <c r="A9" s="18" t="s">
        <v>96</v>
      </c>
      <c r="B9" s="2"/>
      <c r="C9" s="20" t="n">
        <f aca="false">C7*C8</f>
        <v>-5280</v>
      </c>
      <c r="D9" s="20" t="n">
        <f aca="false">D7*D8</f>
        <v>-3564</v>
      </c>
      <c r="E9" s="20" t="n">
        <f aca="false">E7*E8</f>
        <v>1900.8</v>
      </c>
      <c r="F9" s="20" t="n">
        <f aca="false">F7*F8</f>
        <v>7983.36</v>
      </c>
      <c r="G9" s="20" t="n">
        <f aca="false">G7*G8</f>
        <v>17297.28</v>
      </c>
      <c r="H9" s="2"/>
    </row>
    <row r="10" customFormat="false" ht="15" hidden="false" customHeight="false" outlineLevel="0" collapsed="false">
      <c r="A10" s="2" t="s">
        <v>97</v>
      </c>
      <c r="B10" s="2"/>
      <c r="C10" s="21" t="n">
        <f aca="false">C7*Dau_vao!$B$19</f>
        <v>396</v>
      </c>
      <c r="D10" s="21" t="n">
        <f aca="false">D7*Dau_vao!$B$19</f>
        <v>712.8</v>
      </c>
      <c r="E10" s="21" t="n">
        <f aca="false">E7*Dau_vao!$B$19</f>
        <v>1140.48</v>
      </c>
      <c r="F10" s="21" t="n">
        <f aca="false">F7*Dau_vao!$B$19</f>
        <v>1596.672</v>
      </c>
      <c r="G10" s="21" t="n">
        <f aca="false">G7*Dau_vao!$B$19</f>
        <v>2075.6736</v>
      </c>
      <c r="H10" s="2"/>
    </row>
    <row r="11" customFormat="false" ht="15" hidden="false" customHeight="false" outlineLevel="0" collapsed="false">
      <c r="A11" s="2" t="s">
        <v>98</v>
      </c>
      <c r="B11" s="2"/>
      <c r="C11" s="21" t="n">
        <f aca="false">C9-C10</f>
        <v>-5676</v>
      </c>
      <c r="D11" s="21" t="n">
        <f aca="false">D9-D10</f>
        <v>-4276.8</v>
      </c>
      <c r="E11" s="21" t="n">
        <f aca="false">E9-E10</f>
        <v>760.32</v>
      </c>
      <c r="F11" s="21" t="n">
        <f aca="false">F9-F10</f>
        <v>6386.688</v>
      </c>
      <c r="G11" s="21" t="n">
        <f aca="false">G9-G10</f>
        <v>15221.6064</v>
      </c>
      <c r="H11" s="2"/>
    </row>
    <row r="12" customFormat="false" ht="15" hidden="false" customHeight="false" outlineLevel="0" collapsed="false">
      <c r="A12" s="2" t="s">
        <v>99</v>
      </c>
      <c r="B12" s="2"/>
      <c r="C12" s="21" t="n">
        <f aca="false">MAX(0,C11)*Dau_vao!$B$14</f>
        <v>0</v>
      </c>
      <c r="D12" s="21" t="n">
        <f aca="false">MAX(0,D11)*Dau_vao!$B$14</f>
        <v>0</v>
      </c>
      <c r="E12" s="21" t="n">
        <f aca="false">MAX(0,E11)*Dau_vao!$B$14</f>
        <v>152.064</v>
      </c>
      <c r="F12" s="21" t="n">
        <f aca="false">MAX(0,F11)*Dau_vao!$B$14</f>
        <v>1277.3376</v>
      </c>
      <c r="G12" s="21" t="n">
        <f aca="false">MAX(0,G11)*Dau_vao!$B$14</f>
        <v>3044.32128</v>
      </c>
      <c r="H12" s="3" t="s">
        <v>100</v>
      </c>
    </row>
    <row r="13" customFormat="false" ht="15" hidden="false" customHeight="false" outlineLevel="0" collapsed="false">
      <c r="A13" s="2" t="s">
        <v>101</v>
      </c>
      <c r="B13" s="2"/>
      <c r="C13" s="21" t="n">
        <f aca="false">C11-C12</f>
        <v>-5676</v>
      </c>
      <c r="D13" s="21" t="n">
        <f aca="false">D11-D12</f>
        <v>-4276.8</v>
      </c>
      <c r="E13" s="21" t="n">
        <f aca="false">E11-E12</f>
        <v>608.256</v>
      </c>
      <c r="F13" s="21" t="n">
        <f aca="false">F11-F12</f>
        <v>5109.3504</v>
      </c>
      <c r="G13" s="21" t="n">
        <f aca="false">G11-G12</f>
        <v>12177.28512</v>
      </c>
      <c r="H13" s="2"/>
    </row>
    <row r="14" customFormat="false" ht="15" hidden="false" customHeight="false" outlineLevel="0" collapsed="false">
      <c r="A14" s="2" t="s">
        <v>102</v>
      </c>
      <c r="B14" s="2"/>
      <c r="C14" s="21" t="n">
        <f aca="false">C10</f>
        <v>396</v>
      </c>
      <c r="D14" s="21" t="n">
        <f aca="false">D10</f>
        <v>712.8</v>
      </c>
      <c r="E14" s="21" t="n">
        <f aca="false">E10</f>
        <v>1140.48</v>
      </c>
      <c r="F14" s="21" t="n">
        <f aca="false">F10</f>
        <v>1596.672</v>
      </c>
      <c r="G14" s="21" t="n">
        <f aca="false">G10</f>
        <v>2075.6736</v>
      </c>
      <c r="H14" s="2"/>
    </row>
    <row r="15" customFormat="false" ht="15" hidden="false" customHeight="false" outlineLevel="0" collapsed="false">
      <c r="A15" s="2" t="s">
        <v>103</v>
      </c>
      <c r="B15" s="2"/>
      <c r="C15" s="21" t="n">
        <f aca="false">-C7*Dau_vao!$B$20</f>
        <v>-660</v>
      </c>
      <c r="D15" s="21" t="n">
        <f aca="false">-D7*Dau_vao!$B$20</f>
        <v>-1188</v>
      </c>
      <c r="E15" s="21" t="n">
        <f aca="false">-E7*Dau_vao!$B$20</f>
        <v>-1900.8</v>
      </c>
      <c r="F15" s="21" t="n">
        <f aca="false">-F7*Dau_vao!$B$20</f>
        <v>-2661.12</v>
      </c>
      <c r="G15" s="21" t="n">
        <f aca="false">-G7*Dau_vao!$B$20</f>
        <v>-3459.456</v>
      </c>
      <c r="H15" s="2"/>
    </row>
    <row r="16" customFormat="false" ht="15" hidden="false" customHeight="false" outlineLevel="0" collapsed="false">
      <c r="A16" s="2" t="s">
        <v>104</v>
      </c>
      <c r="B16" s="2"/>
      <c r="C16" s="21" t="n">
        <f aca="false">-(C7-B7)*Dau_vao!$B$21</f>
        <v>-720</v>
      </c>
      <c r="D16" s="21" t="n">
        <f aca="false">-(D7-C7)*Dau_vao!$B$21</f>
        <v>-1056</v>
      </c>
      <c r="E16" s="21" t="n">
        <f aca="false">-(E7-D7)*Dau_vao!$B$21</f>
        <v>-1425.6</v>
      </c>
      <c r="F16" s="21" t="n">
        <f aca="false">-(F7-E7)*Dau_vao!$B$21</f>
        <v>-1520.64</v>
      </c>
      <c r="G16" s="21" t="n">
        <f aca="false">-(G7-F7)*Dau_vao!$B$21</f>
        <v>-1596.672</v>
      </c>
      <c r="H16" s="2"/>
    </row>
    <row r="17" customFormat="false" ht="15" hidden="false" customHeight="false" outlineLevel="0" collapsed="false">
      <c r="A17" s="18" t="s">
        <v>105</v>
      </c>
      <c r="B17" s="2"/>
      <c r="C17" s="22" t="n">
        <f aca="false">C13+C14+C15+C16</f>
        <v>-6660</v>
      </c>
      <c r="D17" s="22" t="n">
        <f aca="false">D13+D14+D15+D16</f>
        <v>-5808</v>
      </c>
      <c r="E17" s="22" t="n">
        <f aca="false">E13+E14+E15+E16</f>
        <v>-1577.664</v>
      </c>
      <c r="F17" s="22" t="n">
        <f aca="false">F13+F14+F15+F16</f>
        <v>2524.2624</v>
      </c>
      <c r="G17" s="22" t="n">
        <f aca="false">G13+G14+G15+G16</f>
        <v>9196.83072</v>
      </c>
      <c r="H17" s="2"/>
    </row>
    <row r="18" customFormat="false" ht="15" hidden="false" customHeight="false" outlineLevel="0" collapsed="false">
      <c r="A18" s="2" t="s">
        <v>106</v>
      </c>
      <c r="B18" s="2"/>
      <c r="C18" s="23" t="n">
        <f aca="false">1/(1+Dau_vao!$B$15)^C5</f>
        <v>0.689655172413793</v>
      </c>
      <c r="D18" s="23" t="n">
        <f aca="false">1/(1+Dau_vao!$B$15)^D5</f>
        <v>0.475624256837099</v>
      </c>
      <c r="E18" s="23" t="n">
        <f aca="false">1/(1+Dau_vao!$B$15)^E5</f>
        <v>0.328016728853172</v>
      </c>
      <c r="F18" s="23" t="n">
        <f aca="false">1/(1+Dau_vao!$B$15)^F5</f>
        <v>0.226218433691842</v>
      </c>
      <c r="G18" s="23" t="n">
        <f aca="false">1/(1+Dau_vao!$B$15)^G5</f>
        <v>0.156012712890926</v>
      </c>
      <c r="H18" s="2"/>
    </row>
    <row r="19" customFormat="false" ht="15" hidden="false" customHeight="false" outlineLevel="0" collapsed="false">
      <c r="A19" s="2" t="s">
        <v>107</v>
      </c>
      <c r="B19" s="2"/>
      <c r="C19" s="21" t="n">
        <f aca="false">C17*C18</f>
        <v>-4593.10344827586</v>
      </c>
      <c r="D19" s="21" t="n">
        <f aca="false">D17*D18</f>
        <v>-2762.42568370987</v>
      </c>
      <c r="E19" s="21" t="n">
        <f aca="false">E17*E18</f>
        <v>-517.50018450941</v>
      </c>
      <c r="F19" s="21" t="n">
        <f aca="false">F17*F18</f>
        <v>571.034686355211</v>
      </c>
      <c r="G19" s="21" t="n">
        <f aca="false">G17*G18</f>
        <v>1434.82251062581</v>
      </c>
      <c r="H19" s="2"/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</row>
    <row r="21" customFormat="false" ht="15" hidden="false" customHeight="false" outlineLevel="0" collapsed="false">
      <c r="A21" s="4" t="s">
        <v>108</v>
      </c>
      <c r="B21" s="5"/>
      <c r="C21" s="5"/>
      <c r="D21" s="5"/>
      <c r="E21" s="5"/>
      <c r="F21" s="5"/>
      <c r="G21" s="5"/>
      <c r="H21" s="5"/>
    </row>
    <row r="22" customFormat="false" ht="15" hidden="false" customHeight="false" outlineLevel="0" collapsed="false">
      <c r="A22" s="2" t="s">
        <v>109</v>
      </c>
      <c r="B22" s="2"/>
      <c r="C22" s="21" t="n">
        <f aca="false">SUM(C19:G19)</f>
        <v>-5867.17211951412</v>
      </c>
      <c r="D22" s="3"/>
      <c r="E22" s="2"/>
      <c r="F22" s="2"/>
      <c r="G22" s="2"/>
      <c r="H22" s="2"/>
    </row>
    <row r="23" customFormat="false" ht="15" hidden="false" customHeight="false" outlineLevel="0" collapsed="false">
      <c r="A23" s="2" t="s">
        <v>110</v>
      </c>
      <c r="B23" s="2"/>
      <c r="C23" s="21" t="n">
        <f aca="false">IF(Dau_vao!$B$15&gt;Dau_vao!$B$16,G17*(1+Dau_vao!$B$16)/(Dau_vao!$B$15-Dau_vao!$B$16),0)</f>
        <v>24141.68064</v>
      </c>
      <c r="D23" s="3" t="s">
        <v>111</v>
      </c>
      <c r="E23" s="2"/>
      <c r="F23" s="2"/>
      <c r="G23" s="2"/>
      <c r="H23" s="2"/>
    </row>
    <row r="24" customFormat="false" ht="15" hidden="false" customHeight="false" outlineLevel="0" collapsed="false">
      <c r="A24" s="2" t="s">
        <v>112</v>
      </c>
      <c r="B24" s="2"/>
      <c r="C24" s="21" t="n">
        <f aca="false">G9*Dau_vao!$B$17</f>
        <v>207567.36</v>
      </c>
      <c r="D24" s="3" t="s">
        <v>113</v>
      </c>
      <c r="E24" s="2"/>
      <c r="F24" s="2"/>
      <c r="G24" s="2"/>
      <c r="H24" s="2"/>
    </row>
    <row r="25" customFormat="false" ht="15" hidden="false" customHeight="false" outlineLevel="0" collapsed="false">
      <c r="A25" s="2" t="s">
        <v>114</v>
      </c>
      <c r="B25" s="2"/>
      <c r="C25" s="24" t="n">
        <f aca="false">IFERROR(C23/G9,0)</f>
        <v>1.39569230769231</v>
      </c>
      <c r="D25" s="3" t="s">
        <v>115</v>
      </c>
      <c r="E25" s="2"/>
      <c r="F25" s="2"/>
      <c r="G25" s="2"/>
      <c r="H25" s="2"/>
    </row>
    <row r="26" customFormat="false" ht="15" hidden="false" customHeight="false" outlineLevel="0" collapsed="false">
      <c r="A26" s="2" t="s">
        <v>116</v>
      </c>
      <c r="B26" s="2"/>
      <c r="C26" s="21" t="n">
        <f aca="false">IF(Dau_vao!$B$18=1,C23,C24)</f>
        <v>207567.36</v>
      </c>
      <c r="D26" s="3"/>
      <c r="E26" s="2"/>
      <c r="F26" s="2"/>
      <c r="G26" s="2"/>
      <c r="H26" s="2"/>
    </row>
    <row r="27" customFormat="false" ht="15" hidden="false" customHeight="false" outlineLevel="0" collapsed="false">
      <c r="A27" s="2" t="s">
        <v>117</v>
      </c>
      <c r="B27" s="2"/>
      <c r="C27" s="21" t="n">
        <f aca="false">C26*G18</f>
        <v>32383.1469412075</v>
      </c>
      <c r="D27" s="3"/>
      <c r="E27" s="2"/>
      <c r="F27" s="2"/>
      <c r="G27" s="2"/>
      <c r="H27" s="2"/>
    </row>
    <row r="28" customFormat="false" ht="15" hidden="false" customHeight="false" outlineLevel="0" collapsed="false">
      <c r="A28" s="18" t="s">
        <v>118</v>
      </c>
      <c r="B28" s="2"/>
      <c r="C28" s="20" t="n">
        <f aca="false">C22+C27</f>
        <v>26515.9748216933</v>
      </c>
      <c r="D28" s="3"/>
      <c r="E28" s="2"/>
      <c r="F28" s="2"/>
      <c r="G28" s="2"/>
      <c r="H28" s="2"/>
    </row>
    <row r="29" customFormat="false" ht="15" hidden="false" customHeight="false" outlineLevel="0" collapsed="false">
      <c r="A29" s="2" t="s">
        <v>119</v>
      </c>
      <c r="B29" s="2"/>
      <c r="C29" s="25" t="n">
        <f aca="false">IFERROR(C27/C28,0)</f>
        <v>1.22126933514487</v>
      </c>
      <c r="D29" s="3" t="s">
        <v>120</v>
      </c>
      <c r="E29" s="2"/>
      <c r="F29" s="2"/>
      <c r="G29" s="2"/>
      <c r="H29" s="2"/>
    </row>
    <row r="30" customFormat="false" ht="15" hidden="false" customHeight="false" outlineLevel="0" collapsed="false">
      <c r="A30" s="2" t="s">
        <v>121</v>
      </c>
      <c r="B30" s="2"/>
      <c r="C30" s="19" t="n">
        <f aca="false">Dau_vao!$B$9</f>
        <v>2000</v>
      </c>
      <c r="D30" s="3"/>
      <c r="E30" s="2"/>
      <c r="F30" s="2"/>
      <c r="G30" s="2"/>
      <c r="H30" s="2"/>
    </row>
    <row r="31" customFormat="false" ht="15" hidden="false" customHeight="false" outlineLevel="0" collapsed="false">
      <c r="A31" s="2" t="s">
        <v>122</v>
      </c>
      <c r="B31" s="2"/>
      <c r="C31" s="19" t="n">
        <f aca="false">-Dau_vao!$B$10</f>
        <v>-0</v>
      </c>
      <c r="D31" s="3"/>
      <c r="E31" s="2"/>
      <c r="F31" s="2"/>
      <c r="G31" s="2"/>
      <c r="H31" s="2"/>
    </row>
    <row r="32" customFormat="false" ht="15" hidden="false" customHeight="false" outlineLevel="0" collapsed="false">
      <c r="A32" s="26" t="s">
        <v>123</v>
      </c>
      <c r="B32" s="2"/>
      <c r="C32" s="27" t="n">
        <f aca="false">C28+C30+C31</f>
        <v>28515.9748216933</v>
      </c>
      <c r="D32" s="3"/>
      <c r="E32" s="2"/>
      <c r="F32" s="2"/>
      <c r="G32" s="2"/>
      <c r="H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</row>
    <row r="34" customFormat="false" ht="15" hidden="false" customHeight="false" outlineLevel="0" collapsed="false">
      <c r="A34" s="4" t="s">
        <v>124</v>
      </c>
      <c r="B34" s="5"/>
      <c r="C34" s="5"/>
      <c r="D34" s="5"/>
      <c r="E34" s="5"/>
      <c r="F34" s="5"/>
      <c r="G34" s="5"/>
      <c r="H34" s="5"/>
    </row>
    <row r="35" customFormat="false" ht="15" hidden="false" customHeight="false" outlineLevel="0" collapsed="false">
      <c r="A35" s="2"/>
      <c r="B35" s="18" t="s">
        <v>125</v>
      </c>
      <c r="C35" s="28" t="n">
        <f aca="false">Dau_vao!$B$17+(-2)</f>
        <v>10</v>
      </c>
      <c r="D35" s="28" t="n">
        <f aca="false">Dau_vao!$B$17+(-1)</f>
        <v>11</v>
      </c>
      <c r="E35" s="28" t="n">
        <f aca="false">Dau_vao!$B$17+(0)</f>
        <v>12</v>
      </c>
      <c r="F35" s="28" t="n">
        <f aca="false">Dau_vao!$B$17+(1)</f>
        <v>13</v>
      </c>
      <c r="G35" s="28" t="n">
        <f aca="false">Dau_vao!$B$17+(2)</f>
        <v>14</v>
      </c>
      <c r="H35" s="2"/>
    </row>
    <row r="36" customFormat="false" ht="15" hidden="false" customHeight="false" outlineLevel="0" collapsed="false">
      <c r="A36" s="2"/>
      <c r="B36" s="29" t="n">
        <f aca="false">Dau_vao!$B$15+(-0.05)</f>
        <v>0.4</v>
      </c>
      <c r="C36" s="21" t="n">
        <f aca="false">SUMPRODUCT($C$17:$G$17/(1+$B36)^$C$5:$G$5)+C$35*$G$9/(1+$B36)^$G$5+Dau_vao!$B$9-Dau_vao!$B$10</f>
        <v>28233.3344439817</v>
      </c>
      <c r="D36" s="21" t="n">
        <f aca="false">SUMPRODUCT($C$17:$G$17/(1+$B36)^$C$5:$G$5)+D$35*$G$9/(1+$B36)^$G$5+Dau_vao!$B$9-Dau_vao!$B$10</f>
        <v>31449.4943773428</v>
      </c>
      <c r="E36" s="21" t="n">
        <f aca="false">SUMPRODUCT($C$17:$G$17/(1+$B36)^$C$5:$G$5)+E$35*$G$9/(1+$B36)^$G$5+Dau_vao!$B$9-Dau_vao!$B$10</f>
        <v>34665.6543107039</v>
      </c>
      <c r="F36" s="21" t="n">
        <f aca="false">SUMPRODUCT($C$17:$G$17/(1+$B36)^$C$5:$G$5)+F$35*$G$9/(1+$B36)^$G$5+Dau_vao!$B$9-Dau_vao!$B$10</f>
        <v>37881.814244065</v>
      </c>
      <c r="G36" s="21" t="n">
        <f aca="false">SUMPRODUCT($C$17:$G$17/(1+$B36)^$C$5:$G$5)+G$35*$G$9/(1+$B36)^$G$5+Dau_vao!$B$9-Dau_vao!$B$10</f>
        <v>41097.9741774261</v>
      </c>
      <c r="H36" s="2"/>
    </row>
    <row r="37" customFormat="false" ht="15" hidden="false" customHeight="false" outlineLevel="0" collapsed="false">
      <c r="A37" s="2"/>
      <c r="B37" s="29" t="n">
        <f aca="false">Dau_vao!$B$15+(-0.025)</f>
        <v>0.425</v>
      </c>
      <c r="C37" s="21" t="n">
        <f aca="false">SUMPRODUCT($C$17:$G$17/(1+$B37)^$C$5:$G$5)+C$35*$G$9/(1+$B37)^$G$5+Dau_vao!$B$9-Dau_vao!$B$10</f>
        <v>25535.9218591646</v>
      </c>
      <c r="D37" s="21" t="n">
        <f aca="false">SUMPRODUCT($C$17:$G$17/(1+$B37)^$C$5:$G$5)+D$35*$G$9/(1+$B37)^$G$5+Dau_vao!$B$9-Dau_vao!$B$10</f>
        <v>28479.6892753929</v>
      </c>
      <c r="E37" s="21" t="n">
        <f aca="false">SUMPRODUCT($C$17:$G$17/(1+$B37)^$C$5:$G$5)+E$35*$G$9/(1+$B37)^$G$5+Dau_vao!$B$9-Dau_vao!$B$10</f>
        <v>31423.4566916212</v>
      </c>
      <c r="F37" s="21" t="n">
        <f aca="false">SUMPRODUCT($C$17:$G$17/(1+$B37)^$C$5:$G$5)+F$35*$G$9/(1+$B37)^$G$5+Dau_vao!$B$9-Dau_vao!$B$10</f>
        <v>34367.2241078496</v>
      </c>
      <c r="G37" s="21" t="n">
        <f aca="false">SUMPRODUCT($C$17:$G$17/(1+$B37)^$C$5:$G$5)+G$35*$G$9/(1+$B37)^$G$5+Dau_vao!$B$9-Dau_vao!$B$10</f>
        <v>37310.9915240779</v>
      </c>
      <c r="H37" s="2"/>
    </row>
    <row r="38" customFormat="false" ht="15" hidden="false" customHeight="false" outlineLevel="0" collapsed="false">
      <c r="A38" s="2"/>
      <c r="B38" s="29" t="n">
        <f aca="false">Dau_vao!$B$15+(0)</f>
        <v>0.45</v>
      </c>
      <c r="C38" s="21" t="n">
        <f aca="false">SUMPRODUCT($C$17:$G$17/(1+$B38)^$C$5:$G$5)+C$35*$G$9/(1+$B38)^$G$5+Dau_vao!$B$9-Dau_vao!$B$10</f>
        <v>23118.7836648254</v>
      </c>
      <c r="D38" s="21" t="n">
        <f aca="false">SUMPRODUCT($C$17:$G$17/(1+$B38)^$C$5:$G$5)+D$35*$G$9/(1+$B38)^$G$5+Dau_vao!$B$9-Dau_vao!$B$10</f>
        <v>25817.3792432594</v>
      </c>
      <c r="E38" s="30" t="n">
        <f aca="false">SUMPRODUCT($C$17:$G$17/(1+$B38)^$C$5:$G$5)+E$35*$G$9/(1+$B38)^$G$5+Dau_vao!$B$9-Dau_vao!$B$10</f>
        <v>28515.9748216933</v>
      </c>
      <c r="F38" s="21" t="n">
        <f aca="false">SUMPRODUCT($C$17:$G$17/(1+$B38)^$C$5:$G$5)+F$35*$G$9/(1+$B38)^$G$5+Dau_vao!$B$9-Dau_vao!$B$10</f>
        <v>31214.5704001273</v>
      </c>
      <c r="G38" s="21" t="n">
        <f aca="false">SUMPRODUCT($C$17:$G$17/(1+$B38)^$C$5:$G$5)+G$35*$G$9/(1+$B38)^$G$5+Dau_vao!$B$9-Dau_vao!$B$10</f>
        <v>33913.1659785612</v>
      </c>
      <c r="H38" s="2"/>
    </row>
    <row r="39" customFormat="false" ht="15" hidden="false" customHeight="false" outlineLevel="0" collapsed="false">
      <c r="A39" s="2"/>
      <c r="B39" s="29" t="n">
        <f aca="false">Dau_vao!$B$15+(0.025)</f>
        <v>0.475</v>
      </c>
      <c r="C39" s="21" t="n">
        <f aca="false">SUMPRODUCT($C$17:$G$17/(1+$B39)^$C$5:$G$5)+C$35*$G$9/(1+$B39)^$G$5+Dau_vao!$B$9-Dau_vao!$B$10</f>
        <v>20949.3426918029</v>
      </c>
      <c r="D39" s="21" t="n">
        <f aca="false">SUMPRODUCT($C$17:$G$17/(1+$B39)^$C$5:$G$5)+D$35*$G$9/(1+$B39)^$G$5+Dau_vao!$B$9-Dau_vao!$B$10</f>
        <v>23426.8658008615</v>
      </c>
      <c r="E39" s="21" t="n">
        <f aca="false">SUMPRODUCT($C$17:$G$17/(1+$B39)^$C$5:$G$5)+E$35*$G$9/(1+$B39)^$G$5+Dau_vao!$B$9-Dau_vao!$B$10</f>
        <v>25904.3889099201</v>
      </c>
      <c r="F39" s="21" t="n">
        <f aca="false">SUMPRODUCT($C$17:$G$17/(1+$B39)^$C$5:$G$5)+F$35*$G$9/(1+$B39)^$G$5+Dau_vao!$B$9-Dau_vao!$B$10</f>
        <v>28381.9120189787</v>
      </c>
      <c r="G39" s="21" t="n">
        <f aca="false">SUMPRODUCT($C$17:$G$17/(1+$B39)^$C$5:$G$5)+G$35*$G$9/(1+$B39)^$G$5+Dau_vao!$B$9-Dau_vao!$B$10</f>
        <v>30859.4351280372</v>
      </c>
      <c r="H39" s="2"/>
    </row>
    <row r="40" customFormat="false" ht="15" hidden="false" customHeight="false" outlineLevel="0" collapsed="false">
      <c r="A40" s="2"/>
      <c r="B40" s="29" t="n">
        <f aca="false">Dau_vao!$B$15+(0.05)</f>
        <v>0.5</v>
      </c>
      <c r="C40" s="21" t="n">
        <f aca="false">SUMPRODUCT($C$17:$G$17/(1+$B40)^$C$5:$G$5)+C$35*$G$9/(1+$B40)^$G$5+Dau_vao!$B$9-Dau_vao!$B$10</f>
        <v>18999.2467911111</v>
      </c>
      <c r="D40" s="21" t="n">
        <f aca="false">SUMPRODUCT($C$17:$G$17/(1+$B40)^$C$5:$G$5)+D$35*$G$9/(1+$B40)^$G$5+Dau_vao!$B$9-Dau_vao!$B$10</f>
        <v>21277.0779022222</v>
      </c>
      <c r="E40" s="21" t="n">
        <f aca="false">SUMPRODUCT($C$17:$G$17/(1+$B40)^$C$5:$G$5)+E$35*$G$9/(1+$B40)^$G$5+Dau_vao!$B$9-Dau_vao!$B$10</f>
        <v>23554.9090133333</v>
      </c>
      <c r="F40" s="21" t="n">
        <f aca="false">SUMPRODUCT($C$17:$G$17/(1+$B40)^$C$5:$G$5)+F$35*$G$9/(1+$B40)^$G$5+Dau_vao!$B$9-Dau_vao!$B$10</f>
        <v>25832.7401244444</v>
      </c>
      <c r="G40" s="21" t="n">
        <f aca="false">SUMPRODUCT($C$17:$G$17/(1+$B40)^$C$5:$G$5)+G$35*$G$9/(1+$B40)^$G$5+Dau_vao!$B$9-Dau_vao!$B$10</f>
        <v>28110.5712355556</v>
      </c>
      <c r="H40" s="2"/>
    </row>
    <row r="41" customFormat="false" ht="15" hidden="false" customHeight="false" outlineLevel="0" collapsed="false">
      <c r="A41" s="2"/>
      <c r="B41" s="2"/>
      <c r="C41" s="2"/>
      <c r="D41" s="2"/>
      <c r="E41" s="2"/>
      <c r="F41" s="2"/>
      <c r="G41" s="2"/>
      <c r="H41" s="2"/>
    </row>
    <row r="42" customFormat="false" ht="15" hidden="false" customHeight="false" outlineLevel="0" collapsed="false">
      <c r="A42" s="4" t="s">
        <v>126</v>
      </c>
      <c r="B42" s="5"/>
      <c r="C42" s="5"/>
      <c r="D42" s="5"/>
      <c r="E42" s="5"/>
      <c r="F42" s="5"/>
      <c r="G42" s="5"/>
      <c r="H42" s="5"/>
    </row>
    <row r="43" customFormat="false" ht="15" hidden="false" customHeight="false" outlineLevel="0" collapsed="false">
      <c r="A43" s="2"/>
      <c r="B43" s="18" t="s">
        <v>127</v>
      </c>
      <c r="C43" s="29" t="n">
        <f aca="false">Dau_vao!$B$16+(-0.02)</f>
        <v>0.03</v>
      </c>
      <c r="D43" s="29" t="n">
        <f aca="false">Dau_vao!$B$16+(-0.01)</f>
        <v>0.04</v>
      </c>
      <c r="E43" s="29" t="n">
        <f aca="false">Dau_vao!$B$16+(0)</f>
        <v>0.05</v>
      </c>
      <c r="F43" s="29" t="n">
        <f aca="false">Dau_vao!$B$16+(0.01)</f>
        <v>0.06</v>
      </c>
      <c r="G43" s="29" t="n">
        <f aca="false">Dau_vao!$B$16+(0.02)</f>
        <v>0.07</v>
      </c>
      <c r="H43" s="2"/>
    </row>
    <row r="44" customFormat="false" ht="15" hidden="false" customHeight="false" outlineLevel="0" collapsed="false">
      <c r="A44" s="2"/>
      <c r="B44" s="29" t="n">
        <f aca="false">Dau_vao!$B$15+(-0.05)</f>
        <v>0.4</v>
      </c>
      <c r="C44" s="21" t="n">
        <f aca="false">SUMPRODUCT($C$17:$G$17/(1+$B44)^$C$5:$G$5)+IF($B44&gt;C$43,$G$17*(1+C$43)/($B44-C$43),0)/(1+$B44)^$G$5+Dau_vao!$B$9-Dau_vao!$B$10</f>
        <v>832.026250323629</v>
      </c>
      <c r="D44" s="21" t="n">
        <f aca="false">SUMPRODUCT($C$17:$G$17/(1+$B44)^$C$5:$G$5)+IF($B44&gt;D$43,$G$17*(1+D$43)/($B44-D$43),0)/(1+$B44)^$G$5+Dau_vao!$B$9-Dau_vao!$B$10</f>
        <v>1011.75676801333</v>
      </c>
      <c r="E44" s="21" t="n">
        <f aca="false">SUMPRODUCT($C$17:$G$17/(1+$B44)^$C$5:$G$5)+IF($B44&gt;E$43,$G$17*(1+E$43)/($B44-E$43),0)/(1+$B44)^$G$5+Dau_vao!$B$9-Dau_vao!$B$10</f>
        <v>1201.75760099959</v>
      </c>
      <c r="F44" s="21" t="n">
        <f aca="false">SUMPRODUCT($C$17:$G$17/(1+$B44)^$C$5:$G$5)+IF($B44&gt;F$43,$G$17*(1+F$43)/($B44-F$43),0)/(1+$B44)^$G$5+Dau_vao!$B$9-Dau_vao!$B$10</f>
        <v>1402.93495357327</v>
      </c>
      <c r="G44" s="21" t="n">
        <f aca="false">SUMPRODUCT($C$17:$G$17/(1+$B44)^$C$5:$G$5)+IF($B44&gt;G$43,$G$17*(1+G$43)/($B44-G$43),0)/(1+$B44)^$G$5+Dau_vao!$B$9-Dau_vao!$B$10</f>
        <v>1616.3048729696</v>
      </c>
      <c r="H44" s="2"/>
    </row>
    <row r="45" customFormat="false" ht="15" hidden="false" customHeight="false" outlineLevel="0" collapsed="false">
      <c r="A45" s="2"/>
      <c r="B45" s="29" t="n">
        <f aca="false">Dau_vao!$B$15+(-0.025)</f>
        <v>0.425</v>
      </c>
      <c r="C45" s="21" t="n">
        <f aca="false">SUMPRODUCT($C$17:$G$17/(1+$B45)^$C$5:$G$5)+IF($B45&gt;C$43,$G$17*(1+C$43)/($B45-C$43),0)/(1+$B45)^$G$5+Dau_vao!$B$9-Dau_vao!$B$10</f>
        <v>179.599204651338</v>
      </c>
      <c r="D45" s="21" t="n">
        <f aca="false">SUMPRODUCT($C$17:$G$17/(1+$B45)^$C$5:$G$5)+IF($B45&gt;D$43,$G$17*(1+D$43)/($B45-D$43),0)/(1+$B45)^$G$5+Dau_vao!$B$9-Dau_vao!$B$10</f>
        <v>326.262321498454</v>
      </c>
      <c r="E45" s="21" t="n">
        <f aca="false">SUMPRODUCT($C$17:$G$17/(1+$B45)^$C$5:$G$5)+IF($B45&gt;E$43,$G$17*(1+E$43)/($B45-E$43),0)/(1+$B45)^$G$5+Dau_vao!$B$9-Dau_vao!$B$10</f>
        <v>480.747471244082</v>
      </c>
      <c r="F45" s="21" t="n">
        <f aca="false">SUMPRODUCT($C$17:$G$17/(1+$B45)^$C$5:$G$5)+IF($B45&gt;F$43,$G$17*(1+F$43)/($B45-F$43),0)/(1+$B45)^$G$5+Dau_vao!$B$9-Dau_vao!$B$10</f>
        <v>643.697560701799</v>
      </c>
      <c r="G45" s="21" t="n">
        <f aca="false">SUMPRODUCT($C$17:$G$17/(1+$B45)^$C$5:$G$5)+IF($B45&gt;G$43,$G$17*(1+G$43)/($B45-G$43),0)/(1+$B45)^$G$5+Dau_vao!$B$9-Dau_vao!$B$10</f>
        <v>815.827936889529</v>
      </c>
      <c r="H45" s="2"/>
    </row>
    <row r="46" customFormat="false" ht="15" hidden="false" customHeight="false" outlineLevel="0" collapsed="false">
      <c r="A46" s="2"/>
      <c r="B46" s="29" t="n">
        <f aca="false">Dau_vao!$B$15+(0)</f>
        <v>0.45</v>
      </c>
      <c r="C46" s="21" t="n">
        <f aca="false">SUMPRODUCT($C$17:$G$17/(1+$B46)^$C$5:$G$5)+IF($B46&gt;C$43,$G$17*(1+C$43)/($B46-C$43),0)/(1+$B46)^$G$5+Dau_vao!$B$9-Dau_vao!$B$10</f>
        <v>-348.440724407978</v>
      </c>
      <c r="D46" s="21" t="n">
        <f aca="false">SUMPRODUCT($C$17:$G$17/(1+$B46)^$C$5:$G$5)+IF($B46&gt;D$43,$G$17*(1+D$43)/($B46-D$43),0)/(1+$B46)^$G$5+Dau_vao!$B$9-Dau_vao!$B$10</f>
        <v>-227.622336463297</v>
      </c>
      <c r="E46" s="30" t="n">
        <f aca="false">SUMPRODUCT($C$17:$G$17/(1+$B46)^$C$5:$G$5)+IF($B46&gt;E$43,$G$17*(1+E$43)/($B46-E$43),0)/(1+$B46)^$G$5+Dau_vao!$B$9-Dau_vao!$B$10</f>
        <v>-100.763029121382</v>
      </c>
      <c r="F46" s="21" t="n">
        <f aca="false">SUMPRODUCT($C$17:$G$17/(1+$B46)^$C$5:$G$5)+IF($B46&gt;F$43,$G$17*(1+F$43)/($B46-F$43),0)/(1+$B46)^$G$5+Dau_vao!$B$9-Dau_vao!$B$10</f>
        <v>32.6018837252486</v>
      </c>
      <c r="G46" s="21" t="n">
        <f aca="false">SUMPRODUCT($C$17:$G$17/(1+$B46)^$C$5:$G$5)+IF($B46&gt;G$43,$G$17*(1+G$43)/($B46-G$43),0)/(1+$B46)^$G$5+Dau_vao!$B$9-Dau_vao!$B$10</f>
        <v>172.986002511174</v>
      </c>
      <c r="H46" s="2"/>
    </row>
    <row r="47" customFormat="false" ht="15" hidden="false" customHeight="false" outlineLevel="0" collapsed="false">
      <c r="A47" s="2"/>
      <c r="B47" s="29" t="n">
        <f aca="false">Dau_vao!$B$15+(0.025)</f>
        <v>0.475</v>
      </c>
      <c r="C47" s="21" t="n">
        <f aca="false">SUMPRODUCT($C$17:$G$17/(1+$B47)^$C$5:$G$5)+IF($B47&gt;C$43,$G$17*(1+C$43)/($B47-C$43),0)/(1+$B47)^$G$5+Dau_vao!$B$9-Dau_vao!$B$10</f>
        <v>-776.903278349363</v>
      </c>
      <c r="D47" s="21" t="n">
        <f aca="false">SUMPRODUCT($C$17:$G$17/(1+$B47)^$C$5:$G$5)+IF($B47&gt;D$43,$G$17*(1+D$43)/($B47-D$43),0)/(1+$B47)^$G$5+Dau_vao!$B$9-Dau_vao!$B$10</f>
        <v>-676.529368012586</v>
      </c>
      <c r="E47" s="21" t="n">
        <f aca="false">SUMPRODUCT($C$17:$G$17/(1+$B47)^$C$5:$G$5)+IF($B47&gt;E$43,$G$17*(1+E$43)/($B47-E$43),0)/(1+$B47)^$G$5+Dau_vao!$B$9-Dau_vao!$B$10</f>
        <v>-571.431979542315</v>
      </c>
      <c r="F47" s="21" t="n">
        <f aca="false">SUMPRODUCT($C$17:$G$17/(1+$B47)^$C$5:$G$5)+IF($B47&gt;F$43,$G$17*(1+F$43)/($B47-F$43),0)/(1+$B47)^$G$5+Dau_vao!$B$9-Dau_vao!$B$10</f>
        <v>-461.269656687934</v>
      </c>
      <c r="G47" s="21" t="n">
        <f aca="false">SUMPRODUCT($C$17:$G$17/(1+$B47)^$C$5:$G$5)+IF($B47&gt;G$43,$G$17*(1+G$43)/($B47-G$43),0)/(1+$B47)^$G$5+Dau_vao!$B$9-Dau_vao!$B$10</f>
        <v>-345.667219124694</v>
      </c>
      <c r="H47" s="2"/>
    </row>
    <row r="48" customFormat="false" ht="15" hidden="false" customHeight="false" outlineLevel="0" collapsed="false">
      <c r="A48" s="2"/>
      <c r="B48" s="29" t="n">
        <f aca="false">Dau_vao!$B$15+(0.05)</f>
        <v>0.5</v>
      </c>
      <c r="C48" s="21" t="n">
        <f aca="false">SUMPRODUCT($C$17:$G$17/(1+$B48)^$C$5:$G$5)+IF($B48&gt;C$43,$G$17*(1+C$43)/($B48-C$43),0)/(1+$B48)^$G$5+Dau_vao!$B$9-Dau_vao!$B$10</f>
        <v>-1124.93998297872</v>
      </c>
      <c r="D48" s="21" t="n">
        <f aca="false">SUMPRODUCT($C$17:$G$17/(1+$B48)^$C$5:$G$5)+IF($B48&gt;D$43,$G$17*(1+D$43)/($B48-D$43),0)/(1+$B48)^$G$5+Dau_vao!$B$9-Dau_vao!$B$10</f>
        <v>-1040.91325217391</v>
      </c>
      <c r="E48" s="21" t="n">
        <f aca="false">SUMPRODUCT($C$17:$G$17/(1+$B48)^$C$5:$G$5)+IF($B48&gt;E$43,$G$17*(1+E$43)/($B48-E$43),0)/(1+$B48)^$G$5+Dau_vao!$B$9-Dau_vao!$B$10</f>
        <v>-953.152000000001</v>
      </c>
      <c r="F48" s="21" t="n">
        <f aca="false">SUMPRODUCT($C$17:$G$17/(1+$B48)^$C$5:$G$5)+IF($B48&gt;F$43,$G$17*(1+F$43)/($B48-F$43),0)/(1+$B48)^$G$5+Dau_vao!$B$9-Dau_vao!$B$10</f>
        <v>-861.401600000001</v>
      </c>
      <c r="G48" s="21" t="n">
        <f aca="false">SUMPRODUCT($C$17:$G$17/(1+$B48)^$C$5:$G$5)+IF($B48&gt;G$43,$G$17*(1+G$43)/($B48-G$43),0)/(1+$B48)^$G$5+Dau_vao!$B$9-Dau_vao!$B$10</f>
        <v>-765.383739534884</v>
      </c>
      <c r="H48" s="2"/>
    </row>
    <row r="49" customFormat="false" ht="15" hidden="false" customHeight="false" outlineLevel="0" collapsed="false">
      <c r="A49" s="2"/>
      <c r="B49" s="2"/>
      <c r="C49" s="2"/>
      <c r="D49" s="2"/>
      <c r="E49" s="2"/>
      <c r="F49" s="2"/>
      <c r="G49" s="2"/>
      <c r="H49" s="2"/>
    </row>
    <row r="50" customFormat="false" ht="15" hidden="false" customHeight="false" outlineLevel="0" collapsed="false">
      <c r="A50" s="3" t="s">
        <v>128</v>
      </c>
      <c r="B50" s="2"/>
      <c r="C50" s="2"/>
      <c r="D50" s="2"/>
      <c r="E50" s="2"/>
      <c r="F50" s="2"/>
      <c r="G50" s="2"/>
      <c r="H5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4" min="3" style="0" width="14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1" t="s">
        <v>129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130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15" t="s">
        <v>131</v>
      </c>
      <c r="B4" s="15" t="s">
        <v>132</v>
      </c>
      <c r="C4" s="15" t="s">
        <v>133</v>
      </c>
      <c r="D4" s="15" t="s">
        <v>134</v>
      </c>
      <c r="E4" s="15" t="s">
        <v>135</v>
      </c>
    </row>
    <row r="5" customFormat="false" ht="15" hidden="false" customHeight="false" outlineLevel="0" collapsed="false">
      <c r="A5" s="6" t="s">
        <v>136</v>
      </c>
      <c r="B5" s="6" t="s">
        <v>137</v>
      </c>
      <c r="C5" s="13" t="n">
        <v>2.5</v>
      </c>
      <c r="D5" s="6" t="s">
        <v>138</v>
      </c>
      <c r="E5" s="6" t="s">
        <v>139</v>
      </c>
    </row>
    <row r="6" customFormat="false" ht="15" hidden="false" customHeight="false" outlineLevel="0" collapsed="false">
      <c r="A6" s="6" t="s">
        <v>140</v>
      </c>
      <c r="B6" s="6" t="s">
        <v>137</v>
      </c>
      <c r="C6" s="13" t="n">
        <v>3.2</v>
      </c>
      <c r="D6" s="6" t="s">
        <v>138</v>
      </c>
      <c r="E6" s="6" t="s">
        <v>139</v>
      </c>
    </row>
    <row r="7" customFormat="false" ht="15" hidden="false" customHeight="false" outlineLevel="0" collapsed="false">
      <c r="A7" s="6" t="s">
        <v>141</v>
      </c>
      <c r="B7" s="6" t="s">
        <v>142</v>
      </c>
      <c r="C7" s="13" t="n">
        <v>4</v>
      </c>
      <c r="D7" s="6" t="s">
        <v>138</v>
      </c>
      <c r="E7" s="6" t="s">
        <v>139</v>
      </c>
    </row>
    <row r="8" customFormat="false" ht="15" hidden="false" customHeight="false" outlineLevel="0" collapsed="false">
      <c r="A8" s="6" t="s">
        <v>143</v>
      </c>
      <c r="B8" s="6" t="s">
        <v>144</v>
      </c>
      <c r="C8" s="13" t="n">
        <v>1.8</v>
      </c>
      <c r="D8" s="6" t="s">
        <v>138</v>
      </c>
      <c r="E8" s="6" t="s">
        <v>139</v>
      </c>
    </row>
    <row r="9" customFormat="false" ht="15" hidden="false" customHeight="false" outlineLevel="0" collapsed="false">
      <c r="A9" s="6" t="s">
        <v>145</v>
      </c>
      <c r="B9" s="6" t="s">
        <v>142</v>
      </c>
      <c r="C9" s="13" t="n">
        <v>5.5</v>
      </c>
      <c r="D9" s="6" t="s">
        <v>138</v>
      </c>
      <c r="E9" s="6" t="s">
        <v>139</v>
      </c>
    </row>
    <row r="10" customFormat="false" ht="15" hidden="false" customHeight="false" outlineLevel="0" collapsed="false">
      <c r="A10" s="2"/>
      <c r="B10" s="2"/>
      <c r="C10" s="2"/>
      <c r="D10" s="2"/>
      <c r="E10" s="2"/>
    </row>
    <row r="11" customFormat="false" ht="15" hidden="false" customHeight="false" outlineLevel="0" collapsed="false">
      <c r="A11" s="4" t="s">
        <v>146</v>
      </c>
      <c r="B11" s="5"/>
      <c r="C11" s="5"/>
      <c r="D11" s="5"/>
      <c r="E11" s="5"/>
    </row>
    <row r="12" customFormat="false" ht="15" hidden="false" customHeight="false" outlineLevel="0" collapsed="false">
      <c r="A12" s="2" t="s">
        <v>147</v>
      </c>
      <c r="B12" s="2"/>
      <c r="C12" s="24" t="n">
        <f aca="false">QUARTILE(C5:C9,1)</f>
        <v>2.5</v>
      </c>
      <c r="D12" s="2"/>
      <c r="E12" s="2"/>
    </row>
    <row r="13" customFormat="false" ht="15" hidden="false" customHeight="false" outlineLevel="0" collapsed="false">
      <c r="A13" s="2" t="s">
        <v>148</v>
      </c>
      <c r="B13" s="2"/>
      <c r="C13" s="24" t="n">
        <f aca="false">MEDIAN(C5:C9)</f>
        <v>3.2</v>
      </c>
      <c r="D13" s="2"/>
      <c r="E13" s="3" t="s">
        <v>149</v>
      </c>
    </row>
    <row r="14" customFormat="false" ht="15" hidden="false" customHeight="false" outlineLevel="0" collapsed="false">
      <c r="A14" s="2" t="s">
        <v>150</v>
      </c>
      <c r="B14" s="2"/>
      <c r="C14" s="24" t="n">
        <f aca="false">QUARTILE(C5:C9,3)</f>
        <v>4</v>
      </c>
      <c r="D14" s="2"/>
      <c r="E14" s="2"/>
    </row>
    <row r="15" customFormat="false" ht="15" hidden="false" customHeight="false" outlineLevel="0" collapsed="false">
      <c r="A15" s="2"/>
      <c r="B15" s="2"/>
      <c r="C15" s="2"/>
      <c r="D15" s="2"/>
      <c r="E15" s="2"/>
    </row>
    <row r="16" customFormat="false" ht="15" hidden="false" customHeight="false" outlineLevel="0" collapsed="false">
      <c r="A16" s="4" t="s">
        <v>151</v>
      </c>
      <c r="B16" s="5"/>
      <c r="C16" s="5"/>
      <c r="D16" s="5"/>
      <c r="E16" s="5"/>
    </row>
    <row r="17" customFormat="false" ht="15" hidden="false" customHeight="false" outlineLevel="0" collapsed="false">
      <c r="A17" s="15"/>
      <c r="B17" s="15" t="s">
        <v>152</v>
      </c>
      <c r="C17" s="15" t="s">
        <v>153</v>
      </c>
      <c r="D17" s="15" t="s">
        <v>154</v>
      </c>
      <c r="E17" s="2"/>
    </row>
    <row r="18" customFormat="false" ht="15" hidden="false" customHeight="false" outlineLevel="0" collapsed="false">
      <c r="A18" s="2" t="s">
        <v>155</v>
      </c>
      <c r="B18" s="19" t="n">
        <f aca="false">Dau_vao!$B$13</f>
        <v>6000</v>
      </c>
      <c r="C18" s="19" t="n">
        <f aca="false">Dau_vao!$B$13</f>
        <v>6000</v>
      </c>
      <c r="D18" s="19" t="n">
        <f aca="false">Dau_vao!$B$13</f>
        <v>6000</v>
      </c>
      <c r="E18" s="2"/>
    </row>
    <row r="19" customFormat="false" ht="15" hidden="false" customHeight="false" outlineLevel="0" collapsed="false">
      <c r="A19" s="2" t="s">
        <v>156</v>
      </c>
      <c r="B19" s="24" t="n">
        <f aca="false">$C$12</f>
        <v>2.5</v>
      </c>
      <c r="C19" s="24" t="n">
        <f aca="false">$C$13</f>
        <v>3.2</v>
      </c>
      <c r="D19" s="24" t="n">
        <f aca="false">$C$14</f>
        <v>4</v>
      </c>
      <c r="E19" s="2"/>
    </row>
    <row r="20" customFormat="false" ht="15" hidden="false" customHeight="false" outlineLevel="0" collapsed="false">
      <c r="A20" s="2" t="s">
        <v>157</v>
      </c>
      <c r="B20" s="17" t="n">
        <f aca="false">Dau_vao!$B$28</f>
        <v>0.3</v>
      </c>
      <c r="C20" s="17" t="n">
        <f aca="false">Dau_vao!$B$28</f>
        <v>0.3</v>
      </c>
      <c r="D20" s="17" t="n">
        <f aca="false">Dau_vao!$B$28</f>
        <v>0.3</v>
      </c>
      <c r="E20" s="2"/>
    </row>
    <row r="21" customFormat="false" ht="15" hidden="false" customHeight="false" outlineLevel="0" collapsed="false">
      <c r="A21" s="2" t="s">
        <v>118</v>
      </c>
      <c r="B21" s="21" t="n">
        <f aca="false">B18*B19*(1-B20)</f>
        <v>10500</v>
      </c>
      <c r="C21" s="21" t="n">
        <f aca="false">C18*C19*(1-C20)</f>
        <v>13440</v>
      </c>
      <c r="D21" s="21" t="n">
        <f aca="false">D18*D19*(1-D20)</f>
        <v>16800</v>
      </c>
      <c r="E21" s="2"/>
    </row>
    <row r="22" customFormat="false" ht="15" hidden="false" customHeight="false" outlineLevel="0" collapsed="false">
      <c r="A22" s="2" t="s">
        <v>158</v>
      </c>
      <c r="B22" s="19" t="n">
        <f aca="false">Dau_vao!$B$9-Dau_vao!$B$10</f>
        <v>2000</v>
      </c>
      <c r="C22" s="19" t="n">
        <f aca="false">Dau_vao!$B$9-Dau_vao!$B$10</f>
        <v>2000</v>
      </c>
      <c r="D22" s="19" t="n">
        <f aca="false">Dau_vao!$B$9-Dau_vao!$B$10</f>
        <v>2000</v>
      </c>
      <c r="E22" s="2"/>
    </row>
    <row r="23" customFormat="false" ht="15" hidden="false" customHeight="false" outlineLevel="0" collapsed="false">
      <c r="A23" s="26" t="s">
        <v>159</v>
      </c>
      <c r="B23" s="22" t="n">
        <f aca="false">B21+B22</f>
        <v>12500</v>
      </c>
      <c r="C23" s="22" t="n">
        <f aca="false">C21+C22</f>
        <v>15440</v>
      </c>
      <c r="D23" s="22" t="n">
        <f aca="false">D21+D22</f>
        <v>18800</v>
      </c>
      <c r="E23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44"/>
  </cols>
  <sheetData>
    <row r="1" customFormat="false" ht="17.35" hidden="false" customHeight="false" outlineLevel="0" collapsed="false">
      <c r="A1" s="1" t="s">
        <v>160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161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15"/>
      <c r="B4" s="15" t="s">
        <v>152</v>
      </c>
      <c r="C4" s="15" t="s">
        <v>153</v>
      </c>
      <c r="D4" s="15" t="s">
        <v>154</v>
      </c>
      <c r="E4" s="15" t="s">
        <v>162</v>
      </c>
    </row>
    <row r="5" customFormat="false" ht="15" hidden="false" customHeight="false" outlineLevel="0" collapsed="false">
      <c r="A5" s="2" t="s">
        <v>163</v>
      </c>
      <c r="B5" s="19" t="n">
        <f aca="false">DCF!$G$7</f>
        <v>69189.12</v>
      </c>
      <c r="C5" s="19" t="n">
        <f aca="false">DCF!$G$7</f>
        <v>69189.12</v>
      </c>
      <c r="D5" s="19" t="n">
        <f aca="false">DCF!$G$7</f>
        <v>69189.12</v>
      </c>
      <c r="E5" s="3"/>
    </row>
    <row r="6" customFormat="false" ht="15" hidden="false" customHeight="false" outlineLevel="0" collapsed="false">
      <c r="A6" s="2" t="s">
        <v>164</v>
      </c>
      <c r="B6" s="31" t="n">
        <f aca="false">Dau_vao!$B$29</f>
        <v>3</v>
      </c>
      <c r="C6" s="31" t="n">
        <f aca="false">Dau_vao!$B$29</f>
        <v>3</v>
      </c>
      <c r="D6" s="31" t="n">
        <f aca="false">Dau_vao!$B$29</f>
        <v>3</v>
      </c>
      <c r="E6" s="3"/>
    </row>
    <row r="7" customFormat="false" ht="15" hidden="false" customHeight="false" outlineLevel="0" collapsed="false">
      <c r="A7" s="2" t="s">
        <v>165</v>
      </c>
      <c r="B7" s="21" t="n">
        <f aca="false">B5*B6</f>
        <v>207567.36</v>
      </c>
      <c r="C7" s="21" t="n">
        <f aca="false">C5*C6</f>
        <v>207567.36</v>
      </c>
      <c r="D7" s="21" t="n">
        <f aca="false">D5*D6</f>
        <v>207567.36</v>
      </c>
      <c r="E7" s="3"/>
    </row>
    <row r="8" customFormat="false" ht="15" hidden="false" customHeight="false" outlineLevel="0" collapsed="false">
      <c r="A8" s="2" t="s">
        <v>166</v>
      </c>
      <c r="B8" s="25" t="n">
        <f aca="false">1-Dau_vao!$B$30</f>
        <v>0.7</v>
      </c>
      <c r="C8" s="25" t="n">
        <f aca="false">1-Dau_vao!$B$30</f>
        <v>0.7</v>
      </c>
      <c r="D8" s="25" t="n">
        <f aca="false">1-Dau_vao!$B$30</f>
        <v>0.7</v>
      </c>
      <c r="E8" s="3" t="s">
        <v>167</v>
      </c>
    </row>
    <row r="9" customFormat="false" ht="15" hidden="false" customHeight="false" outlineLevel="0" collapsed="false">
      <c r="A9" s="2" t="s">
        <v>168</v>
      </c>
      <c r="B9" s="31" t="n">
        <f aca="false">Dau_vao!$B$31</f>
        <v>15</v>
      </c>
      <c r="C9" s="31" t="n">
        <f aca="false">Dau_vao!$B$32</f>
        <v>10</v>
      </c>
      <c r="D9" s="31" t="n">
        <f aca="false">Dau_vao!$B$33</f>
        <v>7</v>
      </c>
      <c r="E9" s="3" t="s">
        <v>169</v>
      </c>
    </row>
    <row r="10" customFormat="false" ht="15" hidden="false" customHeight="false" outlineLevel="0" collapsed="false">
      <c r="A10" s="2" t="s">
        <v>170</v>
      </c>
      <c r="B10" s="21" t="n">
        <f aca="false">B7*B8/B9</f>
        <v>9686.4768</v>
      </c>
      <c r="C10" s="21" t="n">
        <f aca="false">C7*C8/C9</f>
        <v>14529.7152</v>
      </c>
      <c r="D10" s="21" t="n">
        <f aca="false">D7*D8/D9</f>
        <v>20756.736</v>
      </c>
      <c r="E10" s="3" t="s">
        <v>171</v>
      </c>
    </row>
    <row r="11" customFormat="false" ht="15" hidden="false" customHeight="false" outlineLevel="0" collapsed="false">
      <c r="A11" s="2" t="s">
        <v>172</v>
      </c>
      <c r="B11" s="19" t="n">
        <f aca="false">-Dau_vao!$B$8</f>
        <v>-4000</v>
      </c>
      <c r="C11" s="19" t="n">
        <f aca="false">-Dau_vao!$B$8</f>
        <v>-4000</v>
      </c>
      <c r="D11" s="19" t="n">
        <f aca="false">-Dau_vao!$B$8</f>
        <v>-4000</v>
      </c>
      <c r="E11" s="3"/>
    </row>
    <row r="12" customFormat="false" ht="15" hidden="false" customHeight="false" outlineLevel="0" collapsed="false">
      <c r="A12" s="26" t="s">
        <v>173</v>
      </c>
      <c r="B12" s="27" t="n">
        <f aca="false">B10+B11</f>
        <v>5686.4768</v>
      </c>
      <c r="C12" s="27" t="n">
        <f aca="false">C10+C11</f>
        <v>10529.7152</v>
      </c>
      <c r="D12" s="27" t="n">
        <f aca="false">D10+D11</f>
        <v>16756.736</v>
      </c>
      <c r="E12" s="3"/>
    </row>
    <row r="13" customFormat="false" ht="15" hidden="false" customHeight="false" outlineLevel="0" collapsed="false">
      <c r="A13" s="2" t="s">
        <v>174</v>
      </c>
      <c r="B13" s="25" t="n">
        <f aca="false">IFERROR(Dau_vao!$B$8/B10,0)</f>
        <v>0.41294684151827</v>
      </c>
      <c r="C13" s="25" t="n">
        <f aca="false">IFERROR(Dau_vao!$B$8/C10,0)</f>
        <v>0.275297894345513</v>
      </c>
      <c r="D13" s="25" t="n">
        <f aca="false">IFERROR(Dau_vao!$B$8/D10,0)</f>
        <v>0.192708526041859</v>
      </c>
      <c r="E13" s="3"/>
    </row>
    <row r="14" customFormat="false" ht="15" hidden="false" customHeight="false" outlineLevel="0" collapsed="false">
      <c r="A14" s="2" t="s">
        <v>175</v>
      </c>
      <c r="B14" s="25" t="n">
        <f aca="false">B9^(1/DCF!$G$5)-1</f>
        <v>0.718771927587479</v>
      </c>
      <c r="C14" s="25" t="n">
        <f aca="false">C9^(1/DCF!$G$5)-1</f>
        <v>0.584893192461114</v>
      </c>
      <c r="D14" s="25" t="n">
        <f aca="false">D9^(1/DCF!$G$5)-1</f>
        <v>0.475773161594552</v>
      </c>
      <c r="E14" s="3" t="s">
        <v>176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  <col collapsed="false" customWidth="true" hidden="false" outlineLevel="0" max="5" min="5" style="0" width="48"/>
  </cols>
  <sheetData>
    <row r="1" customFormat="false" ht="17.35" hidden="false" customHeight="false" outlineLevel="0" collapsed="false">
      <c r="A1" s="1" t="s">
        <v>177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178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2" t="s">
        <v>179</v>
      </c>
      <c r="B4" s="2"/>
      <c r="C4" s="11" t="n">
        <v>20000</v>
      </c>
      <c r="D4" s="2"/>
      <c r="E4" s="3" t="s">
        <v>180</v>
      </c>
    </row>
    <row r="5" customFormat="false" ht="15" hidden="false" customHeight="false" outlineLevel="0" collapsed="false">
      <c r="A5" s="2"/>
      <c r="B5" s="2"/>
      <c r="C5" s="2"/>
      <c r="D5" s="2"/>
      <c r="E5" s="2"/>
    </row>
    <row r="6" customFormat="false" ht="23.85" hidden="false" customHeight="false" outlineLevel="0" collapsed="false">
      <c r="A6" s="15" t="s">
        <v>181</v>
      </c>
      <c r="B6" s="15" t="s">
        <v>182</v>
      </c>
      <c r="C6" s="15" t="s">
        <v>183</v>
      </c>
      <c r="D6" s="15" t="s">
        <v>184</v>
      </c>
      <c r="E6" s="15" t="s">
        <v>185</v>
      </c>
    </row>
    <row r="7" customFormat="false" ht="15" hidden="false" customHeight="false" outlineLevel="0" collapsed="false">
      <c r="A7" s="2" t="s">
        <v>186</v>
      </c>
      <c r="B7" s="12" t="n">
        <v>0.3</v>
      </c>
      <c r="C7" s="32" t="n">
        <v>1.25</v>
      </c>
      <c r="D7" s="25" t="n">
        <f aca="false">B7*C7</f>
        <v>0.375</v>
      </c>
      <c r="E7" s="3" t="s">
        <v>187</v>
      </c>
    </row>
    <row r="8" customFormat="false" ht="15" hidden="false" customHeight="false" outlineLevel="0" collapsed="false">
      <c r="A8" s="2" t="s">
        <v>188</v>
      </c>
      <c r="B8" s="12" t="n">
        <v>0.25</v>
      </c>
      <c r="C8" s="32" t="n">
        <v>1.5</v>
      </c>
      <c r="D8" s="25" t="n">
        <f aca="false">B8*C8</f>
        <v>0.375</v>
      </c>
      <c r="E8" s="3"/>
    </row>
    <row r="9" customFormat="false" ht="15" hidden="false" customHeight="false" outlineLevel="0" collapsed="false">
      <c r="A9" s="2" t="s">
        <v>189</v>
      </c>
      <c r="B9" s="12" t="n">
        <v>0.15</v>
      </c>
      <c r="C9" s="32" t="n">
        <v>1</v>
      </c>
      <c r="D9" s="25" t="n">
        <f aca="false">B9*C9</f>
        <v>0.15</v>
      </c>
      <c r="E9" s="3"/>
    </row>
    <row r="10" customFormat="false" ht="15" hidden="false" customHeight="false" outlineLevel="0" collapsed="false">
      <c r="A10" s="2" t="s">
        <v>190</v>
      </c>
      <c r="B10" s="12" t="n">
        <v>0.1</v>
      </c>
      <c r="C10" s="32" t="n">
        <v>0.75</v>
      </c>
      <c r="D10" s="25" t="n">
        <f aca="false">B10*C10</f>
        <v>0.075</v>
      </c>
      <c r="E10" s="3" t="s">
        <v>191</v>
      </c>
    </row>
    <row r="11" customFormat="false" ht="15" hidden="false" customHeight="false" outlineLevel="0" collapsed="false">
      <c r="A11" s="2" t="s">
        <v>192</v>
      </c>
      <c r="B11" s="12" t="n">
        <v>0.1</v>
      </c>
      <c r="C11" s="32" t="n">
        <v>1</v>
      </c>
      <c r="D11" s="25" t="n">
        <f aca="false">B11*C11</f>
        <v>0.1</v>
      </c>
      <c r="E11" s="3"/>
    </row>
    <row r="12" customFormat="false" ht="15" hidden="false" customHeight="false" outlineLevel="0" collapsed="false">
      <c r="A12" s="2" t="s">
        <v>193</v>
      </c>
      <c r="B12" s="12" t="n">
        <v>0.05</v>
      </c>
      <c r="C12" s="32" t="n">
        <v>1</v>
      </c>
      <c r="D12" s="25" t="n">
        <f aca="false">B12*C12</f>
        <v>0.05</v>
      </c>
      <c r="E12" s="3"/>
    </row>
    <row r="13" customFormat="false" ht="15" hidden="false" customHeight="false" outlineLevel="0" collapsed="false">
      <c r="A13" s="2" t="s">
        <v>194</v>
      </c>
      <c r="B13" s="12" t="n">
        <v>0.05</v>
      </c>
      <c r="C13" s="32" t="n">
        <v>1</v>
      </c>
      <c r="D13" s="25" t="n">
        <f aca="false">B13*C13</f>
        <v>0.05</v>
      </c>
      <c r="E13" s="3"/>
    </row>
    <row r="14" customFormat="false" ht="15" hidden="false" customHeight="false" outlineLevel="0" collapsed="false">
      <c r="A14" s="18" t="s">
        <v>195</v>
      </c>
      <c r="B14" s="29" t="n">
        <f aca="false">SUM(B7:B13)</f>
        <v>1</v>
      </c>
      <c r="C14" s="2"/>
      <c r="D14" s="29" t="n">
        <f aca="false">SUM(D7:D13)</f>
        <v>1.175</v>
      </c>
      <c r="E14" s="2" t="str">
        <f aca="false">IF(ABS(B14-1)&lt;0.0001,"Trọng số đủ 100%","LỖI: trọng số phải cộng đủ 100%")</f>
        <v>Trọng số đủ 100%</v>
      </c>
    </row>
    <row r="15" customFormat="false" ht="15" hidden="false" customHeight="false" outlineLevel="0" collapsed="false">
      <c r="A15" s="2"/>
      <c r="B15" s="2"/>
      <c r="C15" s="2"/>
      <c r="D15" s="2"/>
      <c r="E15" s="2"/>
    </row>
    <row r="16" customFormat="false" ht="15" hidden="false" customHeight="false" outlineLevel="0" collapsed="false">
      <c r="A16" s="26" t="s">
        <v>196</v>
      </c>
      <c r="B16" s="2"/>
      <c r="C16" s="33" t="n">
        <f aca="false">C4*D14</f>
        <v>23500</v>
      </c>
      <c r="D16" s="2"/>
      <c r="E16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0"/>
    <col collapsed="false" customWidth="true" hidden="false" outlineLevel="0" max="4" min="3" style="0" width="14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1" t="s">
        <v>197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198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2" t="s">
        <v>199</v>
      </c>
      <c r="B4" s="2"/>
      <c r="C4" s="11" t="n">
        <v>4000</v>
      </c>
      <c r="D4" s="2"/>
      <c r="E4" s="3" t="s">
        <v>200</v>
      </c>
    </row>
    <row r="5" customFormat="false" ht="15" hidden="false" customHeight="false" outlineLevel="0" collapsed="false">
      <c r="A5" s="2"/>
      <c r="B5" s="2"/>
      <c r="C5" s="2"/>
      <c r="D5" s="2"/>
      <c r="E5" s="2"/>
    </row>
    <row r="6" customFormat="false" ht="23.85" hidden="false" customHeight="false" outlineLevel="0" collapsed="false">
      <c r="A6" s="15" t="s">
        <v>201</v>
      </c>
      <c r="B6" s="15" t="s">
        <v>202</v>
      </c>
      <c r="C6" s="15" t="s">
        <v>203</v>
      </c>
      <c r="D6" s="15" t="s">
        <v>204</v>
      </c>
      <c r="E6" s="2"/>
    </row>
    <row r="7" customFormat="false" ht="15" hidden="false" customHeight="false" outlineLevel="0" collapsed="false">
      <c r="A7" s="2" t="s">
        <v>205</v>
      </c>
      <c r="B7" s="2" t="s">
        <v>206</v>
      </c>
      <c r="C7" s="32" t="n">
        <v>0.75</v>
      </c>
      <c r="D7" s="21" t="n">
        <f aca="false">$C$4*MIN(1,MAX(0,C7))</f>
        <v>3000</v>
      </c>
      <c r="E7" s="2"/>
    </row>
    <row r="8" customFormat="false" ht="15" hidden="false" customHeight="false" outlineLevel="0" collapsed="false">
      <c r="A8" s="2" t="s">
        <v>207</v>
      </c>
      <c r="B8" s="2" t="s">
        <v>208</v>
      </c>
      <c r="C8" s="32" t="n">
        <v>1</v>
      </c>
      <c r="D8" s="21" t="n">
        <f aca="false">$C$4*MIN(1,MAX(0,C8))</f>
        <v>4000</v>
      </c>
      <c r="E8" s="2"/>
    </row>
    <row r="9" customFormat="false" ht="15" hidden="false" customHeight="false" outlineLevel="0" collapsed="false">
      <c r="A9" s="2" t="s">
        <v>209</v>
      </c>
      <c r="B9" s="2" t="s">
        <v>210</v>
      </c>
      <c r="C9" s="32" t="n">
        <v>0.75</v>
      </c>
      <c r="D9" s="21" t="n">
        <f aca="false">$C$4*MIN(1,MAX(0,C9))</f>
        <v>3000</v>
      </c>
      <c r="E9" s="2"/>
    </row>
    <row r="10" customFormat="false" ht="15" hidden="false" customHeight="false" outlineLevel="0" collapsed="false">
      <c r="A10" s="2" t="s">
        <v>211</v>
      </c>
      <c r="B10" s="2" t="s">
        <v>212</v>
      </c>
      <c r="C10" s="32" t="n">
        <v>0.5</v>
      </c>
      <c r="D10" s="21" t="n">
        <f aca="false">$C$4*MIN(1,MAX(0,C10))</f>
        <v>2000</v>
      </c>
      <c r="E10" s="2"/>
    </row>
    <row r="11" customFormat="false" ht="15" hidden="false" customHeight="false" outlineLevel="0" collapsed="false">
      <c r="A11" s="2" t="s">
        <v>213</v>
      </c>
      <c r="B11" s="2" t="s">
        <v>214</v>
      </c>
      <c r="C11" s="32" t="n">
        <v>1</v>
      </c>
      <c r="D11" s="21" t="n">
        <f aca="false">$C$4*MIN(1,MAX(0,C11))</f>
        <v>4000</v>
      </c>
      <c r="E11" s="2"/>
    </row>
    <row r="12" customFormat="false" ht="15" hidden="false" customHeight="false" outlineLevel="0" collapsed="false">
      <c r="A12" s="2"/>
      <c r="B12" s="2"/>
      <c r="C12" s="2"/>
      <c r="D12" s="2"/>
      <c r="E12" s="2"/>
    </row>
    <row r="13" customFormat="false" ht="15" hidden="false" customHeight="false" outlineLevel="0" collapsed="false">
      <c r="A13" s="26" t="s">
        <v>215</v>
      </c>
      <c r="B13" s="2"/>
      <c r="C13" s="2"/>
      <c r="D13" s="27" t="n">
        <f aca="false">SUM(D7:D11)</f>
        <v>16000</v>
      </c>
      <c r="E13" s="2"/>
    </row>
    <row r="14" customFormat="false" ht="15" hidden="false" customHeight="false" outlineLevel="0" collapsed="false">
      <c r="A14" s="2"/>
      <c r="B14" s="2"/>
      <c r="C14" s="2"/>
      <c r="D14" s="2"/>
      <c r="E14" s="2"/>
    </row>
    <row r="15" customFormat="false" ht="15" hidden="false" customHeight="false" outlineLevel="0" collapsed="false">
      <c r="A15" s="3" t="s">
        <v>216</v>
      </c>
      <c r="B15" s="2"/>
      <c r="C15" s="2"/>
      <c r="D15" s="2"/>
      <c r="E15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13"/>
    <col collapsed="false" customWidth="true" hidden="false" outlineLevel="0" max="7" min="7" style="0" width="3"/>
    <col collapsed="false" customWidth="true" hidden="false" outlineLevel="0" max="9" min="8" style="0" width="11"/>
  </cols>
  <sheetData>
    <row r="1" customFormat="false" ht="17.35" hidden="false" customHeight="false" outlineLevel="0" collapsed="false">
      <c r="A1" s="1" t="s">
        <v>217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218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23.85" hidden="false" customHeight="false" outlineLevel="0" collapsed="false">
      <c r="A4" s="15" t="s">
        <v>219</v>
      </c>
      <c r="B4" s="15" t="s">
        <v>152</v>
      </c>
      <c r="C4" s="15" t="s">
        <v>153</v>
      </c>
      <c r="D4" s="15" t="s">
        <v>154</v>
      </c>
      <c r="E4" s="15" t="s">
        <v>182</v>
      </c>
      <c r="F4" s="15" t="s">
        <v>220</v>
      </c>
      <c r="G4" s="2"/>
      <c r="H4" s="15" t="s">
        <v>221</v>
      </c>
      <c r="I4" s="15" t="s">
        <v>222</v>
      </c>
    </row>
    <row r="5" customFormat="false" ht="15" hidden="false" customHeight="false" outlineLevel="0" collapsed="false">
      <c r="A5" s="2" t="s">
        <v>223</v>
      </c>
      <c r="B5" s="19" t="n">
        <f aca="false">IF(Dau_vao!$B$18=1,MIN(DCF!D45:F47),MIN(DCF!D37:F39))</f>
        <v>23426.8658008615</v>
      </c>
      <c r="C5" s="19" t="n">
        <f aca="false">DCF!C32</f>
        <v>28515.9748216933</v>
      </c>
      <c r="D5" s="19" t="n">
        <f aca="false">IF(Dau_vao!$B$18=1,MAX(DCF!D45:F47),MAX(DCF!D37:F39))</f>
        <v>34367.2241078496</v>
      </c>
      <c r="E5" s="32" t="n">
        <v>0.2</v>
      </c>
      <c r="F5" s="21" t="n">
        <f aca="false">C5*E5</f>
        <v>5703.19496433867</v>
      </c>
      <c r="G5" s="2"/>
      <c r="H5" s="21" t="n">
        <f aca="false">MIN(B5,D5)</f>
        <v>23426.8658008615</v>
      </c>
      <c r="I5" s="21" t="n">
        <f aca="false">MAX(B5,D5)-MIN(B5,D5)</f>
        <v>10940.3583069881</v>
      </c>
    </row>
    <row r="6" customFormat="false" ht="15" hidden="false" customHeight="false" outlineLevel="0" collapsed="false">
      <c r="A6" s="2" t="s">
        <v>224</v>
      </c>
      <c r="B6" s="19" t="n">
        <f aca="false">So_sanh!B23</f>
        <v>12500</v>
      </c>
      <c r="C6" s="19" t="n">
        <f aca="false">So_sanh!C23</f>
        <v>15440</v>
      </c>
      <c r="D6" s="19" t="n">
        <f aca="false">So_sanh!D23</f>
        <v>18800</v>
      </c>
      <c r="E6" s="32" t="n">
        <v>0.3</v>
      </c>
      <c r="F6" s="21" t="n">
        <f aca="false">C6*E6</f>
        <v>4632</v>
      </c>
      <c r="G6" s="2"/>
      <c r="H6" s="21" t="n">
        <f aca="false">MIN(B6,D6)</f>
        <v>12500</v>
      </c>
      <c r="I6" s="21" t="n">
        <f aca="false">MAX(B6,D6)-MIN(B6,D6)</f>
        <v>6300</v>
      </c>
    </row>
    <row r="7" customFormat="false" ht="15" hidden="false" customHeight="false" outlineLevel="0" collapsed="false">
      <c r="A7" s="2" t="s">
        <v>225</v>
      </c>
      <c r="B7" s="19" t="n">
        <f aca="false">PP_VC!B12</f>
        <v>5686.4768</v>
      </c>
      <c r="C7" s="19" t="n">
        <f aca="false">PP_VC!C12</f>
        <v>10529.7152</v>
      </c>
      <c r="D7" s="19" t="n">
        <f aca="false">PP_VC!D12</f>
        <v>16756.736</v>
      </c>
      <c r="E7" s="32" t="n">
        <v>0.4</v>
      </c>
      <c r="F7" s="21" t="n">
        <f aca="false">C7*E7</f>
        <v>4211.88608</v>
      </c>
      <c r="G7" s="2"/>
      <c r="H7" s="21" t="n">
        <f aca="false">MIN(B7,D7)</f>
        <v>5686.4768</v>
      </c>
      <c r="I7" s="21" t="n">
        <f aca="false">MAX(B7,D7)-MIN(B7,D7)</f>
        <v>11070.2592</v>
      </c>
    </row>
    <row r="8" customFormat="false" ht="15" hidden="false" customHeight="false" outlineLevel="0" collapsed="false">
      <c r="A8" s="2" t="s">
        <v>226</v>
      </c>
      <c r="B8" s="19" t="n">
        <f aca="false">Scorecard!C16*(1-Dau_vao!$B$34)</f>
        <v>19975</v>
      </c>
      <c r="C8" s="19" t="n">
        <f aca="false">Scorecard!C16</f>
        <v>23500</v>
      </c>
      <c r="D8" s="19" t="n">
        <f aca="false">Scorecard!C16*(1+Dau_vao!$B$34)</f>
        <v>27025</v>
      </c>
      <c r="E8" s="32" t="n">
        <v>0.1</v>
      </c>
      <c r="F8" s="21" t="n">
        <f aca="false">C8*E8</f>
        <v>2350</v>
      </c>
      <c r="G8" s="2"/>
      <c r="H8" s="21" t="n">
        <f aca="false">MIN(B8,D8)</f>
        <v>19975</v>
      </c>
      <c r="I8" s="21" t="n">
        <f aca="false">MAX(B8,D8)-MIN(B8,D8)</f>
        <v>7050</v>
      </c>
    </row>
    <row r="9" customFormat="false" ht="15" hidden="false" customHeight="false" outlineLevel="0" collapsed="false">
      <c r="A9" s="2" t="s">
        <v>227</v>
      </c>
      <c r="B9" s="19" t="n">
        <f aca="false">Berkus!D13*(1-Dau_vao!$B$34)</f>
        <v>13600</v>
      </c>
      <c r="C9" s="19" t="n">
        <f aca="false">Berkus!D13</f>
        <v>16000</v>
      </c>
      <c r="D9" s="19" t="n">
        <f aca="false">Berkus!D13*(1+Dau_vao!$B$34)</f>
        <v>18400</v>
      </c>
      <c r="E9" s="32" t="n">
        <v>0</v>
      </c>
      <c r="F9" s="21" t="n">
        <f aca="false">C9*E9</f>
        <v>0</v>
      </c>
      <c r="G9" s="2"/>
      <c r="H9" s="21" t="n">
        <f aca="false">MIN(B9,D9)</f>
        <v>13600</v>
      </c>
      <c r="I9" s="21" t="n">
        <f aca="false">MAX(B9,D9)-MIN(B9,D9)</f>
        <v>4800</v>
      </c>
    </row>
    <row r="10" customFormat="false" ht="15" hidden="false" customHeight="false" outlineLevel="0" collapsed="false">
      <c r="A10" s="18" t="s">
        <v>195</v>
      </c>
      <c r="B10" s="2"/>
      <c r="C10" s="2"/>
      <c r="D10" s="2"/>
      <c r="E10" s="34" t="n">
        <f aca="false">SUM(E5:E9)</f>
        <v>1</v>
      </c>
      <c r="F10" s="20" t="n">
        <f aca="false">SUM(F5:F9)</f>
        <v>16897.0810443387</v>
      </c>
      <c r="G10" s="2"/>
      <c r="H10" s="2"/>
      <c r="I10" s="2"/>
    </row>
    <row r="11" customFormat="false" ht="1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</row>
    <row r="12" customFormat="false" ht="15" hidden="false" customHeight="false" outlineLevel="0" collapsed="false">
      <c r="A12" s="4" t="s">
        <v>228</v>
      </c>
      <c r="B12" s="5"/>
      <c r="C12" s="5"/>
      <c r="D12" s="5"/>
      <c r="E12" s="5"/>
      <c r="F12" s="5"/>
      <c r="G12" s="2"/>
      <c r="H12" s="2"/>
      <c r="I12" s="2"/>
    </row>
    <row r="13" customFormat="false" ht="15" hidden="false" customHeight="false" outlineLevel="0" collapsed="false">
      <c r="A13" s="26" t="s">
        <v>229</v>
      </c>
      <c r="B13" s="2"/>
      <c r="C13" s="33" t="n">
        <f aca="false">IFERROR(F10/E10,0)</f>
        <v>16897.0810443387</v>
      </c>
      <c r="D13" s="2"/>
      <c r="E13" s="2"/>
      <c r="F13" s="2"/>
      <c r="G13" s="2"/>
      <c r="H13" s="2"/>
      <c r="I13" s="2"/>
    </row>
    <row r="14" customFormat="false" ht="15" hidden="false" customHeight="false" outlineLevel="0" collapsed="false">
      <c r="A14" s="2" t="s">
        <v>230</v>
      </c>
      <c r="B14" s="2"/>
      <c r="C14" s="19" t="n">
        <f aca="false">Dau_vao!$B$8</f>
        <v>4000</v>
      </c>
      <c r="D14" s="2"/>
      <c r="E14" s="2"/>
      <c r="F14" s="2"/>
      <c r="G14" s="2"/>
      <c r="H14" s="2"/>
      <c r="I14" s="2"/>
    </row>
    <row r="15" customFormat="false" ht="15" hidden="false" customHeight="false" outlineLevel="0" collapsed="false">
      <c r="A15" s="2" t="s">
        <v>231</v>
      </c>
      <c r="B15" s="2"/>
      <c r="C15" s="21" t="n">
        <f aca="false">C13+C14</f>
        <v>20897.0810443387</v>
      </c>
      <c r="D15" s="2"/>
      <c r="E15" s="2"/>
      <c r="F15" s="2"/>
      <c r="G15" s="2"/>
      <c r="H15" s="2"/>
      <c r="I15" s="2"/>
    </row>
    <row r="16" customFormat="false" ht="15" hidden="false" customHeight="false" outlineLevel="0" collapsed="false">
      <c r="A16" s="2" t="s">
        <v>232</v>
      </c>
      <c r="B16" s="2"/>
      <c r="C16" s="29" t="n">
        <f aca="false">IFERROR(C14/C15,0)</f>
        <v>0.191414293293544</v>
      </c>
      <c r="D16" s="2"/>
      <c r="E16" s="2"/>
      <c r="F16" s="2"/>
      <c r="G16" s="2"/>
      <c r="H16" s="2"/>
      <c r="I16" s="2"/>
    </row>
    <row r="17" customFormat="false" ht="15" hidden="false" customHeight="false" outlineLevel="0" collapsed="false">
      <c r="A17" s="2" t="s">
        <v>233</v>
      </c>
      <c r="B17" s="2"/>
      <c r="C17" s="25" t="n">
        <f aca="false">1-C16</f>
        <v>0.808585706706456</v>
      </c>
      <c r="D17" s="2"/>
      <c r="E17" s="2"/>
      <c r="F17" s="2"/>
      <c r="G17" s="2"/>
      <c r="H17" s="2"/>
      <c r="I17" s="2"/>
    </row>
    <row r="18" customFormat="false" ht="15" hidden="false" customHeight="false" outlineLevel="0" collapsed="false">
      <c r="A18" s="2"/>
      <c r="B18" s="2"/>
      <c r="C18" s="2"/>
      <c r="D18" s="2"/>
      <c r="E18" s="2"/>
      <c r="F18" s="2"/>
      <c r="G18" s="2"/>
      <c r="H18" s="2"/>
      <c r="I18" s="2"/>
    </row>
    <row r="19" customFormat="false" ht="15" hidden="false" customHeight="false" outlineLevel="0" collapsed="false">
      <c r="A19" s="4" t="s">
        <v>234</v>
      </c>
      <c r="B19" s="5"/>
      <c r="C19" s="5"/>
      <c r="D19" s="5"/>
      <c r="E19" s="5"/>
      <c r="F19" s="5"/>
      <c r="G19" s="2"/>
      <c r="H19" s="2"/>
      <c r="I19" s="2"/>
    </row>
    <row r="20" customFormat="false" ht="15" hidden="false" customHeight="false" outlineLevel="0" collapsed="false">
      <c r="A20" s="2" t="s">
        <v>235</v>
      </c>
      <c r="B20" s="2"/>
      <c r="C20" s="35" t="str">
        <f aca="false">IF(ABS(E10-1)&lt;0.0001,"Đạt","Kiểm tra lại trọng số")</f>
        <v>Đạt</v>
      </c>
      <c r="D20" s="2"/>
      <c r="E20" s="2"/>
      <c r="F20" s="2"/>
      <c r="G20" s="2"/>
      <c r="H20" s="2"/>
      <c r="I20" s="2"/>
    </row>
    <row r="21" customFormat="false" ht="15" hidden="false" customHeight="false" outlineLevel="0" collapsed="false">
      <c r="A21" s="2" t="s">
        <v>236</v>
      </c>
      <c r="B21" s="2"/>
      <c r="C21" s="35" t="str">
        <f aca="false">IF(ABS(Scorecard!B14-1)&lt;0.0001,"Đạt","Kiểm tra tab Scorecard")</f>
        <v>Đạt</v>
      </c>
      <c r="D21" s="2"/>
      <c r="E21" s="2"/>
      <c r="F21" s="2"/>
      <c r="G21" s="2"/>
      <c r="H21" s="2"/>
      <c r="I21" s="2"/>
    </row>
    <row r="22" customFormat="false" ht="15" hidden="false" customHeight="false" outlineLevel="0" collapsed="false">
      <c r="A22" s="2" t="s">
        <v>237</v>
      </c>
      <c r="B22" s="2"/>
      <c r="C22" s="35" t="str">
        <f aca="false">IF(Dau_vao!$B$15&gt;Dau_vao!$B$16,"Đạt","LỖI: công thức Gordon không dùng được")</f>
        <v>Đạt</v>
      </c>
      <c r="D22" s="2"/>
      <c r="E22" s="2"/>
      <c r="F22" s="2"/>
      <c r="G22" s="2"/>
      <c r="H22" s="2"/>
      <c r="I22" s="2"/>
    </row>
    <row r="23" customFormat="false" ht="15" hidden="false" customHeight="false" outlineLevel="0" collapsed="false">
      <c r="A23" s="2" t="s">
        <v>238</v>
      </c>
      <c r="B23" s="2"/>
      <c r="C23" s="24" t="n">
        <f aca="false">IFERROR(MAX(C5:C8)/MIN(C5:C8),0)</f>
        <v>2.70814302951834</v>
      </c>
      <c r="D23" s="3" t="s">
        <v>239</v>
      </c>
      <c r="E23" s="2"/>
      <c r="F23" s="2"/>
      <c r="G23" s="2"/>
      <c r="H23" s="2"/>
      <c r="I23" s="2"/>
    </row>
    <row r="24" customFormat="false" ht="15" hidden="false" customHeight="false" outlineLevel="0" collapsed="false">
      <c r="A24" s="2" t="s">
        <v>240</v>
      </c>
      <c r="B24" s="2"/>
      <c r="C24" s="35" t="str">
        <f aca="false">IF(AND(C16&gt;=0.1,C16&lt;=0.3),"Đạt","Ngoài khoảng thường gặp ở vòng hạt giống")</f>
        <v>Đạt</v>
      </c>
      <c r="D24" s="2"/>
      <c r="E24" s="2"/>
      <c r="F24" s="2"/>
      <c r="G24" s="2"/>
      <c r="H24" s="2"/>
      <c r="I24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2026-09-19T13:41:07Z</dcterms:created>
  <dc:creator>openpyxl</dc:creator>
  <dc:description/>
  <dc:language>en-US</dc:language>
  <cp:lastModifiedBy/>
  <dcterms:modified xsi:type="dcterms:W3CDTF">2026-09-19T13:41:08Z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