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xl/_rels/workbook.xml.rels" ContentType="application/vnd.openxmlformats-package.relationship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_rels/sheet8.xml.rels" ContentType="application/vnd.openxmlformats-package.relationships+xml"/>
  <Override PartName="/xl/worksheets/sheet8.xml" ContentType="application/vnd.openxmlformats-officedocument.spreadsheetml.worksheet+xml"/>
  <Override PartName="/xl/sharedStrings.xml" ContentType="application/vnd.openxmlformats-officedocument.spreadsheetml.sharedStrings+xml"/>
  <Override PartName="/xl/drawings/_rels/drawing1.xml.rels" ContentType="application/vnd.openxmlformats-package.relationship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_rels/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Guide" sheetId="1" state="visible" r:id="rId3"/>
    <sheet name="Inputs" sheetId="2" state="visible" r:id="rId4"/>
    <sheet name="DCF" sheetId="3" state="visible" r:id="rId5"/>
    <sheet name="Comps" sheetId="4" state="visible" r:id="rId6"/>
    <sheet name="VC_Method" sheetId="5" state="visible" r:id="rId7"/>
    <sheet name="Scorecard" sheetId="6" state="visible" r:id="rId8"/>
    <sheet name="Berkus" sheetId="7" state="visible" r:id="rId9"/>
    <sheet name="Summary" sheetId="8" state="visible" r:id="rId10"/>
  </sheet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<sst xmlns="http://schemas.openxmlformats.org/spreadsheetml/2006/main" count="267" uniqueCount="240">
  <si>
    <t xml:space="preserve">Startup valuation template — DCF plus 4 cross-check methods</t>
  </si>
  <si>
    <t xml:space="preserve">fundraising.vn · Version 1 · Figures are illustrative</t>
  </si>
  <si>
    <t xml:space="preserve">Colour legend</t>
  </si>
  <si>
    <t xml:space="preserve">Blue on yellow</t>
  </si>
  <si>
    <t xml:space="preserve">Input cells — edit only these</t>
  </si>
  <si>
    <t xml:space="preserve">Green</t>
  </si>
  <si>
    <t xml:space="preserve">Linked from another tab</t>
  </si>
  <si>
    <t xml:space="preserve">Black</t>
  </si>
  <si>
    <t xml:space="preserve">Formulas — do not edit</t>
  </si>
  <si>
    <t xml:space="preserve">Steps</t>
  </si>
  <si>
    <t xml:space="preserve">1. Inputs</t>
  </si>
  <si>
    <t xml:space="preserve">Fill in round size, cash, debt, LTM revenue and 5-year growth and EBITDA margin. Reuse your 36-month model if you have one.</t>
  </si>
  <si>
    <t xml:space="preserve">2. DCF</t>
  </si>
  <si>
    <t xml:space="preserve">Review DCF equity value and sensitivity tables; watch the terminal-value share.</t>
  </si>
  <si>
    <t xml:space="preserve">3. Comps</t>
  </si>
  <si>
    <t xml:space="preserve">Replace the 5 illustrative rows with real peers and cite sources.</t>
  </si>
  <si>
    <t xml:space="preserve">4. VC_Method</t>
  </si>
  <si>
    <t xml:space="preserve">Adjust exit multiple, dilution and target return.</t>
  </si>
  <si>
    <t xml:space="preserve">5. Scorecard / Berkus</t>
  </si>
  <si>
    <t xml:space="preserve">Score these if pre-revenue or very early revenue.</t>
  </si>
  <si>
    <t xml:space="preserve">6. Summary</t>
  </si>
  <si>
    <t xml:space="preserve">Set method weights for your stage; read proposed pre-money, ownership and checks.</t>
  </si>
  <si>
    <t xml:space="preserve">Which method for which stage</t>
  </si>
  <si>
    <t xml:space="preserve">Idea, no product</t>
  </si>
  <si>
    <t xml:space="preserve">Berkus, Scorecard. DCF is not meaningful.</t>
  </si>
  <si>
    <t xml:space="preserve">Pre-seed, product, small revenue</t>
  </si>
  <si>
    <t xml:space="preserve">Scorecard, VC method; compare with same-stage deals.</t>
  </si>
  <si>
    <t xml:space="preserve">Seed, growing revenue</t>
  </si>
  <si>
    <t xml:space="preserve">VC method and comparables first; DCF to sanity-check the plan.</t>
  </si>
  <si>
    <t xml:space="preserve">Series A+, stable gross margin</t>
  </si>
  <si>
    <t xml:space="preserve">Comparables and DCF carry more weight.</t>
  </si>
  <si>
    <t xml:space="preserve">Limitations</t>
  </si>
  <si>
    <t xml:space="preserve">End-year discounting</t>
  </si>
  <si>
    <t xml:space="preserve">Cash flows discounted at year end (no mid-year convention).</t>
  </si>
  <si>
    <t xml:space="preserve">Tax</t>
  </si>
  <si>
    <t xml:space="preserve">No loss carry-forward or tax incentives.</t>
  </si>
  <si>
    <t xml:space="preserve">Valuation is negotiated</t>
  </si>
  <si>
    <t xml:space="preserve">Output is an anchor for negotiation, not a price. Not investment advice.</t>
  </si>
  <si>
    <t xml:space="preserve">Shared inputs</t>
  </si>
  <si>
    <t xml:space="preserve">Edit only blue-on-yellow cells. Figures are illustrative, not market data.</t>
  </si>
  <si>
    <t xml:space="preserve">General</t>
  </si>
  <si>
    <t xml:space="preserve">Company name</t>
  </si>
  <si>
    <t xml:space="preserve">Example SaaS Co.</t>
  </si>
  <si>
    <t xml:space="preserve">Currency unit</t>
  </si>
  <si>
    <t xml:space="preserve">VND million</t>
  </si>
  <si>
    <t xml:space="preserve">All amounts use this unit</t>
  </si>
  <si>
    <t xml:space="preserve">Valuation date</t>
  </si>
  <si>
    <t xml:space="preserve">Amount raised this round</t>
  </si>
  <si>
    <t xml:space="preserve">Example: seed round</t>
  </si>
  <si>
    <t xml:space="preserve">Cash on hand (pre-round)</t>
  </si>
  <si>
    <t xml:space="preserve">Debt</t>
  </si>
  <si>
    <t xml:space="preserve">Bank loans and shareholder loans</t>
  </si>
  <si>
    <t xml:space="preserve">DCF — discounted cash flow</t>
  </si>
  <si>
    <t xml:space="preserve">Last-12-month revenue (LTM)</t>
  </si>
  <si>
    <t xml:space="preserve">Corporate income tax rate</t>
  </si>
  <si>
    <t xml:space="preserve">Vietnam standard CIT; loss carry-forward not modelled</t>
  </si>
  <si>
    <t xml:space="preserve">Discount rate (cost of capital)</t>
  </si>
  <si>
    <t xml:space="preserve">Early-stage: typically 30–60%, higher the earlier</t>
  </si>
  <si>
    <t xml:space="preserve">Long-term growth (Gordon)</t>
  </si>
  <si>
    <t xml:space="preserve">Should not exceed long-run nominal GDP growth</t>
  </si>
  <si>
    <t xml:space="preserve">Exit multiple EV/EBITDA</t>
  </si>
  <si>
    <t xml:space="preserve">12x EBITDA at 25% margin = 3x revenue, consistent with VC method</t>
  </si>
  <si>
    <t xml:space="preserve">Terminal value method (1 = Gordon, 2 = Exit multiple)</t>
  </si>
  <si>
    <t xml:space="preserve">Use 2 if still growing fast in year 5</t>
  </si>
  <si>
    <t xml:space="preserve">D&amp;A, % of revenue</t>
  </si>
  <si>
    <t xml:space="preserve">Capex, % of revenue</t>
  </si>
  <si>
    <t xml:space="preserve">Working capital, % of revenue</t>
  </si>
  <si>
    <t xml:space="preserve">Increase each year reduces cash flow</t>
  </si>
  <si>
    <t xml:space="preserve">Projection by year</t>
  </si>
  <si>
    <t xml:space="preserve">Year 1</t>
  </si>
  <si>
    <t xml:space="preserve">Year 2</t>
  </si>
  <si>
    <t xml:space="preserve">Year 3</t>
  </si>
  <si>
    <t xml:space="preserve">Year 4</t>
  </si>
  <si>
    <t xml:space="preserve">Year 5</t>
  </si>
  <si>
    <t xml:space="preserve">Revenue growth</t>
  </si>
  <si>
    <t xml:space="preserve">Growth should taper; compare to last 12 months actuals</t>
  </si>
  <si>
    <t xml:space="preserve">EBITDA margin</t>
  </si>
  <si>
    <t xml:space="preserve">Comparables and VC method</t>
  </si>
  <si>
    <t xml:space="preserve">Private-company (illiquidity) discount</t>
  </si>
  <si>
    <t xml:space="preserve">Typically 20–40%</t>
  </si>
  <si>
    <t xml:space="preserve">Exit multiple EV/Revenue (VC method)</t>
  </si>
  <si>
    <t xml:space="preserve">Applied to DCF year-5 revenue</t>
  </si>
  <si>
    <t xml:space="preserve">Total dilution from future rounds</t>
  </si>
  <si>
    <t xml:space="preserve">e.g. 2 rounds at ~16% each → ~30%</t>
  </si>
  <si>
    <t xml:space="preserve">Investor target return multiple — low case</t>
  </si>
  <si>
    <t xml:space="preserve">Higher target → lower valuation</t>
  </si>
  <si>
    <t xml:space="preserve">Investor target return multiple — base</t>
  </si>
  <si>
    <t xml:space="preserve">Investor target return multiple — high case</t>
  </si>
  <si>
    <t xml:space="preserve">± range for Scorecard and Berkus</t>
  </si>
  <si>
    <t xml:space="preserve">Used for the summary chart</t>
  </si>
  <si>
    <t xml:space="preserve">DCF valuation — free cash flow to firm (VND million)</t>
  </si>
  <si>
    <t xml:space="preserve">This tab is all formulas; edit assumptions in Inputs.</t>
  </si>
  <si>
    <t xml:space="preserve">Line item</t>
  </si>
  <si>
    <t xml:space="preserve">Year 0 (LTM)</t>
  </si>
  <si>
    <t xml:space="preserve">Discount period (years)</t>
  </si>
  <si>
    <t xml:space="preserve">Revenue</t>
  </si>
  <si>
    <t xml:space="preserve">EBITDA</t>
  </si>
  <si>
    <t xml:space="preserve">D&amp;A</t>
  </si>
  <si>
    <t xml:space="preserve">EBIT</t>
  </si>
  <si>
    <t xml:space="preserve">Income tax (only if EBIT &gt; 0)</t>
  </si>
  <si>
    <t xml:space="preserve">Loss carry-forward not modelled</t>
  </si>
  <si>
    <t xml:space="preserve">NOPAT</t>
  </si>
  <si>
    <t xml:space="preserve">+ Add back D&amp;A</t>
  </si>
  <si>
    <t xml:space="preserve">− Capex</t>
  </si>
  <si>
    <t xml:space="preserve">− Increase in working capital</t>
  </si>
  <si>
    <t xml:space="preserve">Free cash flow (FCFF)</t>
  </si>
  <si>
    <t xml:space="preserve">Discount factor</t>
  </si>
  <si>
    <t xml:space="preserve">PV of FCFF</t>
  </si>
  <si>
    <t xml:space="preserve">From cash flow to equity value</t>
  </si>
  <si>
    <t xml:space="preserve">Sum of PV of FCFF, years 1–5</t>
  </si>
  <si>
    <t xml:space="preserve">Terminal value — Gordon (at year 5)</t>
  </si>
  <si>
    <t xml:space="preserve">FCFF5 × (1+g)/(r − g)</t>
  </si>
  <si>
    <t xml:space="preserve">Terminal value — exit multiple (at year 5)</t>
  </si>
  <si>
    <t xml:space="preserve">EBITDA5 × multiple</t>
  </si>
  <si>
    <t xml:space="preserve">EV/EBITDA implied by Gordon</t>
  </si>
  <si>
    <t xml:space="preserve">If far below market: company not yet in steady state</t>
  </si>
  <si>
    <t xml:space="preserve">Selected terminal value</t>
  </si>
  <si>
    <t xml:space="preserve">PV of terminal value</t>
  </si>
  <si>
    <t xml:space="preserve">Enterprise value (EV)</t>
  </si>
  <si>
    <t xml:space="preserve">% of EV from terminal value</t>
  </si>
  <si>
    <t xml:space="preserve">Often &gt;100% for startups (early FCF negative)</t>
  </si>
  <si>
    <t xml:space="preserve">+ Cash</t>
  </si>
  <si>
    <t xml:space="preserve">− Debt</t>
  </si>
  <si>
    <t xml:space="preserve">Equity value (DCF pre-money)</t>
  </si>
  <si>
    <t xml:space="preserve">Sensitivity 1 — equity value: discount rate (rows) × exit multiple (cols)</t>
  </si>
  <si>
    <t xml:space="preserve">r \ multiple</t>
  </si>
  <si>
    <t xml:space="preserve">Sensitivity 2 — equity value: discount rate (rows) × long-term growth (cols), Gordon</t>
  </si>
  <si>
    <t xml:space="preserve">r \ g</t>
  </si>
  <si>
    <t xml:space="preserve">Shaded centre cell = base case. Summary low–high uses the inner 3×3 block.</t>
  </si>
  <si>
    <t xml:space="preserve">Comparable companies (market multiples) — VND million</t>
  </si>
  <si>
    <t xml:space="preserve">The 5 companies below are ILLUSTRATIVE. Replace with real listed peers or disclosed deals.</t>
  </si>
  <si>
    <t xml:space="preserve">Company / deal</t>
  </si>
  <si>
    <t xml:space="preserve">Type</t>
  </si>
  <si>
    <t xml:space="preserve">EV / Revenue</t>
  </si>
  <si>
    <t xml:space="preserve">Year</t>
  </si>
  <si>
    <t xml:space="preserve">Source</t>
  </si>
  <si>
    <t xml:space="preserve">Company A (illustrative)</t>
  </si>
  <si>
    <t xml:space="preserve">Listed, regional</t>
  </si>
  <si>
    <t xml:space="preserve">2026</t>
  </si>
  <si>
    <t xml:space="preserve">Cite source when replacing</t>
  </si>
  <si>
    <t xml:space="preserve">Company B (illustrative)</t>
  </si>
  <si>
    <t xml:space="preserve">Company C (illustrative)</t>
  </si>
  <si>
    <t xml:space="preserve">Funding round</t>
  </si>
  <si>
    <t xml:space="preserve">Company D (illustrative)</t>
  </si>
  <si>
    <t xml:space="preserve">M&amp;A deal</t>
  </si>
  <si>
    <t xml:space="preserve">Company E (illustrative)</t>
  </si>
  <si>
    <t xml:space="preserve">Multiple statistics</t>
  </si>
  <si>
    <t xml:space="preserve">1st quartile (low)</t>
  </si>
  <si>
    <t xml:space="preserve">Median (base)</t>
  </si>
  <si>
    <t xml:space="preserve">Median resists outliers</t>
  </si>
  <si>
    <t xml:space="preserve">3rd quartile (high)</t>
  </si>
  <si>
    <t xml:space="preserve">Apply to the company</t>
  </si>
  <si>
    <t xml:space="preserve">Low</t>
  </si>
  <si>
    <t xml:space="preserve">Base</t>
  </si>
  <si>
    <t xml:space="preserve">High</t>
  </si>
  <si>
    <t xml:space="preserve">LTM revenue</t>
  </si>
  <si>
    <t xml:space="preserve">EV / Revenue multiple</t>
  </si>
  <si>
    <t xml:space="preserve">Illiquidity discount</t>
  </si>
  <si>
    <t xml:space="preserve">+ Cash − Debt</t>
  </si>
  <si>
    <t xml:space="preserve">Equity value (pre-money)</t>
  </si>
  <si>
    <t xml:space="preserve">VC method — working back from exit value (VND million)</t>
  </si>
  <si>
    <t xml:space="preserve">What is the company worth at exit, and what entry price delivers the target return?</t>
  </si>
  <si>
    <t xml:space="preserve">Note</t>
  </si>
  <si>
    <t xml:space="preserve">Exit-year revenue (DCF year 5)</t>
  </si>
  <si>
    <t xml:space="preserve">Exit multiple EV / Revenue</t>
  </si>
  <si>
    <t xml:space="preserve">Exit value</t>
  </si>
  <si>
    <t xml:space="preserve">Investor ownership retained after dilution</t>
  </si>
  <si>
    <t xml:space="preserve">Later rounds shrink today's stake</t>
  </si>
  <si>
    <t xml:space="preserve">Investor target return multiple</t>
  </si>
  <si>
    <t xml:space="preserve">Low case = investor demands more</t>
  </si>
  <si>
    <t xml:space="preserve">Post-money value today</t>
  </si>
  <si>
    <t xml:space="preserve">Exit value × retained ÷ target multiple</t>
  </si>
  <si>
    <t xml:space="preserve">− Amount raised</t>
  </si>
  <si>
    <t xml:space="preserve">Pre-money value</t>
  </si>
  <si>
    <t xml:space="preserve">Investor ownership at close</t>
  </si>
  <si>
    <t xml:space="preserve">Equivalent IRR (5 years)</t>
  </si>
  <si>
    <t xml:space="preserve">Compare with DCF discount rate</t>
  </si>
  <si>
    <t xml:space="preserve">Scorecard method (Bill Payne) — VND million</t>
  </si>
  <si>
    <t xml:space="preserve">For pre-revenue startups: adjust the average local pre-money by weighted factors.</t>
  </si>
  <si>
    <t xml:space="preserve">Average pre-money of comparable local deals (same stage)</t>
  </si>
  <si>
    <t xml:space="preserve">Illustrative — replace with deal data you collect</t>
  </si>
  <si>
    <t xml:space="preserve">Factor</t>
  </si>
  <si>
    <t xml:space="preserve">Weight</t>
  </si>
  <si>
    <t xml:space="preserve">Vs. average</t>
  </si>
  <si>
    <t xml:space="preserve">Weighted</t>
  </si>
  <si>
    <t xml:space="preserve">How to score</t>
  </si>
  <si>
    <t xml:space="preserve">Founding &amp; management team</t>
  </si>
  <si>
    <t xml:space="preserve">100% = average; 150% = much stronger</t>
  </si>
  <si>
    <t xml:space="preserve">Market size</t>
  </si>
  <si>
    <t xml:space="preserve">Product / technology</t>
  </si>
  <si>
    <t xml:space="preserve">Competitive environment</t>
  </si>
  <si>
    <t xml:space="preserve">Tougher than average → below 100%</t>
  </si>
  <si>
    <t xml:space="preserve">Marketing, sales channels, partnerships</t>
  </si>
  <si>
    <t xml:space="preserve">Need for additional funding</t>
  </si>
  <si>
    <t xml:space="preserve">Other</t>
  </si>
  <si>
    <t xml:space="preserve">Total</t>
  </si>
  <si>
    <t xml:space="preserve">Scorecard pre-money</t>
  </si>
  <si>
    <t xml:space="preserve">Berkus method — VND million</t>
  </si>
  <si>
    <t xml:space="preserve">Pre-revenue: each risk-reducing element adds up to a cap.</t>
  </si>
  <si>
    <t xml:space="preserve">Cap per element</t>
  </si>
  <si>
    <t xml:space="preserve">Berkus's original cap: USD 500k</t>
  </si>
  <si>
    <t xml:space="preserve">Element</t>
  </si>
  <si>
    <t xml:space="preserve">Risk reduced</t>
  </si>
  <si>
    <t xml:space="preserve">Achieved</t>
  </si>
  <si>
    <t xml:space="preserve">Value added</t>
  </si>
  <si>
    <t xml:space="preserve">Sound idea (basic value)</t>
  </si>
  <si>
    <t xml:space="preserve">Product risk</t>
  </si>
  <si>
    <t xml:space="preserve">Prototype</t>
  </si>
  <si>
    <t xml:space="preserve">Technology risk</t>
  </si>
  <si>
    <t xml:space="preserve">Quality management team</t>
  </si>
  <si>
    <t xml:space="preserve">Execution risk</t>
  </si>
  <si>
    <t xml:space="preserve">Strategic relationships</t>
  </si>
  <si>
    <t xml:space="preserve">Market risk</t>
  </si>
  <si>
    <t xml:space="preserve">Product rollout or sales</t>
  </si>
  <si>
    <t xml:space="preserve">Production risk</t>
  </si>
  <si>
    <t xml:space="preserve">Berkus pre-money</t>
  </si>
  <si>
    <t xml:space="preserve">Note: less meaningful once revenue exists; weighted 0% in this example.</t>
  </si>
  <si>
    <t xml:space="preserve">Pre-money valuation summary (VND million)</t>
  </si>
  <si>
    <t xml:space="preserve">Each method gives a range; weights reflect fit with the company's stage.</t>
  </si>
  <si>
    <t xml:space="preserve">Method</t>
  </si>
  <si>
    <t xml:space="preserve">Chart: start</t>
  </si>
  <si>
    <t xml:space="preserve">width</t>
  </si>
  <si>
    <t xml:space="preserve">DCF</t>
  </si>
  <si>
    <t xml:space="preserve">Comparables</t>
  </si>
  <si>
    <t xml:space="preserve">VC method</t>
  </si>
  <si>
    <t xml:space="preserve">Scorecard</t>
  </si>
  <si>
    <t xml:space="preserve">Berkus</t>
  </si>
  <si>
    <t xml:space="preserve">Proposed round terms</t>
  </si>
  <si>
    <t xml:space="preserve">Weighted pre-money</t>
  </si>
  <si>
    <t xml:space="preserve">Amount raised</t>
  </si>
  <si>
    <t xml:space="preserve">Post-money</t>
  </si>
  <si>
    <t xml:space="preserve">New investor ownership</t>
  </si>
  <si>
    <t xml:space="preserve">Founders &amp; existing holders retain</t>
  </si>
  <si>
    <t xml:space="preserve">Checks</t>
  </si>
  <si>
    <t xml:space="preserve">Method weights sum to 100%</t>
  </si>
  <si>
    <t xml:space="preserve">Scorecard weights sum to 100%</t>
  </si>
  <si>
    <t xml:space="preserve">Discount rate above long-term growth</t>
  </si>
  <si>
    <t xml:space="preserve">Spread between highest and lowest base value</t>
  </si>
  <si>
    <t xml:space="preserve">Above ~3x: revisit the outlier's assumptions</t>
  </si>
  <si>
    <t xml:space="preserve">New investor stake within 10–30%</t>
  </si>
</sst>
</file>

<file path=xl/styles.xml><?xml version="1.0" encoding="utf-8"?>
<styleSheet xmlns="http://schemas.openxmlformats.org/spreadsheetml/2006/main">
  <numFmts count="9">
    <numFmt numFmtId="164" formatCode="General"/>
    <numFmt numFmtId="165" formatCode="dd/mm/yyyy"/>
    <numFmt numFmtId="166" formatCode="#,##0;\(#,##0\);\-"/>
    <numFmt numFmtId="167" formatCode="0.0%;\(0.0%\);\-"/>
    <numFmt numFmtId="168" formatCode="0.0\x"/>
    <numFmt numFmtId="169" formatCode="0"/>
    <numFmt numFmtId="170" formatCode="0.000"/>
    <numFmt numFmtId="171" formatCode="0%"/>
    <numFmt numFmtId="172" formatCode="#,##0"/>
  </numFmts>
  <fonts count="15">
    <font>
      <sz val="11"/>
      <color theme="1"/>
      <name val="Calibri"/>
      <family val="2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b val="true"/>
      <sz val="14"/>
      <color rgb="FF17304F"/>
      <name val="Arial"/>
      <family val="0"/>
      <charset val="1"/>
    </font>
    <font>
      <sz val="11"/>
      <color theme="1"/>
      <name val="Arial"/>
      <family val="0"/>
      <charset val="1"/>
    </font>
    <font>
      <i val="true"/>
      <sz val="10"/>
      <color rgb="FF666666"/>
      <name val="Arial"/>
      <family val="0"/>
      <charset val="1"/>
    </font>
    <font>
      <b val="true"/>
      <sz val="10"/>
      <color rgb="FF17304F"/>
      <name val="Arial"/>
      <family val="0"/>
      <charset val="1"/>
    </font>
    <font>
      <sz val="10"/>
      <color rgb="FF0000FF"/>
      <name val="Arial"/>
      <family val="0"/>
      <charset val="1"/>
    </font>
    <font>
      <sz val="10"/>
      <color rgb="FF008000"/>
      <name val="Arial"/>
      <family val="0"/>
      <charset val="1"/>
    </font>
    <font>
      <b val="true"/>
      <sz val="10"/>
      <name val="Arial"/>
      <family val="0"/>
      <charset val="1"/>
    </font>
    <font>
      <sz val="10"/>
      <name val="Arial"/>
      <family val="0"/>
      <charset val="1"/>
    </font>
    <font>
      <b val="true"/>
      <sz val="10"/>
      <color rgb="FFFFFFFF"/>
      <name val="Arial"/>
      <family val="0"/>
      <charset val="1"/>
    </font>
    <font>
      <b val="true"/>
      <sz val="18"/>
      <color rgb="FF000000"/>
      <name val="Calibri"/>
      <family val="2"/>
    </font>
    <font>
      <sz val="10"/>
      <color rgb="FF000000"/>
      <name val="Calibri"/>
      <family val="2"/>
    </font>
  </fonts>
  <fills count="6">
    <fill>
      <patternFill patternType="none"/>
    </fill>
    <fill>
      <patternFill patternType="gray125"/>
    </fill>
    <fill>
      <patternFill patternType="solid">
        <fgColor rgb="FFEAF2FB"/>
        <bgColor rgb="FFD9E7F5"/>
      </patternFill>
    </fill>
    <fill>
      <patternFill patternType="solid">
        <fgColor rgb="FFFFF9C4"/>
        <bgColor rgb="FFFFFF99"/>
      </patternFill>
    </fill>
    <fill>
      <patternFill patternType="solid">
        <fgColor rgb="FF17304F"/>
        <bgColor rgb="FF333333"/>
      </patternFill>
    </fill>
    <fill>
      <patternFill patternType="solid">
        <fgColor rgb="FFD9E7F5"/>
        <bgColor rgb="FFEAF2FB"/>
      </patternFill>
    </fill>
  </fills>
  <borders count="2">
    <border diagonalUp="false" diagonalDown="false">
      <left/>
      <right/>
      <top/>
      <bottom/>
      <diagonal/>
    </border>
    <border diagonalUp="false" diagonalDown="false">
      <left/>
      <right/>
      <top style="thin"/>
      <bottom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36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5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6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7" fillId="2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5" fillId="2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8" fillId="3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9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10" fillId="0" borderId="0" xfId="0" applyFont="true" applyBorder="false" applyAlignment="true" applyProtection="false">
      <alignment horizontal="general" vertical="top" textRotation="0" wrapText="false" indent="0" shrinkToFit="false"/>
      <protection locked="true" hidden="false"/>
    </xf>
    <xf numFmtId="164" fontId="11" fillId="0" borderId="0" xfId="0" applyFont="true" applyBorder="false" applyAlignment="true" applyProtection="false">
      <alignment horizontal="general" vertical="top" textRotation="0" wrapText="true" indent="0" shrinkToFit="false"/>
      <protection locked="true" hidden="false"/>
    </xf>
    <xf numFmtId="165" fontId="8" fillId="3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6" fontId="8" fillId="3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7" fontId="8" fillId="3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8" fontId="8" fillId="3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9" fontId="8" fillId="3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12" fillId="4" borderId="0" xfId="0" applyFont="true" applyBorder="false" applyAlignment="true" applyProtection="false">
      <alignment horizontal="center" vertical="center" textRotation="0" wrapText="true" indent="0" shrinkToFit="false"/>
      <protection locked="true" hidden="false"/>
    </xf>
    <xf numFmtId="169" fontId="11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7" fontId="9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10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6" fontId="9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6" fontId="10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6" fontId="11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6" fontId="10" fillId="0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70" fontId="11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8" fontId="11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7" fontId="11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7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6" fontId="7" fillId="0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8" fontId="10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7" fontId="10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6" fontId="11" fillId="5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8" fontId="9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71" fontId="8" fillId="3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6" fontId="7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71" fontId="10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11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78787"/>
      <rgbColor rgb="FF9999FF"/>
      <rgbColor rgb="FF993366"/>
      <rgbColor rgb="FFFFF9C4"/>
      <rgbColor rgb="FFEAF2FB"/>
      <rgbColor rgb="FF660066"/>
      <rgbColor rgb="FFFF8080"/>
      <rgbColor rgb="FF0066CC"/>
      <rgbColor rgb="FFD9D9D9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D9E7F5"/>
      <rgbColor rgb="FFCCFFCC"/>
      <rgbColor rgb="FFFFFF99"/>
      <rgbColor rgb="FF99CCFF"/>
      <rgbColor rgb="FFFF99CC"/>
      <rgbColor rgb="FFCC99FF"/>
      <rgbColor rgb="FFFFCC99"/>
      <rgbColor rgb="FF2E6BB0"/>
      <rgbColor rgb="FF33CCCC"/>
      <rgbColor rgb="FF99CC00"/>
      <rgbColor rgb="FFFFCC00"/>
      <rgbColor rgb="FFFF9900"/>
      <rgbColor rgb="FFFF6600"/>
      <rgbColor rgb="FF666666"/>
      <rgbColor rgb="FF969696"/>
      <rgbColor rgb="FF17304F"/>
      <rgbColor rgb="FF339966"/>
      <rgbColor rgb="FF003300"/>
      <rgbColor rgb="FF333300"/>
      <rgbColor rgb="FF993300"/>
      <rgbColor rgb="FF993366"/>
      <rgbColor rgb="FF333399"/>
      <rgbColor rgb="FF333333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worksheet" Target="worksheets/sheet2.xml"/><Relationship Id="rId5" Type="http://schemas.openxmlformats.org/officeDocument/2006/relationships/worksheet" Target="worksheets/sheet3.xml"/><Relationship Id="rId6" Type="http://schemas.openxmlformats.org/officeDocument/2006/relationships/worksheet" Target="worksheets/sheet4.xml"/><Relationship Id="rId7" Type="http://schemas.openxmlformats.org/officeDocument/2006/relationships/worksheet" Target="worksheets/sheet5.xml"/><Relationship Id="rId8" Type="http://schemas.openxmlformats.org/officeDocument/2006/relationships/worksheet" Target="worksheets/sheet6.xml"/><Relationship Id="rId9" Type="http://schemas.openxmlformats.org/officeDocument/2006/relationships/worksheet" Target="worksheets/sheet7.xml"/><Relationship Id="rId10" Type="http://schemas.openxmlformats.org/officeDocument/2006/relationships/worksheet" Target="worksheets/sheet8.xml"/><Relationship Id="rId11" Type="http://schemas.openxmlformats.org/officeDocument/2006/relationships/sharedStrings" Target="sharedStrings.xml"/>
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lang val="en-US"/>
  <c:roundedCorners val="0"/>
  <c:chart>
    <c:title>
      <c:tx>
        <c:rich>
          <a:bodyPr rot="0"/>
          <a:lstStyle/>
          <a:p>
            <a:pPr>
              <a:defRPr b="1" sz="1800" spc="-1" strike="noStrike">
                <a:solidFill>
                  <a:srgbClr val="000000"/>
                </a:solidFill>
                <a:latin typeface="Calibri"/>
              </a:defRPr>
            </a:pPr>
            <a:r>
              <a:rPr b="1" sz="1800" spc="-1" strike="noStrike">
                <a:solidFill>
                  <a:srgbClr val="000000"/>
                </a:solidFill>
                <a:latin typeface="Calibri"/>
              </a:rPr>
              <a:t>Valuation ranges by method (football field)</a:t>
            </a:r>
          </a:p>
        </c:rich>
      </c:tx>
      <c:overlay val="0"/>
      <c:spPr>
        <a:noFill/>
        <a:ln w="0">
          <a:noFill/>
        </a:ln>
      </c:spPr>
    </c:title>
    <c:autoTitleDeleted val="0"/>
    <c:plotArea>
      <c:barChart>
        <c:barDir val="bar"/>
        <c:grouping val="stacked"/>
        <c:varyColors val="0"/>
        <c:ser>
          <c:idx val="0"/>
          <c:order val="0"/>
          <c:tx>
            <c:strRef>
              <c:f>Summary!H4</c:f>
              <c:strCache>
                <c:ptCount val="1"/>
                <c:pt idx="0">
                  <c:v>Chart: start</c:v>
                </c:pt>
              </c:strCache>
            </c:strRef>
          </c:tx>
          <c:spPr>
            <a:noFill/>
            <a:ln w="0">
              <a:noFill/>
            </a:ln>
          </c:spPr>
          <c:invertIfNegative val="0"/>
          <c:dLbls>
            <c:txPr>
              <a:bodyPr wrap="none"/>
              <a:lstStyle/>
              <a:p>
                <a:pPr>
                  <a:defRPr b="0" sz="1000" spc="-1" strike="noStrike">
                    <a:latin typeface="Arial"/>
                  </a:defRPr>
                </a:pPr>
              </a:p>
            </c:txPr>
            <c:showLegendKey val="0"/>
            <c:showVal val="0"/>
            <c:showCatName val="0"/>
            <c:showSerName val="0"/>
            <c:showPercent val="0"/>
            <c:separator> </c:separator>
            <c:showLeaderLines val="1"/>
            <c:extLst>
              <c:ext xmlns:c15="http://schemas.microsoft.com/office/drawing/2012/chart" uri="{CE6537A1-D6FC-4f65-9D91-7224C49458BB}">
                <c15:showLeaderLines val="1"/>
              </c:ext>
            </c:extLst>
          </c:dLbls>
          <c:cat>
            <c:strRef>
              <c:f>Summary!$A$5:$A$9</c:f>
              <c:strCache>
                <c:ptCount val="5"/>
                <c:pt idx="0">
                  <c:v>DCF</c:v>
                </c:pt>
                <c:pt idx="1">
                  <c:v>Comparables</c:v>
                </c:pt>
                <c:pt idx="2">
                  <c:v>VC method</c:v>
                </c:pt>
                <c:pt idx="3">
                  <c:v>Scorecard</c:v>
                </c:pt>
                <c:pt idx="4">
                  <c:v>Berkus</c:v>
                </c:pt>
              </c:strCache>
            </c:strRef>
          </c:cat>
          <c:val>
            <c:numRef>
              <c:f>Summary!$H$5:$H$9</c:f>
              <c:numCache>
                <c:formatCode>#,##0;\(#,##0\);\-</c:formatCode>
                <c:ptCount val="5"/>
                <c:pt idx="0">
                  <c:v>23426.8658008615</c:v>
                </c:pt>
                <c:pt idx="1">
                  <c:v>12500</c:v>
                </c:pt>
                <c:pt idx="2">
                  <c:v>5686.4768</c:v>
                </c:pt>
                <c:pt idx="3">
                  <c:v>19975</c:v>
                </c:pt>
                <c:pt idx="4">
                  <c:v>13600</c:v>
                </c:pt>
              </c:numCache>
            </c:numRef>
          </c:val>
        </c:ser>
        <c:ser>
          <c:idx val="1"/>
          <c:order val="1"/>
          <c:tx>
            <c:strRef>
              <c:f>Summary!I4</c:f>
              <c:strCache>
                <c:ptCount val="1"/>
                <c:pt idx="0">
                  <c:v>width</c:v>
                </c:pt>
              </c:strCache>
            </c:strRef>
          </c:tx>
          <c:spPr>
            <a:solidFill>
              <a:srgbClr val="2e6bb0"/>
            </a:solidFill>
            <a:ln w="0">
              <a:noFill/>
            </a:ln>
          </c:spPr>
          <c:invertIfNegative val="0"/>
          <c:dLbls>
            <c:txPr>
              <a:bodyPr wrap="none"/>
              <a:lstStyle/>
              <a:p>
                <a:pPr>
                  <a:defRPr b="0" sz="1000" spc="-1" strike="noStrike">
                    <a:latin typeface="Arial"/>
                  </a:defRPr>
                </a:pPr>
              </a:p>
            </c:txPr>
            <c:showLegendKey val="0"/>
            <c:showVal val="0"/>
            <c:showCatName val="0"/>
            <c:showSerName val="0"/>
            <c:showPercent val="0"/>
            <c:separator> </c:separator>
            <c:showLeaderLines val="1"/>
            <c:extLst>
              <c:ext xmlns:c15="http://schemas.microsoft.com/office/drawing/2012/chart" uri="{CE6537A1-D6FC-4f65-9D91-7224C49458BB}">
                <c15:showLeaderLines val="1"/>
              </c:ext>
            </c:extLst>
          </c:dLbls>
          <c:cat>
            <c:strRef>
              <c:f>Summary!$A$5:$A$9</c:f>
              <c:strCache>
                <c:ptCount val="5"/>
                <c:pt idx="0">
                  <c:v>DCF</c:v>
                </c:pt>
                <c:pt idx="1">
                  <c:v>Comparables</c:v>
                </c:pt>
                <c:pt idx="2">
                  <c:v>VC method</c:v>
                </c:pt>
                <c:pt idx="3">
                  <c:v>Scorecard</c:v>
                </c:pt>
                <c:pt idx="4">
                  <c:v>Berkus</c:v>
                </c:pt>
              </c:strCache>
            </c:strRef>
          </c:cat>
          <c:val>
            <c:numRef>
              <c:f>Summary!$I$5:$I$9</c:f>
              <c:numCache>
                <c:formatCode>#,##0;\(#,##0\);\-</c:formatCode>
                <c:ptCount val="5"/>
                <c:pt idx="0">
                  <c:v>10940.3583069881</c:v>
                </c:pt>
                <c:pt idx="1">
                  <c:v>6300</c:v>
                </c:pt>
                <c:pt idx="2">
                  <c:v>11070.2592</c:v>
                </c:pt>
                <c:pt idx="3">
                  <c:v>7050</c:v>
                </c:pt>
                <c:pt idx="4">
                  <c:v>4800</c:v>
                </c:pt>
              </c:numCache>
            </c:numRef>
          </c:val>
        </c:ser>
        <c:gapWidth val="150"/>
        <c:overlap val="100"/>
        <c:axId val="75916038"/>
        <c:axId val="11231581"/>
      </c:barChart>
      <c:catAx>
        <c:axId val="75916038"/>
        <c:scaling>
          <c:orientation val="maxMin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ln w="9360">
            <a:solidFill>
              <a:srgbClr val="878787"/>
            </a:solidFill>
            <a:round/>
          </a:ln>
        </c:spPr>
        <c:txPr>
          <a:bodyPr/>
          <a:lstStyle/>
          <a:p>
            <a:pPr>
              <a:defRPr b="0" sz="1000" spc="-1" strike="noStrike">
                <a:solidFill>
                  <a:srgbClr val="000000"/>
                </a:solidFill>
                <a:latin typeface="Calibri"/>
              </a:defRPr>
            </a:pPr>
          </a:p>
        </c:txPr>
        <c:crossAx val="11231581"/>
        <c:crosses val="autoZero"/>
        <c:auto val="1"/>
        <c:lblAlgn val="ctr"/>
        <c:lblOffset val="100"/>
        <c:noMultiLvlLbl val="0"/>
      </c:catAx>
      <c:valAx>
        <c:axId val="11231581"/>
        <c:scaling>
          <c:orientation val="minMax"/>
        </c:scaling>
        <c:delete val="0"/>
        <c:axPos val="l"/>
        <c:numFmt formatCode="#,##0" sourceLinked="0"/>
        <c:majorTickMark val="none"/>
        <c:minorTickMark val="none"/>
        <c:tickLblPos val="nextTo"/>
        <c:spPr>
          <a:ln w="9360">
            <a:solidFill>
              <a:srgbClr val="878787"/>
            </a:solidFill>
            <a:round/>
          </a:ln>
        </c:spPr>
        <c:txPr>
          <a:bodyPr/>
          <a:lstStyle/>
          <a:p>
            <a:pPr>
              <a:defRPr b="0" sz="1000" spc="-1" strike="noStrike">
                <a:solidFill>
                  <a:srgbClr val="000000"/>
                </a:solidFill>
                <a:latin typeface="Calibri"/>
              </a:defRPr>
            </a:pPr>
          </a:p>
        </c:txPr>
        <c:crossAx val="75916038"/>
        <c:crosses val="autoZero"/>
        <c:crossBetween val="between"/>
      </c:valAx>
      <c:spPr>
        <a:noFill/>
        <a:ln w="0">
          <a:noFill/>
        </a:ln>
      </c:spPr>
    </c:plotArea>
    <c:plotVisOnly val="1"/>
    <c:dispBlanksAs val="gap"/>
  </c:chart>
  <c:spPr>
    <a:solidFill>
      <a:srgbClr val="ffffff"/>
    </a:solidFill>
    <a:ln w="9360">
      <a:solidFill>
        <a:srgbClr val="d9d9d9"/>
      </a:solidFill>
      <a:round/>
    </a:ln>
  </c:spPr>
</c:chartSpace>
</file>

<file path=xl/drawings/_rels/drawing1.xml.rels><?xml version="1.0" encoding="UTF-8"?>
<Relationships xmlns="http://schemas.openxmlformats.org/package/2006/relationships"><Relationship Id="rId1" Type="http://schemas.openxmlformats.org/officeDocument/2006/relationships/chart" Target="../charts/chart1.xml"/>
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twoCellAnchor editAs="oneCell">
    <xdr:from>
      <xdr:col>0</xdr:col>
      <xdr:colOff>0</xdr:colOff>
      <xdr:row>25</xdr:row>
      <xdr:rowOff>160560</xdr:rowOff>
    </xdr:from>
    <xdr:to>
      <xdr:col>5</xdr:col>
      <xdr:colOff>417960</xdr:colOff>
      <xdr:row>40</xdr:row>
      <xdr:rowOff>182520</xdr:rowOff>
    </xdr:to>
    <xdr:graphicFrame>
      <xdr:nvGraphicFramePr>
        <xdr:cNvPr id="0" name="Chart 1"/>
        <xdr:cNvGraphicFramePr/>
      </xdr:nvGraphicFramePr>
      <xdr:xfrm>
        <a:off x="0" y="4952880"/>
        <a:ext cx="6479640" cy="287964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xmlns:r="http://schemas.openxmlformats.org/officeDocument/2006/relationships" name="Office Theme">
  <a:themeElements>
    <a:clrScheme name="Offic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itchFamily="0" charset="1"/>
        <a:ea typeface=""/>
        <a:cs typeface=""/>
      </a:majorFont>
      <a:minorFont>
        <a:latin typeface="Calibri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tint val="50000"/>
              </a:schemeClr>
            </a:gs>
            <a:gs pos="35000">
              <a:schemeClr val="phClr">
                <a:tint val="37000"/>
              </a:schemeClr>
            </a:gs>
            <a:gs pos="100000">
              <a:schemeClr val="phClr">
                <a:tint val="15000"/>
              </a:schemeClr>
            </a:gs>
          </a:gsLst>
          <a:lin ang="16200000" scaled="1"/>
          <a:tileRect l="0" t="0" r="0" b="0"/>
        </a:gradFill>
        <a:gradFill>
          <a:gsLst>
            <a:gs pos="0">
              <a:schemeClr val="phClr">
                <a:shade val="51000"/>
              </a:schemeClr>
            </a:gs>
            <a:gs pos="80000">
              <a:schemeClr val="phClr">
                <a:shade val="93000"/>
              </a:schemeClr>
            </a:gs>
            <a:gs pos="100000">
              <a:schemeClr val="phClr">
                <a:shade val="94000"/>
              </a:schemeClr>
            </a:gs>
          </a:gsLst>
          <a:lin ang="16200000" scaled="0"/>
          <a:tileRect l="0" t="0" r="0" b="0"/>
        </a:gradFill>
      </a:fillStyleLst>
      <a:lnStyleLst>
        <a:ln w="9525" cap="flat" cmpd="sng" algn="ctr">
          <a:prstDash val="solid"/>
        </a:ln>
        <a:ln w="25400" cap="flat" cmpd="sng" algn="ctr">
          <a:prstDash val="solid"/>
        </a:ln>
        <a:ln w="38100" cap="flat" cmpd="sng" algn="ctr"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</a:schemeClr>
            </a:gs>
            <a:gs pos="40000">
              <a:schemeClr val="phClr">
                <a:tint val="45000"/>
                <a:shade val="99000"/>
              </a:schemeClr>
            </a:gs>
            <a:gs pos="100000">
              <a:schemeClr val="phClr">
                <a:shade val="20000"/>
              </a:schemeClr>
            </a:gs>
          </a:gsLst>
          <a:path path="circle">
            <a:fillToRect l="50000" t="-80000" r="50000" b="180000"/>
          </a:path>
          <a:tileRect l="0" t="0" r="0" b="0"/>
        </a:gradFill>
        <a:gradFill>
          <a:gsLst>
            <a:gs pos="0">
              <a:schemeClr val="phClr">
                <a:tint val="80000"/>
              </a:schemeClr>
            </a:gs>
            <a:gs pos="100000">
              <a:schemeClr val="phClr">
                <a:shade val="30000"/>
              </a:schemeClr>
            </a:gs>
          </a:gsLst>
          <a:path path="circle">
            <a:fillToRect l="50000" t="50000" r="50000" b="50000"/>
          </a:path>
          <a:tileRect l="0" t="0" r="0" b="0"/>
        </a:gradFill>
      </a:bgFillStyleLst>
    </a:fmtScheme>
  </a:themeElements>
</a:theme>
</file>

<file path=xl/worksheets/_rels/sheet8.xml.rels><?xml version="1.0" encoding="UTF-8"?>
<Relationships xmlns="http://schemas.openxmlformats.org/package/2006/relationships"><Relationship Id="rId1" Type="http://schemas.openxmlformats.org/officeDocument/2006/relationships/drawing" Target="../drawings/drawing1.xml"/>
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B26"/>
  <sheetViews>
    <sheetView showFormulas="false" showGridLines="fals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26"/>
    <col collapsed="false" customWidth="true" hidden="false" outlineLevel="0" max="2" min="2" style="0" width="90"/>
  </cols>
  <sheetData>
    <row r="1" customFormat="false" ht="17.35" hidden="false" customHeight="false" outlineLevel="0" collapsed="false">
      <c r="A1" s="1" t="s">
        <v>0</v>
      </c>
      <c r="B1" s="2"/>
    </row>
    <row r="2" customFormat="false" ht="15" hidden="false" customHeight="false" outlineLevel="0" collapsed="false">
      <c r="A2" s="3" t="s">
        <v>1</v>
      </c>
      <c r="B2" s="2"/>
    </row>
    <row r="3" customFormat="false" ht="15" hidden="false" customHeight="false" outlineLevel="0" collapsed="false">
      <c r="A3" s="2"/>
      <c r="B3" s="2"/>
    </row>
    <row r="4" customFormat="false" ht="15" hidden="false" customHeight="false" outlineLevel="0" collapsed="false">
      <c r="A4" s="4" t="s">
        <v>2</v>
      </c>
      <c r="B4" s="5"/>
    </row>
    <row r="5" customFormat="false" ht="15" hidden="false" customHeight="false" outlineLevel="0" collapsed="false">
      <c r="A5" s="6" t="s">
        <v>3</v>
      </c>
      <c r="B5" s="2" t="s">
        <v>4</v>
      </c>
    </row>
    <row r="6" customFormat="false" ht="15" hidden="false" customHeight="false" outlineLevel="0" collapsed="false">
      <c r="A6" s="7" t="s">
        <v>5</v>
      </c>
      <c r="B6" s="2" t="s">
        <v>6</v>
      </c>
    </row>
    <row r="7" customFormat="false" ht="15" hidden="false" customHeight="false" outlineLevel="0" collapsed="false">
      <c r="A7" s="2" t="s">
        <v>7</v>
      </c>
      <c r="B7" s="2" t="s">
        <v>8</v>
      </c>
    </row>
    <row r="8" customFormat="false" ht="15" hidden="false" customHeight="false" outlineLevel="0" collapsed="false">
      <c r="A8" s="2"/>
      <c r="B8" s="2"/>
    </row>
    <row r="9" customFormat="false" ht="15" hidden="false" customHeight="false" outlineLevel="0" collapsed="false">
      <c r="A9" s="4" t="s">
        <v>9</v>
      </c>
      <c r="B9" s="5"/>
    </row>
    <row r="10" customFormat="false" ht="23.85" hidden="false" customHeight="false" outlineLevel="0" collapsed="false">
      <c r="A10" s="8" t="s">
        <v>10</v>
      </c>
      <c r="B10" s="9" t="s">
        <v>11</v>
      </c>
    </row>
    <row r="11" customFormat="false" ht="15" hidden="false" customHeight="false" outlineLevel="0" collapsed="false">
      <c r="A11" s="8" t="s">
        <v>12</v>
      </c>
      <c r="B11" s="9" t="s">
        <v>13</v>
      </c>
    </row>
    <row r="12" customFormat="false" ht="15" hidden="false" customHeight="false" outlineLevel="0" collapsed="false">
      <c r="A12" s="8" t="s">
        <v>14</v>
      </c>
      <c r="B12" s="9" t="s">
        <v>15</v>
      </c>
    </row>
    <row r="13" customFormat="false" ht="15" hidden="false" customHeight="false" outlineLevel="0" collapsed="false">
      <c r="A13" s="8" t="s">
        <v>16</v>
      </c>
      <c r="B13" s="9" t="s">
        <v>17</v>
      </c>
    </row>
    <row r="14" customFormat="false" ht="15" hidden="false" customHeight="false" outlineLevel="0" collapsed="false">
      <c r="A14" s="8" t="s">
        <v>18</v>
      </c>
      <c r="B14" s="9" t="s">
        <v>19</v>
      </c>
    </row>
    <row r="15" customFormat="false" ht="15" hidden="false" customHeight="false" outlineLevel="0" collapsed="false">
      <c r="A15" s="8" t="s">
        <v>20</v>
      </c>
      <c r="B15" s="9" t="s">
        <v>21</v>
      </c>
    </row>
    <row r="16" customFormat="false" ht="15" hidden="false" customHeight="false" outlineLevel="0" collapsed="false">
      <c r="A16" s="2"/>
      <c r="B16" s="2"/>
    </row>
    <row r="17" customFormat="false" ht="15" hidden="false" customHeight="false" outlineLevel="0" collapsed="false">
      <c r="A17" s="4" t="s">
        <v>22</v>
      </c>
      <c r="B17" s="5"/>
    </row>
    <row r="18" customFormat="false" ht="15" hidden="false" customHeight="false" outlineLevel="0" collapsed="false">
      <c r="A18" s="8" t="s">
        <v>23</v>
      </c>
      <c r="B18" s="9" t="s">
        <v>24</v>
      </c>
    </row>
    <row r="19" customFormat="false" ht="15" hidden="false" customHeight="false" outlineLevel="0" collapsed="false">
      <c r="A19" s="8" t="s">
        <v>25</v>
      </c>
      <c r="B19" s="9" t="s">
        <v>26</v>
      </c>
    </row>
    <row r="20" customFormat="false" ht="15" hidden="false" customHeight="false" outlineLevel="0" collapsed="false">
      <c r="A20" s="8" t="s">
        <v>27</v>
      </c>
      <c r="B20" s="9" t="s">
        <v>28</v>
      </c>
    </row>
    <row r="21" customFormat="false" ht="15" hidden="false" customHeight="false" outlineLevel="0" collapsed="false">
      <c r="A21" s="8" t="s">
        <v>29</v>
      </c>
      <c r="B21" s="9" t="s">
        <v>30</v>
      </c>
    </row>
    <row r="22" customFormat="false" ht="15" hidden="false" customHeight="false" outlineLevel="0" collapsed="false">
      <c r="A22" s="2"/>
      <c r="B22" s="2"/>
    </row>
    <row r="23" customFormat="false" ht="15" hidden="false" customHeight="false" outlineLevel="0" collapsed="false">
      <c r="A23" s="4" t="s">
        <v>31</v>
      </c>
      <c r="B23" s="5"/>
    </row>
    <row r="24" customFormat="false" ht="15" hidden="false" customHeight="false" outlineLevel="0" collapsed="false">
      <c r="A24" s="8" t="s">
        <v>32</v>
      </c>
      <c r="B24" s="9" t="s">
        <v>33</v>
      </c>
    </row>
    <row r="25" customFormat="false" ht="15" hidden="false" customHeight="false" outlineLevel="0" collapsed="false">
      <c r="A25" s="8" t="s">
        <v>34</v>
      </c>
      <c r="B25" s="9" t="s">
        <v>35</v>
      </c>
    </row>
    <row r="26" customFormat="false" ht="15" hidden="false" customHeight="false" outlineLevel="0" collapsed="false">
      <c r="A26" s="8" t="s">
        <v>36</v>
      </c>
      <c r="B26" s="9" t="s">
        <v>37</v>
      </c>
    </row>
  </sheetData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G34"/>
  <sheetViews>
    <sheetView showFormulas="false" showGridLines="fals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46"/>
    <col collapsed="false" customWidth="true" hidden="false" outlineLevel="0" max="2" min="2" style="0" width="16"/>
    <col collapsed="false" customWidth="true" hidden="false" outlineLevel="0" max="6" min="3" style="0" width="12"/>
    <col collapsed="false" customWidth="true" hidden="false" outlineLevel="0" max="7" min="7" style="0" width="50"/>
  </cols>
  <sheetData>
    <row r="1" customFormat="false" ht="17.35" hidden="false" customHeight="false" outlineLevel="0" collapsed="false">
      <c r="A1" s="1" t="s">
        <v>38</v>
      </c>
      <c r="B1" s="2"/>
      <c r="C1" s="2"/>
      <c r="D1" s="2"/>
      <c r="E1" s="2"/>
      <c r="F1" s="2"/>
      <c r="G1" s="2"/>
    </row>
    <row r="2" customFormat="false" ht="15" hidden="false" customHeight="false" outlineLevel="0" collapsed="false">
      <c r="A2" s="3" t="s">
        <v>39</v>
      </c>
      <c r="B2" s="2"/>
      <c r="C2" s="2"/>
      <c r="D2" s="2"/>
      <c r="E2" s="2"/>
      <c r="F2" s="2"/>
      <c r="G2" s="2"/>
    </row>
    <row r="3" customFormat="false" ht="15" hidden="false" customHeight="false" outlineLevel="0" collapsed="false">
      <c r="A3" s="2"/>
      <c r="B3" s="2"/>
      <c r="C3" s="2"/>
      <c r="D3" s="2"/>
      <c r="E3" s="2"/>
      <c r="F3" s="2"/>
      <c r="G3" s="2"/>
    </row>
    <row r="4" customFormat="false" ht="15" hidden="false" customHeight="false" outlineLevel="0" collapsed="false">
      <c r="A4" s="4" t="s">
        <v>40</v>
      </c>
      <c r="B4" s="5"/>
      <c r="C4" s="5"/>
      <c r="D4" s="5"/>
      <c r="E4" s="5"/>
      <c r="F4" s="5"/>
      <c r="G4" s="5"/>
    </row>
    <row r="5" customFormat="false" ht="15" hidden="false" customHeight="false" outlineLevel="0" collapsed="false">
      <c r="A5" s="2" t="s">
        <v>41</v>
      </c>
      <c r="B5" s="6" t="s">
        <v>42</v>
      </c>
      <c r="C5" s="2"/>
      <c r="D5" s="2"/>
      <c r="E5" s="2"/>
      <c r="F5" s="2"/>
      <c r="G5" s="3"/>
    </row>
    <row r="6" customFormat="false" ht="15" hidden="false" customHeight="false" outlineLevel="0" collapsed="false">
      <c r="A6" s="2" t="s">
        <v>43</v>
      </c>
      <c r="B6" s="6" t="s">
        <v>44</v>
      </c>
      <c r="C6" s="2"/>
      <c r="D6" s="2"/>
      <c r="E6" s="2"/>
      <c r="F6" s="2"/>
      <c r="G6" s="3" t="s">
        <v>45</v>
      </c>
    </row>
    <row r="7" customFormat="false" ht="15" hidden="false" customHeight="false" outlineLevel="0" collapsed="false">
      <c r="A7" s="2" t="s">
        <v>46</v>
      </c>
      <c r="B7" s="10" t="n">
        <v>46295</v>
      </c>
      <c r="C7" s="2"/>
      <c r="D7" s="2"/>
      <c r="E7" s="2"/>
      <c r="F7" s="2"/>
      <c r="G7" s="3"/>
    </row>
    <row r="8" customFormat="false" ht="15" hidden="false" customHeight="false" outlineLevel="0" collapsed="false">
      <c r="A8" s="2" t="s">
        <v>47</v>
      </c>
      <c r="B8" s="11" t="n">
        <v>4000</v>
      </c>
      <c r="C8" s="2"/>
      <c r="D8" s="2"/>
      <c r="E8" s="2"/>
      <c r="F8" s="2"/>
      <c r="G8" s="3" t="s">
        <v>48</v>
      </c>
    </row>
    <row r="9" customFormat="false" ht="15" hidden="false" customHeight="false" outlineLevel="0" collapsed="false">
      <c r="A9" s="2" t="s">
        <v>49</v>
      </c>
      <c r="B9" s="11" t="n">
        <v>2000</v>
      </c>
      <c r="C9" s="2"/>
      <c r="D9" s="2"/>
      <c r="E9" s="2"/>
      <c r="F9" s="2"/>
      <c r="G9" s="3"/>
    </row>
    <row r="10" customFormat="false" ht="15" hidden="false" customHeight="false" outlineLevel="0" collapsed="false">
      <c r="A10" s="2" t="s">
        <v>50</v>
      </c>
      <c r="B10" s="11" t="n">
        <v>0</v>
      </c>
      <c r="C10" s="2"/>
      <c r="D10" s="2"/>
      <c r="E10" s="2"/>
      <c r="F10" s="2"/>
      <c r="G10" s="3" t="s">
        <v>51</v>
      </c>
    </row>
    <row r="11" customFormat="false" ht="15" hidden="false" customHeight="false" outlineLevel="0" collapsed="false">
      <c r="A11" s="2"/>
      <c r="B11" s="2"/>
      <c r="C11" s="2"/>
      <c r="D11" s="2"/>
      <c r="E11" s="2"/>
      <c r="F11" s="2"/>
      <c r="G11" s="2"/>
    </row>
    <row r="12" customFormat="false" ht="15" hidden="false" customHeight="false" outlineLevel="0" collapsed="false">
      <c r="A12" s="4" t="s">
        <v>52</v>
      </c>
      <c r="B12" s="5"/>
      <c r="C12" s="5"/>
      <c r="D12" s="5"/>
      <c r="E12" s="5"/>
      <c r="F12" s="5"/>
      <c r="G12" s="5"/>
    </row>
    <row r="13" customFormat="false" ht="15" hidden="false" customHeight="false" outlineLevel="0" collapsed="false">
      <c r="A13" s="2" t="s">
        <v>53</v>
      </c>
      <c r="B13" s="11" t="n">
        <v>6000</v>
      </c>
      <c r="C13" s="2"/>
      <c r="D13" s="2"/>
      <c r="E13" s="2"/>
      <c r="F13" s="2"/>
      <c r="G13" s="3"/>
    </row>
    <row r="14" customFormat="false" ht="15" hidden="false" customHeight="false" outlineLevel="0" collapsed="false">
      <c r="A14" s="2" t="s">
        <v>54</v>
      </c>
      <c r="B14" s="12" t="n">
        <v>0.2</v>
      </c>
      <c r="C14" s="2"/>
      <c r="D14" s="2"/>
      <c r="E14" s="2"/>
      <c r="F14" s="2"/>
      <c r="G14" s="3" t="s">
        <v>55</v>
      </c>
    </row>
    <row r="15" customFormat="false" ht="15" hidden="false" customHeight="false" outlineLevel="0" collapsed="false">
      <c r="A15" s="2" t="s">
        <v>56</v>
      </c>
      <c r="B15" s="12" t="n">
        <v>0.45</v>
      </c>
      <c r="C15" s="2"/>
      <c r="D15" s="2"/>
      <c r="E15" s="2"/>
      <c r="F15" s="2"/>
      <c r="G15" s="3" t="s">
        <v>57</v>
      </c>
    </row>
    <row r="16" customFormat="false" ht="15" hidden="false" customHeight="false" outlineLevel="0" collapsed="false">
      <c r="A16" s="2" t="s">
        <v>58</v>
      </c>
      <c r="B16" s="12" t="n">
        <v>0.05</v>
      </c>
      <c r="C16" s="2"/>
      <c r="D16" s="2"/>
      <c r="E16" s="2"/>
      <c r="F16" s="2"/>
      <c r="G16" s="3" t="s">
        <v>59</v>
      </c>
    </row>
    <row r="17" customFormat="false" ht="15" hidden="false" customHeight="false" outlineLevel="0" collapsed="false">
      <c r="A17" s="2" t="s">
        <v>60</v>
      </c>
      <c r="B17" s="13" t="n">
        <v>12</v>
      </c>
      <c r="C17" s="2"/>
      <c r="D17" s="2"/>
      <c r="E17" s="2"/>
      <c r="F17" s="2"/>
      <c r="G17" s="3" t="s">
        <v>61</v>
      </c>
    </row>
    <row r="18" customFormat="false" ht="15" hidden="false" customHeight="false" outlineLevel="0" collapsed="false">
      <c r="A18" s="2" t="s">
        <v>62</v>
      </c>
      <c r="B18" s="14" t="n">
        <v>2</v>
      </c>
      <c r="C18" s="2"/>
      <c r="D18" s="2"/>
      <c r="E18" s="2"/>
      <c r="F18" s="2"/>
      <c r="G18" s="3" t="s">
        <v>63</v>
      </c>
    </row>
    <row r="19" customFormat="false" ht="15" hidden="false" customHeight="false" outlineLevel="0" collapsed="false">
      <c r="A19" s="2" t="s">
        <v>64</v>
      </c>
      <c r="B19" s="12" t="n">
        <v>0.03</v>
      </c>
      <c r="C19" s="2"/>
      <c r="D19" s="2"/>
      <c r="E19" s="2"/>
      <c r="F19" s="2"/>
      <c r="G19" s="3"/>
    </row>
    <row r="20" customFormat="false" ht="15" hidden="false" customHeight="false" outlineLevel="0" collapsed="false">
      <c r="A20" s="2" t="s">
        <v>65</v>
      </c>
      <c r="B20" s="12" t="n">
        <v>0.05</v>
      </c>
      <c r="C20" s="2"/>
      <c r="D20" s="2"/>
      <c r="E20" s="2"/>
      <c r="F20" s="2"/>
      <c r="G20" s="3"/>
    </row>
    <row r="21" customFormat="false" ht="15" hidden="false" customHeight="false" outlineLevel="0" collapsed="false">
      <c r="A21" s="2" t="s">
        <v>66</v>
      </c>
      <c r="B21" s="12" t="n">
        <v>0.1</v>
      </c>
      <c r="C21" s="2"/>
      <c r="D21" s="2"/>
      <c r="E21" s="2"/>
      <c r="F21" s="2"/>
      <c r="G21" s="3" t="s">
        <v>67</v>
      </c>
    </row>
    <row r="22" customFormat="false" ht="15" hidden="false" customHeight="false" outlineLevel="0" collapsed="false">
      <c r="A22" s="2"/>
      <c r="B22" s="2"/>
      <c r="C22" s="2"/>
      <c r="D22" s="2"/>
      <c r="E22" s="2"/>
      <c r="F22" s="2"/>
      <c r="G22" s="2"/>
    </row>
    <row r="23" customFormat="false" ht="15" hidden="false" customHeight="false" outlineLevel="0" collapsed="false">
      <c r="A23" s="15" t="s">
        <v>68</v>
      </c>
      <c r="B23" s="15" t="s">
        <v>69</v>
      </c>
      <c r="C23" s="15" t="s">
        <v>70</v>
      </c>
      <c r="D23" s="15" t="s">
        <v>71</v>
      </c>
      <c r="E23" s="15" t="s">
        <v>72</v>
      </c>
      <c r="F23" s="15" t="s">
        <v>73</v>
      </c>
      <c r="G23" s="2"/>
    </row>
    <row r="24" customFormat="false" ht="15" hidden="false" customHeight="false" outlineLevel="0" collapsed="false">
      <c r="A24" s="2" t="s">
        <v>74</v>
      </c>
      <c r="B24" s="12" t="n">
        <v>1.2</v>
      </c>
      <c r="C24" s="12" t="n">
        <v>0.8</v>
      </c>
      <c r="D24" s="12" t="n">
        <v>0.6</v>
      </c>
      <c r="E24" s="12" t="n">
        <v>0.4</v>
      </c>
      <c r="F24" s="12" t="n">
        <v>0.3</v>
      </c>
      <c r="G24" s="3" t="s">
        <v>75</v>
      </c>
    </row>
    <row r="25" customFormat="false" ht="15" hidden="false" customHeight="false" outlineLevel="0" collapsed="false">
      <c r="A25" s="2" t="s">
        <v>76</v>
      </c>
      <c r="B25" s="12" t="n">
        <v>-0.4</v>
      </c>
      <c r="C25" s="12" t="n">
        <v>-0.15</v>
      </c>
      <c r="D25" s="12" t="n">
        <v>0.05</v>
      </c>
      <c r="E25" s="12" t="n">
        <v>0.15</v>
      </c>
      <c r="F25" s="12" t="n">
        <v>0.25</v>
      </c>
      <c r="G25" s="2"/>
    </row>
    <row r="26" customFormat="false" ht="15" hidden="false" customHeight="false" outlineLevel="0" collapsed="false">
      <c r="A26" s="2"/>
      <c r="B26" s="2"/>
      <c r="C26" s="2"/>
      <c r="D26" s="2"/>
      <c r="E26" s="2"/>
      <c r="F26" s="2"/>
      <c r="G26" s="2"/>
    </row>
    <row r="27" customFormat="false" ht="15" hidden="false" customHeight="false" outlineLevel="0" collapsed="false">
      <c r="A27" s="4" t="s">
        <v>77</v>
      </c>
      <c r="B27" s="5"/>
      <c r="C27" s="5"/>
      <c r="D27" s="5"/>
      <c r="E27" s="5"/>
      <c r="F27" s="5"/>
      <c r="G27" s="5"/>
    </row>
    <row r="28" customFormat="false" ht="15" hidden="false" customHeight="false" outlineLevel="0" collapsed="false">
      <c r="A28" s="2" t="s">
        <v>78</v>
      </c>
      <c r="B28" s="12" t="n">
        <v>0.3</v>
      </c>
      <c r="C28" s="2"/>
      <c r="D28" s="2"/>
      <c r="E28" s="2"/>
      <c r="F28" s="2"/>
      <c r="G28" s="3" t="s">
        <v>79</v>
      </c>
    </row>
    <row r="29" customFormat="false" ht="15" hidden="false" customHeight="false" outlineLevel="0" collapsed="false">
      <c r="A29" s="2" t="s">
        <v>80</v>
      </c>
      <c r="B29" s="13" t="n">
        <v>3</v>
      </c>
      <c r="C29" s="2"/>
      <c r="D29" s="2"/>
      <c r="E29" s="2"/>
      <c r="F29" s="2"/>
      <c r="G29" s="3" t="s">
        <v>81</v>
      </c>
    </row>
    <row r="30" customFormat="false" ht="15" hidden="false" customHeight="false" outlineLevel="0" collapsed="false">
      <c r="A30" s="2" t="s">
        <v>82</v>
      </c>
      <c r="B30" s="12" t="n">
        <v>0.3</v>
      </c>
      <c r="C30" s="2"/>
      <c r="D30" s="2"/>
      <c r="E30" s="2"/>
      <c r="F30" s="2"/>
      <c r="G30" s="3" t="s">
        <v>83</v>
      </c>
    </row>
    <row r="31" customFormat="false" ht="15" hidden="false" customHeight="false" outlineLevel="0" collapsed="false">
      <c r="A31" s="2" t="s">
        <v>84</v>
      </c>
      <c r="B31" s="13" t="n">
        <v>15</v>
      </c>
      <c r="C31" s="2"/>
      <c r="D31" s="2"/>
      <c r="E31" s="2"/>
      <c r="F31" s="2"/>
      <c r="G31" s="3" t="s">
        <v>85</v>
      </c>
    </row>
    <row r="32" customFormat="false" ht="15" hidden="false" customHeight="false" outlineLevel="0" collapsed="false">
      <c r="A32" s="2" t="s">
        <v>86</v>
      </c>
      <c r="B32" s="13" t="n">
        <v>10</v>
      </c>
      <c r="C32" s="2"/>
      <c r="D32" s="2"/>
      <c r="E32" s="2"/>
      <c r="F32" s="2"/>
      <c r="G32" s="3"/>
    </row>
    <row r="33" customFormat="false" ht="15" hidden="false" customHeight="false" outlineLevel="0" collapsed="false">
      <c r="A33" s="2" t="s">
        <v>87</v>
      </c>
      <c r="B33" s="13" t="n">
        <v>7</v>
      </c>
      <c r="C33" s="2"/>
      <c r="D33" s="2"/>
      <c r="E33" s="2"/>
      <c r="F33" s="2"/>
      <c r="G33" s="3"/>
    </row>
    <row r="34" customFormat="false" ht="15" hidden="false" customHeight="false" outlineLevel="0" collapsed="false">
      <c r="A34" s="2" t="s">
        <v>88</v>
      </c>
      <c r="B34" s="12" t="n">
        <v>0.15</v>
      </c>
      <c r="C34" s="2"/>
      <c r="D34" s="2"/>
      <c r="E34" s="2"/>
      <c r="F34" s="2"/>
      <c r="G34" s="3" t="s">
        <v>89</v>
      </c>
    </row>
  </sheetData>
  <dataValidations count="1">
    <dataValidation allowBlank="false" errorStyle="stop" operator="between" showDropDown="false" showErrorMessage="false" showInputMessage="false" sqref="B18" type="list">
      <formula1>"1,2"</formula1>
      <formula2>0</formula2>
    </dataValidation>
  </dataValidations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H50"/>
  <sheetViews>
    <sheetView showFormulas="false" showGridLines="fals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44"/>
    <col collapsed="false" customWidth="true" hidden="false" outlineLevel="0" max="7" min="2" style="0" width="13"/>
    <col collapsed="false" customWidth="true" hidden="false" outlineLevel="0" max="8" min="8" style="0" width="40"/>
  </cols>
  <sheetData>
    <row r="1" customFormat="false" ht="17.35" hidden="false" customHeight="false" outlineLevel="0" collapsed="false">
      <c r="A1" s="1" t="s">
        <v>90</v>
      </c>
      <c r="B1" s="2"/>
      <c r="C1" s="2"/>
      <c r="D1" s="2"/>
      <c r="E1" s="2"/>
      <c r="F1" s="2"/>
      <c r="G1" s="2"/>
      <c r="H1" s="2"/>
    </row>
    <row r="2" customFormat="false" ht="15" hidden="false" customHeight="false" outlineLevel="0" collapsed="false">
      <c r="A2" s="3" t="s">
        <v>91</v>
      </c>
      <c r="B2" s="2"/>
      <c r="C2" s="2"/>
      <c r="D2" s="2"/>
      <c r="E2" s="2"/>
      <c r="F2" s="2"/>
      <c r="G2" s="2"/>
      <c r="H2" s="2"/>
    </row>
    <row r="3" customFormat="false" ht="15" hidden="false" customHeight="false" outlineLevel="0" collapsed="false">
      <c r="A3" s="2"/>
      <c r="B3" s="2"/>
      <c r="C3" s="2"/>
      <c r="D3" s="2"/>
      <c r="E3" s="2"/>
      <c r="F3" s="2"/>
      <c r="G3" s="2"/>
      <c r="H3" s="2"/>
    </row>
    <row r="4" customFormat="false" ht="15" hidden="false" customHeight="false" outlineLevel="0" collapsed="false">
      <c r="A4" s="15" t="s">
        <v>92</v>
      </c>
      <c r="B4" s="15" t="s">
        <v>93</v>
      </c>
      <c r="C4" s="15" t="s">
        <v>69</v>
      </c>
      <c r="D4" s="15" t="s">
        <v>70</v>
      </c>
      <c r="E4" s="15" t="s">
        <v>71</v>
      </c>
      <c r="F4" s="15" t="s">
        <v>72</v>
      </c>
      <c r="G4" s="15" t="s">
        <v>73</v>
      </c>
      <c r="H4" s="2"/>
    </row>
    <row r="5" customFormat="false" ht="15" hidden="false" customHeight="false" outlineLevel="0" collapsed="false">
      <c r="A5" s="2" t="s">
        <v>94</v>
      </c>
      <c r="B5" s="16" t="n">
        <v>0</v>
      </c>
      <c r="C5" s="16" t="n">
        <f aca="false">B5+1</f>
        <v>1</v>
      </c>
      <c r="D5" s="16" t="n">
        <f aca="false">C5+1</f>
        <v>2</v>
      </c>
      <c r="E5" s="16" t="n">
        <f aca="false">D5+1</f>
        <v>3</v>
      </c>
      <c r="F5" s="16" t="n">
        <f aca="false">E5+1</f>
        <v>4</v>
      </c>
      <c r="G5" s="16" t="n">
        <f aca="false">F5+1</f>
        <v>5</v>
      </c>
      <c r="H5" s="2"/>
    </row>
    <row r="6" customFormat="false" ht="15" hidden="false" customHeight="false" outlineLevel="0" collapsed="false">
      <c r="A6" s="2" t="s">
        <v>74</v>
      </c>
      <c r="B6" s="2"/>
      <c r="C6" s="17" t="n">
        <f aca="false">Inputs!B24</f>
        <v>1.2</v>
      </c>
      <c r="D6" s="17" t="n">
        <f aca="false">Inputs!C24</f>
        <v>0.8</v>
      </c>
      <c r="E6" s="17" t="n">
        <f aca="false">Inputs!D24</f>
        <v>0.6</v>
      </c>
      <c r="F6" s="17" t="n">
        <f aca="false">Inputs!E24</f>
        <v>0.4</v>
      </c>
      <c r="G6" s="17" t="n">
        <f aca="false">Inputs!F24</f>
        <v>0.3</v>
      </c>
      <c r="H6" s="2"/>
    </row>
    <row r="7" customFormat="false" ht="15" hidden="false" customHeight="false" outlineLevel="0" collapsed="false">
      <c r="A7" s="18" t="s">
        <v>95</v>
      </c>
      <c r="B7" s="19" t="n">
        <f aca="false">Inputs!$B$13</f>
        <v>6000</v>
      </c>
      <c r="C7" s="20" t="n">
        <f aca="false">B7*(1+C6)</f>
        <v>13200</v>
      </c>
      <c r="D7" s="20" t="n">
        <f aca="false">C7*(1+D6)</f>
        <v>23760</v>
      </c>
      <c r="E7" s="20" t="n">
        <f aca="false">D7*(1+E6)</f>
        <v>38016</v>
      </c>
      <c r="F7" s="20" t="n">
        <f aca="false">E7*(1+F6)</f>
        <v>53222.4</v>
      </c>
      <c r="G7" s="20" t="n">
        <f aca="false">F7*(1+G6)</f>
        <v>69189.12</v>
      </c>
      <c r="H7" s="2"/>
    </row>
    <row r="8" customFormat="false" ht="15" hidden="false" customHeight="false" outlineLevel="0" collapsed="false">
      <c r="A8" s="2" t="s">
        <v>76</v>
      </c>
      <c r="B8" s="2"/>
      <c r="C8" s="17" t="n">
        <f aca="false">Inputs!B25</f>
        <v>-0.4</v>
      </c>
      <c r="D8" s="17" t="n">
        <f aca="false">Inputs!C25</f>
        <v>-0.15</v>
      </c>
      <c r="E8" s="17" t="n">
        <f aca="false">Inputs!D25</f>
        <v>0.05</v>
      </c>
      <c r="F8" s="17" t="n">
        <f aca="false">Inputs!E25</f>
        <v>0.15</v>
      </c>
      <c r="G8" s="17" t="n">
        <f aca="false">Inputs!F25</f>
        <v>0.25</v>
      </c>
      <c r="H8" s="2"/>
    </row>
    <row r="9" customFormat="false" ht="15" hidden="false" customHeight="false" outlineLevel="0" collapsed="false">
      <c r="A9" s="18" t="s">
        <v>96</v>
      </c>
      <c r="B9" s="2"/>
      <c r="C9" s="20" t="n">
        <f aca="false">C7*C8</f>
        <v>-5280</v>
      </c>
      <c r="D9" s="20" t="n">
        <f aca="false">D7*D8</f>
        <v>-3564</v>
      </c>
      <c r="E9" s="20" t="n">
        <f aca="false">E7*E8</f>
        <v>1900.8</v>
      </c>
      <c r="F9" s="20" t="n">
        <f aca="false">F7*F8</f>
        <v>7983.36</v>
      </c>
      <c r="G9" s="20" t="n">
        <f aca="false">G7*G8</f>
        <v>17297.28</v>
      </c>
      <c r="H9" s="2"/>
    </row>
    <row r="10" customFormat="false" ht="15" hidden="false" customHeight="false" outlineLevel="0" collapsed="false">
      <c r="A10" s="2" t="s">
        <v>97</v>
      </c>
      <c r="B10" s="2"/>
      <c r="C10" s="21" t="n">
        <f aca="false">C7*Inputs!$B$19</f>
        <v>396</v>
      </c>
      <c r="D10" s="21" t="n">
        <f aca="false">D7*Inputs!$B$19</f>
        <v>712.8</v>
      </c>
      <c r="E10" s="21" t="n">
        <f aca="false">E7*Inputs!$B$19</f>
        <v>1140.48</v>
      </c>
      <c r="F10" s="21" t="n">
        <f aca="false">F7*Inputs!$B$19</f>
        <v>1596.672</v>
      </c>
      <c r="G10" s="21" t="n">
        <f aca="false">G7*Inputs!$B$19</f>
        <v>2075.6736</v>
      </c>
      <c r="H10" s="2"/>
    </row>
    <row r="11" customFormat="false" ht="15" hidden="false" customHeight="false" outlineLevel="0" collapsed="false">
      <c r="A11" s="2" t="s">
        <v>98</v>
      </c>
      <c r="B11" s="2"/>
      <c r="C11" s="21" t="n">
        <f aca="false">C9-C10</f>
        <v>-5676</v>
      </c>
      <c r="D11" s="21" t="n">
        <f aca="false">D9-D10</f>
        <v>-4276.8</v>
      </c>
      <c r="E11" s="21" t="n">
        <f aca="false">E9-E10</f>
        <v>760.32</v>
      </c>
      <c r="F11" s="21" t="n">
        <f aca="false">F9-F10</f>
        <v>6386.688</v>
      </c>
      <c r="G11" s="21" t="n">
        <f aca="false">G9-G10</f>
        <v>15221.6064</v>
      </c>
      <c r="H11" s="2"/>
    </row>
    <row r="12" customFormat="false" ht="15" hidden="false" customHeight="false" outlineLevel="0" collapsed="false">
      <c r="A12" s="2" t="s">
        <v>99</v>
      </c>
      <c r="B12" s="2"/>
      <c r="C12" s="21" t="n">
        <f aca="false">MAX(0,C11)*Inputs!$B$14</f>
        <v>0</v>
      </c>
      <c r="D12" s="21" t="n">
        <f aca="false">MAX(0,D11)*Inputs!$B$14</f>
        <v>0</v>
      </c>
      <c r="E12" s="21" t="n">
        <f aca="false">MAX(0,E11)*Inputs!$B$14</f>
        <v>152.064</v>
      </c>
      <c r="F12" s="21" t="n">
        <f aca="false">MAX(0,F11)*Inputs!$B$14</f>
        <v>1277.3376</v>
      </c>
      <c r="G12" s="21" t="n">
        <f aca="false">MAX(0,G11)*Inputs!$B$14</f>
        <v>3044.32128</v>
      </c>
      <c r="H12" s="3" t="s">
        <v>100</v>
      </c>
    </row>
    <row r="13" customFormat="false" ht="15" hidden="false" customHeight="false" outlineLevel="0" collapsed="false">
      <c r="A13" s="2" t="s">
        <v>101</v>
      </c>
      <c r="B13" s="2"/>
      <c r="C13" s="21" t="n">
        <f aca="false">C11-C12</f>
        <v>-5676</v>
      </c>
      <c r="D13" s="21" t="n">
        <f aca="false">D11-D12</f>
        <v>-4276.8</v>
      </c>
      <c r="E13" s="21" t="n">
        <f aca="false">E11-E12</f>
        <v>608.256</v>
      </c>
      <c r="F13" s="21" t="n">
        <f aca="false">F11-F12</f>
        <v>5109.3504</v>
      </c>
      <c r="G13" s="21" t="n">
        <f aca="false">G11-G12</f>
        <v>12177.28512</v>
      </c>
      <c r="H13" s="2"/>
    </row>
    <row r="14" customFormat="false" ht="15" hidden="false" customHeight="false" outlineLevel="0" collapsed="false">
      <c r="A14" s="2" t="s">
        <v>102</v>
      </c>
      <c r="B14" s="2"/>
      <c r="C14" s="21" t="n">
        <f aca="false">C10</f>
        <v>396</v>
      </c>
      <c r="D14" s="21" t="n">
        <f aca="false">D10</f>
        <v>712.8</v>
      </c>
      <c r="E14" s="21" t="n">
        <f aca="false">E10</f>
        <v>1140.48</v>
      </c>
      <c r="F14" s="21" t="n">
        <f aca="false">F10</f>
        <v>1596.672</v>
      </c>
      <c r="G14" s="21" t="n">
        <f aca="false">G10</f>
        <v>2075.6736</v>
      </c>
      <c r="H14" s="2"/>
    </row>
    <row r="15" customFormat="false" ht="15" hidden="false" customHeight="false" outlineLevel="0" collapsed="false">
      <c r="A15" s="2" t="s">
        <v>103</v>
      </c>
      <c r="B15" s="2"/>
      <c r="C15" s="21" t="n">
        <f aca="false">-C7*Inputs!$B$20</f>
        <v>-660</v>
      </c>
      <c r="D15" s="21" t="n">
        <f aca="false">-D7*Inputs!$B$20</f>
        <v>-1188</v>
      </c>
      <c r="E15" s="21" t="n">
        <f aca="false">-E7*Inputs!$B$20</f>
        <v>-1900.8</v>
      </c>
      <c r="F15" s="21" t="n">
        <f aca="false">-F7*Inputs!$B$20</f>
        <v>-2661.12</v>
      </c>
      <c r="G15" s="21" t="n">
        <f aca="false">-G7*Inputs!$B$20</f>
        <v>-3459.456</v>
      </c>
      <c r="H15" s="2"/>
    </row>
    <row r="16" customFormat="false" ht="15" hidden="false" customHeight="false" outlineLevel="0" collapsed="false">
      <c r="A16" s="2" t="s">
        <v>104</v>
      </c>
      <c r="B16" s="2"/>
      <c r="C16" s="21" t="n">
        <f aca="false">-(C7-B7)*Inputs!$B$21</f>
        <v>-720</v>
      </c>
      <c r="D16" s="21" t="n">
        <f aca="false">-(D7-C7)*Inputs!$B$21</f>
        <v>-1056</v>
      </c>
      <c r="E16" s="21" t="n">
        <f aca="false">-(E7-D7)*Inputs!$B$21</f>
        <v>-1425.6</v>
      </c>
      <c r="F16" s="21" t="n">
        <f aca="false">-(F7-E7)*Inputs!$B$21</f>
        <v>-1520.64</v>
      </c>
      <c r="G16" s="21" t="n">
        <f aca="false">-(G7-F7)*Inputs!$B$21</f>
        <v>-1596.672</v>
      </c>
      <c r="H16" s="2"/>
    </row>
    <row r="17" customFormat="false" ht="15" hidden="false" customHeight="false" outlineLevel="0" collapsed="false">
      <c r="A17" s="18" t="s">
        <v>105</v>
      </c>
      <c r="B17" s="2"/>
      <c r="C17" s="22" t="n">
        <f aca="false">C13+C14+C15+C16</f>
        <v>-6660</v>
      </c>
      <c r="D17" s="22" t="n">
        <f aca="false">D13+D14+D15+D16</f>
        <v>-5808</v>
      </c>
      <c r="E17" s="22" t="n">
        <f aca="false">E13+E14+E15+E16</f>
        <v>-1577.664</v>
      </c>
      <c r="F17" s="22" t="n">
        <f aca="false">F13+F14+F15+F16</f>
        <v>2524.2624</v>
      </c>
      <c r="G17" s="22" t="n">
        <f aca="false">G13+G14+G15+G16</f>
        <v>9196.83072</v>
      </c>
      <c r="H17" s="2"/>
    </row>
    <row r="18" customFormat="false" ht="15" hidden="false" customHeight="false" outlineLevel="0" collapsed="false">
      <c r="A18" s="2" t="s">
        <v>106</v>
      </c>
      <c r="B18" s="2"/>
      <c r="C18" s="23" t="n">
        <f aca="false">1/(1+Inputs!$B$15)^C5</f>
        <v>0.689655172413793</v>
      </c>
      <c r="D18" s="23" t="n">
        <f aca="false">1/(1+Inputs!$B$15)^D5</f>
        <v>0.475624256837099</v>
      </c>
      <c r="E18" s="23" t="n">
        <f aca="false">1/(1+Inputs!$B$15)^E5</f>
        <v>0.328016728853172</v>
      </c>
      <c r="F18" s="23" t="n">
        <f aca="false">1/(1+Inputs!$B$15)^F5</f>
        <v>0.226218433691842</v>
      </c>
      <c r="G18" s="23" t="n">
        <f aca="false">1/(1+Inputs!$B$15)^G5</f>
        <v>0.156012712890926</v>
      </c>
      <c r="H18" s="2"/>
    </row>
    <row r="19" customFormat="false" ht="15" hidden="false" customHeight="false" outlineLevel="0" collapsed="false">
      <c r="A19" s="2" t="s">
        <v>107</v>
      </c>
      <c r="B19" s="2"/>
      <c r="C19" s="21" t="n">
        <f aca="false">C17*C18</f>
        <v>-4593.10344827586</v>
      </c>
      <c r="D19" s="21" t="n">
        <f aca="false">D17*D18</f>
        <v>-2762.42568370987</v>
      </c>
      <c r="E19" s="21" t="n">
        <f aca="false">E17*E18</f>
        <v>-517.50018450941</v>
      </c>
      <c r="F19" s="21" t="n">
        <f aca="false">F17*F18</f>
        <v>571.034686355211</v>
      </c>
      <c r="G19" s="21" t="n">
        <f aca="false">G17*G18</f>
        <v>1434.82251062581</v>
      </c>
      <c r="H19" s="2"/>
    </row>
    <row r="20" customFormat="false" ht="15" hidden="false" customHeight="false" outlineLevel="0" collapsed="false">
      <c r="A20" s="2"/>
      <c r="B20" s="2"/>
      <c r="C20" s="2"/>
      <c r="D20" s="2"/>
      <c r="E20" s="2"/>
      <c r="F20" s="2"/>
      <c r="G20" s="2"/>
      <c r="H20" s="2"/>
    </row>
    <row r="21" customFormat="false" ht="15" hidden="false" customHeight="false" outlineLevel="0" collapsed="false">
      <c r="A21" s="4" t="s">
        <v>108</v>
      </c>
      <c r="B21" s="5"/>
      <c r="C21" s="5"/>
      <c r="D21" s="5"/>
      <c r="E21" s="5"/>
      <c r="F21" s="5"/>
      <c r="G21" s="5"/>
      <c r="H21" s="5"/>
    </row>
    <row r="22" customFormat="false" ht="15" hidden="false" customHeight="false" outlineLevel="0" collapsed="false">
      <c r="A22" s="2" t="s">
        <v>109</v>
      </c>
      <c r="B22" s="2"/>
      <c r="C22" s="21" t="n">
        <f aca="false">SUM(C19:G19)</f>
        <v>-5867.17211951412</v>
      </c>
      <c r="D22" s="3"/>
      <c r="E22" s="2"/>
      <c r="F22" s="2"/>
      <c r="G22" s="2"/>
      <c r="H22" s="2"/>
    </row>
    <row r="23" customFormat="false" ht="15" hidden="false" customHeight="false" outlineLevel="0" collapsed="false">
      <c r="A23" s="2" t="s">
        <v>110</v>
      </c>
      <c r="B23" s="2"/>
      <c r="C23" s="21" t="n">
        <f aca="false">IF(Inputs!$B$15&gt;Inputs!$B$16,G17*(1+Inputs!$B$16)/(Inputs!$B$15-Inputs!$B$16),0)</f>
        <v>24141.68064</v>
      </c>
      <c r="D23" s="3" t="s">
        <v>111</v>
      </c>
      <c r="E23" s="2"/>
      <c r="F23" s="2"/>
      <c r="G23" s="2"/>
      <c r="H23" s="2"/>
    </row>
    <row r="24" customFormat="false" ht="15" hidden="false" customHeight="false" outlineLevel="0" collapsed="false">
      <c r="A24" s="2" t="s">
        <v>112</v>
      </c>
      <c r="B24" s="2"/>
      <c r="C24" s="21" t="n">
        <f aca="false">G9*Inputs!$B$17</f>
        <v>207567.36</v>
      </c>
      <c r="D24" s="3" t="s">
        <v>113</v>
      </c>
      <c r="E24" s="2"/>
      <c r="F24" s="2"/>
      <c r="G24" s="2"/>
      <c r="H24" s="2"/>
    </row>
    <row r="25" customFormat="false" ht="15" hidden="false" customHeight="false" outlineLevel="0" collapsed="false">
      <c r="A25" s="2" t="s">
        <v>114</v>
      </c>
      <c r="B25" s="2"/>
      <c r="C25" s="24" t="n">
        <f aca="false">IFERROR(C23/G9,0)</f>
        <v>1.39569230769231</v>
      </c>
      <c r="D25" s="3" t="s">
        <v>115</v>
      </c>
      <c r="E25" s="2"/>
      <c r="F25" s="2"/>
      <c r="G25" s="2"/>
      <c r="H25" s="2"/>
    </row>
    <row r="26" customFormat="false" ht="15" hidden="false" customHeight="false" outlineLevel="0" collapsed="false">
      <c r="A26" s="2" t="s">
        <v>116</v>
      </c>
      <c r="B26" s="2"/>
      <c r="C26" s="21" t="n">
        <f aca="false">IF(Inputs!$B$18=1,C23,C24)</f>
        <v>207567.36</v>
      </c>
      <c r="D26" s="3"/>
      <c r="E26" s="2"/>
      <c r="F26" s="2"/>
      <c r="G26" s="2"/>
      <c r="H26" s="2"/>
    </row>
    <row r="27" customFormat="false" ht="15" hidden="false" customHeight="false" outlineLevel="0" collapsed="false">
      <c r="A27" s="2" t="s">
        <v>117</v>
      </c>
      <c r="B27" s="2"/>
      <c r="C27" s="21" t="n">
        <f aca="false">C26*G18</f>
        <v>32383.1469412075</v>
      </c>
      <c r="D27" s="3"/>
      <c r="E27" s="2"/>
      <c r="F27" s="2"/>
      <c r="G27" s="2"/>
      <c r="H27" s="2"/>
    </row>
    <row r="28" customFormat="false" ht="15" hidden="false" customHeight="false" outlineLevel="0" collapsed="false">
      <c r="A28" s="18" t="s">
        <v>118</v>
      </c>
      <c r="B28" s="2"/>
      <c r="C28" s="20" t="n">
        <f aca="false">C22+C27</f>
        <v>26515.9748216933</v>
      </c>
      <c r="D28" s="3"/>
      <c r="E28" s="2"/>
      <c r="F28" s="2"/>
      <c r="G28" s="2"/>
      <c r="H28" s="2"/>
    </row>
    <row r="29" customFormat="false" ht="15" hidden="false" customHeight="false" outlineLevel="0" collapsed="false">
      <c r="A29" s="2" t="s">
        <v>119</v>
      </c>
      <c r="B29" s="2"/>
      <c r="C29" s="25" t="n">
        <f aca="false">IFERROR(C27/C28,0)</f>
        <v>1.22126933514487</v>
      </c>
      <c r="D29" s="3" t="s">
        <v>120</v>
      </c>
      <c r="E29" s="2"/>
      <c r="F29" s="2"/>
      <c r="G29" s="2"/>
      <c r="H29" s="2"/>
    </row>
    <row r="30" customFormat="false" ht="15" hidden="false" customHeight="false" outlineLevel="0" collapsed="false">
      <c r="A30" s="2" t="s">
        <v>121</v>
      </c>
      <c r="B30" s="2"/>
      <c r="C30" s="19" t="n">
        <f aca="false">Inputs!$B$9</f>
        <v>2000</v>
      </c>
      <c r="D30" s="3"/>
      <c r="E30" s="2"/>
      <c r="F30" s="2"/>
      <c r="G30" s="2"/>
      <c r="H30" s="2"/>
    </row>
    <row r="31" customFormat="false" ht="15" hidden="false" customHeight="false" outlineLevel="0" collapsed="false">
      <c r="A31" s="2" t="s">
        <v>122</v>
      </c>
      <c r="B31" s="2"/>
      <c r="C31" s="19" t="n">
        <f aca="false">-Inputs!$B$10</f>
        <v>-0</v>
      </c>
      <c r="D31" s="3"/>
      <c r="E31" s="2"/>
      <c r="F31" s="2"/>
      <c r="G31" s="2"/>
      <c r="H31" s="2"/>
    </row>
    <row r="32" customFormat="false" ht="15" hidden="false" customHeight="false" outlineLevel="0" collapsed="false">
      <c r="A32" s="26" t="s">
        <v>123</v>
      </c>
      <c r="B32" s="2"/>
      <c r="C32" s="27" t="n">
        <f aca="false">C28+C30+C31</f>
        <v>28515.9748216933</v>
      </c>
      <c r="D32" s="3"/>
      <c r="E32" s="2"/>
      <c r="F32" s="2"/>
      <c r="G32" s="2"/>
      <c r="H32" s="2"/>
    </row>
    <row r="33" customFormat="false" ht="15" hidden="false" customHeight="false" outlineLevel="0" collapsed="false">
      <c r="A33" s="2"/>
      <c r="B33" s="2"/>
      <c r="C33" s="2"/>
      <c r="D33" s="2"/>
      <c r="E33" s="2"/>
      <c r="F33" s="2"/>
      <c r="G33" s="2"/>
      <c r="H33" s="2"/>
    </row>
    <row r="34" customFormat="false" ht="15" hidden="false" customHeight="false" outlineLevel="0" collapsed="false">
      <c r="A34" s="4" t="s">
        <v>124</v>
      </c>
      <c r="B34" s="5"/>
      <c r="C34" s="5"/>
      <c r="D34" s="5"/>
      <c r="E34" s="5"/>
      <c r="F34" s="5"/>
      <c r="G34" s="5"/>
      <c r="H34" s="5"/>
    </row>
    <row r="35" customFormat="false" ht="15" hidden="false" customHeight="false" outlineLevel="0" collapsed="false">
      <c r="A35" s="2"/>
      <c r="B35" s="18" t="s">
        <v>125</v>
      </c>
      <c r="C35" s="28" t="n">
        <f aca="false">Inputs!$B$17+(-2)</f>
        <v>10</v>
      </c>
      <c r="D35" s="28" t="n">
        <f aca="false">Inputs!$B$17+(-1)</f>
        <v>11</v>
      </c>
      <c r="E35" s="28" t="n">
        <f aca="false">Inputs!$B$17+(0)</f>
        <v>12</v>
      </c>
      <c r="F35" s="28" t="n">
        <f aca="false">Inputs!$B$17+(1)</f>
        <v>13</v>
      </c>
      <c r="G35" s="28" t="n">
        <f aca="false">Inputs!$B$17+(2)</f>
        <v>14</v>
      </c>
      <c r="H35" s="2"/>
    </row>
    <row r="36" customFormat="false" ht="15" hidden="false" customHeight="false" outlineLevel="0" collapsed="false">
      <c r="A36" s="2"/>
      <c r="B36" s="29" t="n">
        <f aca="false">Inputs!$B$15+(-0.05)</f>
        <v>0.4</v>
      </c>
      <c r="C36" s="21" t="n">
        <f aca="false">SUMPRODUCT($C$17:$G$17/(1+$B36)^$C$5:$G$5)+C$35*$G$9/(1+$B36)^$G$5+Inputs!$B$9-Inputs!$B$10</f>
        <v>28233.3344439817</v>
      </c>
      <c r="D36" s="21" t="n">
        <f aca="false">SUMPRODUCT($C$17:$G$17/(1+$B36)^$C$5:$G$5)+D$35*$G$9/(1+$B36)^$G$5+Inputs!$B$9-Inputs!$B$10</f>
        <v>31449.4943773428</v>
      </c>
      <c r="E36" s="21" t="n">
        <f aca="false">SUMPRODUCT($C$17:$G$17/(1+$B36)^$C$5:$G$5)+E$35*$G$9/(1+$B36)^$G$5+Inputs!$B$9-Inputs!$B$10</f>
        <v>34665.6543107039</v>
      </c>
      <c r="F36" s="21" t="n">
        <f aca="false">SUMPRODUCT($C$17:$G$17/(1+$B36)^$C$5:$G$5)+F$35*$G$9/(1+$B36)^$G$5+Inputs!$B$9-Inputs!$B$10</f>
        <v>37881.814244065</v>
      </c>
      <c r="G36" s="21" t="n">
        <f aca="false">SUMPRODUCT($C$17:$G$17/(1+$B36)^$C$5:$G$5)+G$35*$G$9/(1+$B36)^$G$5+Inputs!$B$9-Inputs!$B$10</f>
        <v>41097.9741774261</v>
      </c>
      <c r="H36" s="2"/>
    </row>
    <row r="37" customFormat="false" ht="15" hidden="false" customHeight="false" outlineLevel="0" collapsed="false">
      <c r="A37" s="2"/>
      <c r="B37" s="29" t="n">
        <f aca="false">Inputs!$B$15+(-0.025)</f>
        <v>0.425</v>
      </c>
      <c r="C37" s="21" t="n">
        <f aca="false">SUMPRODUCT($C$17:$G$17/(1+$B37)^$C$5:$G$5)+C$35*$G$9/(1+$B37)^$G$5+Inputs!$B$9-Inputs!$B$10</f>
        <v>25535.9218591646</v>
      </c>
      <c r="D37" s="21" t="n">
        <f aca="false">SUMPRODUCT($C$17:$G$17/(1+$B37)^$C$5:$G$5)+D$35*$G$9/(1+$B37)^$G$5+Inputs!$B$9-Inputs!$B$10</f>
        <v>28479.6892753929</v>
      </c>
      <c r="E37" s="21" t="n">
        <f aca="false">SUMPRODUCT($C$17:$G$17/(1+$B37)^$C$5:$G$5)+E$35*$G$9/(1+$B37)^$G$5+Inputs!$B$9-Inputs!$B$10</f>
        <v>31423.4566916212</v>
      </c>
      <c r="F37" s="21" t="n">
        <f aca="false">SUMPRODUCT($C$17:$G$17/(1+$B37)^$C$5:$G$5)+F$35*$G$9/(1+$B37)^$G$5+Inputs!$B$9-Inputs!$B$10</f>
        <v>34367.2241078496</v>
      </c>
      <c r="G37" s="21" t="n">
        <f aca="false">SUMPRODUCT($C$17:$G$17/(1+$B37)^$C$5:$G$5)+G$35*$G$9/(1+$B37)^$G$5+Inputs!$B$9-Inputs!$B$10</f>
        <v>37310.9915240779</v>
      </c>
      <c r="H37" s="2"/>
    </row>
    <row r="38" customFormat="false" ht="15" hidden="false" customHeight="false" outlineLevel="0" collapsed="false">
      <c r="A38" s="2"/>
      <c r="B38" s="29" t="n">
        <f aca="false">Inputs!$B$15+(0)</f>
        <v>0.45</v>
      </c>
      <c r="C38" s="21" t="n">
        <f aca="false">SUMPRODUCT($C$17:$G$17/(1+$B38)^$C$5:$G$5)+C$35*$G$9/(1+$B38)^$G$5+Inputs!$B$9-Inputs!$B$10</f>
        <v>23118.7836648254</v>
      </c>
      <c r="D38" s="21" t="n">
        <f aca="false">SUMPRODUCT($C$17:$G$17/(1+$B38)^$C$5:$G$5)+D$35*$G$9/(1+$B38)^$G$5+Inputs!$B$9-Inputs!$B$10</f>
        <v>25817.3792432594</v>
      </c>
      <c r="E38" s="30" t="n">
        <f aca="false">SUMPRODUCT($C$17:$G$17/(1+$B38)^$C$5:$G$5)+E$35*$G$9/(1+$B38)^$G$5+Inputs!$B$9-Inputs!$B$10</f>
        <v>28515.9748216933</v>
      </c>
      <c r="F38" s="21" t="n">
        <f aca="false">SUMPRODUCT($C$17:$G$17/(1+$B38)^$C$5:$G$5)+F$35*$G$9/(1+$B38)^$G$5+Inputs!$B$9-Inputs!$B$10</f>
        <v>31214.5704001273</v>
      </c>
      <c r="G38" s="21" t="n">
        <f aca="false">SUMPRODUCT($C$17:$G$17/(1+$B38)^$C$5:$G$5)+G$35*$G$9/(1+$B38)^$G$5+Inputs!$B$9-Inputs!$B$10</f>
        <v>33913.1659785612</v>
      </c>
      <c r="H38" s="2"/>
    </row>
    <row r="39" customFormat="false" ht="15" hidden="false" customHeight="false" outlineLevel="0" collapsed="false">
      <c r="A39" s="2"/>
      <c r="B39" s="29" t="n">
        <f aca="false">Inputs!$B$15+(0.025)</f>
        <v>0.475</v>
      </c>
      <c r="C39" s="21" t="n">
        <f aca="false">SUMPRODUCT($C$17:$G$17/(1+$B39)^$C$5:$G$5)+C$35*$G$9/(1+$B39)^$G$5+Inputs!$B$9-Inputs!$B$10</f>
        <v>20949.3426918029</v>
      </c>
      <c r="D39" s="21" t="n">
        <f aca="false">SUMPRODUCT($C$17:$G$17/(1+$B39)^$C$5:$G$5)+D$35*$G$9/(1+$B39)^$G$5+Inputs!$B$9-Inputs!$B$10</f>
        <v>23426.8658008615</v>
      </c>
      <c r="E39" s="21" t="n">
        <f aca="false">SUMPRODUCT($C$17:$G$17/(1+$B39)^$C$5:$G$5)+E$35*$G$9/(1+$B39)^$G$5+Inputs!$B$9-Inputs!$B$10</f>
        <v>25904.3889099201</v>
      </c>
      <c r="F39" s="21" t="n">
        <f aca="false">SUMPRODUCT($C$17:$G$17/(1+$B39)^$C$5:$G$5)+F$35*$G$9/(1+$B39)^$G$5+Inputs!$B$9-Inputs!$B$10</f>
        <v>28381.9120189787</v>
      </c>
      <c r="G39" s="21" t="n">
        <f aca="false">SUMPRODUCT($C$17:$G$17/(1+$B39)^$C$5:$G$5)+G$35*$G$9/(1+$B39)^$G$5+Inputs!$B$9-Inputs!$B$10</f>
        <v>30859.4351280372</v>
      </c>
      <c r="H39" s="2"/>
    </row>
    <row r="40" customFormat="false" ht="15" hidden="false" customHeight="false" outlineLevel="0" collapsed="false">
      <c r="A40" s="2"/>
      <c r="B40" s="29" t="n">
        <f aca="false">Inputs!$B$15+(0.05)</f>
        <v>0.5</v>
      </c>
      <c r="C40" s="21" t="n">
        <f aca="false">SUMPRODUCT($C$17:$G$17/(1+$B40)^$C$5:$G$5)+C$35*$G$9/(1+$B40)^$G$5+Inputs!$B$9-Inputs!$B$10</f>
        <v>18999.2467911111</v>
      </c>
      <c r="D40" s="21" t="n">
        <f aca="false">SUMPRODUCT($C$17:$G$17/(1+$B40)^$C$5:$G$5)+D$35*$G$9/(1+$B40)^$G$5+Inputs!$B$9-Inputs!$B$10</f>
        <v>21277.0779022222</v>
      </c>
      <c r="E40" s="21" t="n">
        <f aca="false">SUMPRODUCT($C$17:$G$17/(1+$B40)^$C$5:$G$5)+E$35*$G$9/(1+$B40)^$G$5+Inputs!$B$9-Inputs!$B$10</f>
        <v>23554.9090133333</v>
      </c>
      <c r="F40" s="21" t="n">
        <f aca="false">SUMPRODUCT($C$17:$G$17/(1+$B40)^$C$5:$G$5)+F$35*$G$9/(1+$B40)^$G$5+Inputs!$B$9-Inputs!$B$10</f>
        <v>25832.7401244444</v>
      </c>
      <c r="G40" s="21" t="n">
        <f aca="false">SUMPRODUCT($C$17:$G$17/(1+$B40)^$C$5:$G$5)+G$35*$G$9/(1+$B40)^$G$5+Inputs!$B$9-Inputs!$B$10</f>
        <v>28110.5712355556</v>
      </c>
      <c r="H40" s="2"/>
    </row>
    <row r="41" customFormat="false" ht="15" hidden="false" customHeight="false" outlineLevel="0" collapsed="false">
      <c r="A41" s="2"/>
      <c r="B41" s="2"/>
      <c r="C41" s="2"/>
      <c r="D41" s="2"/>
      <c r="E41" s="2"/>
      <c r="F41" s="2"/>
      <c r="G41" s="2"/>
      <c r="H41" s="2"/>
    </row>
    <row r="42" customFormat="false" ht="15" hidden="false" customHeight="false" outlineLevel="0" collapsed="false">
      <c r="A42" s="4" t="s">
        <v>126</v>
      </c>
      <c r="B42" s="5"/>
      <c r="C42" s="5"/>
      <c r="D42" s="5"/>
      <c r="E42" s="5"/>
      <c r="F42" s="5"/>
      <c r="G42" s="5"/>
      <c r="H42" s="5"/>
    </row>
    <row r="43" customFormat="false" ht="15" hidden="false" customHeight="false" outlineLevel="0" collapsed="false">
      <c r="A43" s="2"/>
      <c r="B43" s="18" t="s">
        <v>127</v>
      </c>
      <c r="C43" s="29" t="n">
        <f aca="false">Inputs!$B$16+(-0.02)</f>
        <v>0.03</v>
      </c>
      <c r="D43" s="29" t="n">
        <f aca="false">Inputs!$B$16+(-0.01)</f>
        <v>0.04</v>
      </c>
      <c r="E43" s="29" t="n">
        <f aca="false">Inputs!$B$16+(0)</f>
        <v>0.05</v>
      </c>
      <c r="F43" s="29" t="n">
        <f aca="false">Inputs!$B$16+(0.01)</f>
        <v>0.06</v>
      </c>
      <c r="G43" s="29" t="n">
        <f aca="false">Inputs!$B$16+(0.02)</f>
        <v>0.07</v>
      </c>
      <c r="H43" s="2"/>
    </row>
    <row r="44" customFormat="false" ht="15" hidden="false" customHeight="false" outlineLevel="0" collapsed="false">
      <c r="A44" s="2"/>
      <c r="B44" s="29" t="n">
        <f aca="false">Inputs!$B$15+(-0.05)</f>
        <v>0.4</v>
      </c>
      <c r="C44" s="21" t="n">
        <f aca="false">SUMPRODUCT($C$17:$G$17/(1+$B44)^$C$5:$G$5)+IF($B44&gt;C$43,$G$17*(1+C$43)/($B44-C$43),0)/(1+$B44)^$G$5+Inputs!$B$9-Inputs!$B$10</f>
        <v>832.026250323629</v>
      </c>
      <c r="D44" s="21" t="n">
        <f aca="false">SUMPRODUCT($C$17:$G$17/(1+$B44)^$C$5:$G$5)+IF($B44&gt;D$43,$G$17*(1+D$43)/($B44-D$43),0)/(1+$B44)^$G$5+Inputs!$B$9-Inputs!$B$10</f>
        <v>1011.75676801333</v>
      </c>
      <c r="E44" s="21" t="n">
        <f aca="false">SUMPRODUCT($C$17:$G$17/(1+$B44)^$C$5:$G$5)+IF($B44&gt;E$43,$G$17*(1+E$43)/($B44-E$43),0)/(1+$B44)^$G$5+Inputs!$B$9-Inputs!$B$10</f>
        <v>1201.75760099959</v>
      </c>
      <c r="F44" s="21" t="n">
        <f aca="false">SUMPRODUCT($C$17:$G$17/(1+$B44)^$C$5:$G$5)+IF($B44&gt;F$43,$G$17*(1+F$43)/($B44-F$43),0)/(1+$B44)^$G$5+Inputs!$B$9-Inputs!$B$10</f>
        <v>1402.93495357327</v>
      </c>
      <c r="G44" s="21" t="n">
        <f aca="false">SUMPRODUCT($C$17:$G$17/(1+$B44)^$C$5:$G$5)+IF($B44&gt;G$43,$G$17*(1+G$43)/($B44-G$43),0)/(1+$B44)^$G$5+Inputs!$B$9-Inputs!$B$10</f>
        <v>1616.3048729696</v>
      </c>
      <c r="H44" s="2"/>
    </row>
    <row r="45" customFormat="false" ht="15" hidden="false" customHeight="false" outlineLevel="0" collapsed="false">
      <c r="A45" s="2"/>
      <c r="B45" s="29" t="n">
        <f aca="false">Inputs!$B$15+(-0.025)</f>
        <v>0.425</v>
      </c>
      <c r="C45" s="21" t="n">
        <f aca="false">SUMPRODUCT($C$17:$G$17/(1+$B45)^$C$5:$G$5)+IF($B45&gt;C$43,$G$17*(1+C$43)/($B45-C$43),0)/(1+$B45)^$G$5+Inputs!$B$9-Inputs!$B$10</f>
        <v>179.599204651338</v>
      </c>
      <c r="D45" s="21" t="n">
        <f aca="false">SUMPRODUCT($C$17:$G$17/(1+$B45)^$C$5:$G$5)+IF($B45&gt;D$43,$G$17*(1+D$43)/($B45-D$43),0)/(1+$B45)^$G$5+Inputs!$B$9-Inputs!$B$10</f>
        <v>326.262321498454</v>
      </c>
      <c r="E45" s="21" t="n">
        <f aca="false">SUMPRODUCT($C$17:$G$17/(1+$B45)^$C$5:$G$5)+IF($B45&gt;E$43,$G$17*(1+E$43)/($B45-E$43),0)/(1+$B45)^$G$5+Inputs!$B$9-Inputs!$B$10</f>
        <v>480.747471244082</v>
      </c>
      <c r="F45" s="21" t="n">
        <f aca="false">SUMPRODUCT($C$17:$G$17/(1+$B45)^$C$5:$G$5)+IF($B45&gt;F$43,$G$17*(1+F$43)/($B45-F$43),0)/(1+$B45)^$G$5+Inputs!$B$9-Inputs!$B$10</f>
        <v>643.697560701799</v>
      </c>
      <c r="G45" s="21" t="n">
        <f aca="false">SUMPRODUCT($C$17:$G$17/(1+$B45)^$C$5:$G$5)+IF($B45&gt;G$43,$G$17*(1+G$43)/($B45-G$43),0)/(1+$B45)^$G$5+Inputs!$B$9-Inputs!$B$10</f>
        <v>815.827936889529</v>
      </c>
      <c r="H45" s="2"/>
    </row>
    <row r="46" customFormat="false" ht="15" hidden="false" customHeight="false" outlineLevel="0" collapsed="false">
      <c r="A46" s="2"/>
      <c r="B46" s="29" t="n">
        <f aca="false">Inputs!$B$15+(0)</f>
        <v>0.45</v>
      </c>
      <c r="C46" s="21" t="n">
        <f aca="false">SUMPRODUCT($C$17:$G$17/(1+$B46)^$C$5:$G$5)+IF($B46&gt;C$43,$G$17*(1+C$43)/($B46-C$43),0)/(1+$B46)^$G$5+Inputs!$B$9-Inputs!$B$10</f>
        <v>-348.440724407978</v>
      </c>
      <c r="D46" s="21" t="n">
        <f aca="false">SUMPRODUCT($C$17:$G$17/(1+$B46)^$C$5:$G$5)+IF($B46&gt;D$43,$G$17*(1+D$43)/($B46-D$43),0)/(1+$B46)^$G$5+Inputs!$B$9-Inputs!$B$10</f>
        <v>-227.622336463297</v>
      </c>
      <c r="E46" s="30" t="n">
        <f aca="false">SUMPRODUCT($C$17:$G$17/(1+$B46)^$C$5:$G$5)+IF($B46&gt;E$43,$G$17*(1+E$43)/($B46-E$43),0)/(1+$B46)^$G$5+Inputs!$B$9-Inputs!$B$10</f>
        <v>-100.763029121382</v>
      </c>
      <c r="F46" s="21" t="n">
        <f aca="false">SUMPRODUCT($C$17:$G$17/(1+$B46)^$C$5:$G$5)+IF($B46&gt;F$43,$G$17*(1+F$43)/($B46-F$43),0)/(1+$B46)^$G$5+Inputs!$B$9-Inputs!$B$10</f>
        <v>32.6018837252486</v>
      </c>
      <c r="G46" s="21" t="n">
        <f aca="false">SUMPRODUCT($C$17:$G$17/(1+$B46)^$C$5:$G$5)+IF($B46&gt;G$43,$G$17*(1+G$43)/($B46-G$43),0)/(1+$B46)^$G$5+Inputs!$B$9-Inputs!$B$10</f>
        <v>172.986002511174</v>
      </c>
      <c r="H46" s="2"/>
    </row>
    <row r="47" customFormat="false" ht="15" hidden="false" customHeight="false" outlineLevel="0" collapsed="false">
      <c r="A47" s="2"/>
      <c r="B47" s="29" t="n">
        <f aca="false">Inputs!$B$15+(0.025)</f>
        <v>0.475</v>
      </c>
      <c r="C47" s="21" t="n">
        <f aca="false">SUMPRODUCT($C$17:$G$17/(1+$B47)^$C$5:$G$5)+IF($B47&gt;C$43,$G$17*(1+C$43)/($B47-C$43),0)/(1+$B47)^$G$5+Inputs!$B$9-Inputs!$B$10</f>
        <v>-776.903278349363</v>
      </c>
      <c r="D47" s="21" t="n">
        <f aca="false">SUMPRODUCT($C$17:$G$17/(1+$B47)^$C$5:$G$5)+IF($B47&gt;D$43,$G$17*(1+D$43)/($B47-D$43),0)/(1+$B47)^$G$5+Inputs!$B$9-Inputs!$B$10</f>
        <v>-676.529368012586</v>
      </c>
      <c r="E47" s="21" t="n">
        <f aca="false">SUMPRODUCT($C$17:$G$17/(1+$B47)^$C$5:$G$5)+IF($B47&gt;E$43,$G$17*(1+E$43)/($B47-E$43),0)/(1+$B47)^$G$5+Inputs!$B$9-Inputs!$B$10</f>
        <v>-571.431979542315</v>
      </c>
      <c r="F47" s="21" t="n">
        <f aca="false">SUMPRODUCT($C$17:$G$17/(1+$B47)^$C$5:$G$5)+IF($B47&gt;F$43,$G$17*(1+F$43)/($B47-F$43),0)/(1+$B47)^$G$5+Inputs!$B$9-Inputs!$B$10</f>
        <v>-461.269656687934</v>
      </c>
      <c r="G47" s="21" t="n">
        <f aca="false">SUMPRODUCT($C$17:$G$17/(1+$B47)^$C$5:$G$5)+IF($B47&gt;G$43,$G$17*(1+G$43)/($B47-G$43),0)/(1+$B47)^$G$5+Inputs!$B$9-Inputs!$B$10</f>
        <v>-345.667219124694</v>
      </c>
      <c r="H47" s="2"/>
    </row>
    <row r="48" customFormat="false" ht="15" hidden="false" customHeight="false" outlineLevel="0" collapsed="false">
      <c r="A48" s="2"/>
      <c r="B48" s="29" t="n">
        <f aca="false">Inputs!$B$15+(0.05)</f>
        <v>0.5</v>
      </c>
      <c r="C48" s="21" t="n">
        <f aca="false">SUMPRODUCT($C$17:$G$17/(1+$B48)^$C$5:$G$5)+IF($B48&gt;C$43,$G$17*(1+C$43)/($B48-C$43),0)/(1+$B48)^$G$5+Inputs!$B$9-Inputs!$B$10</f>
        <v>-1124.93998297872</v>
      </c>
      <c r="D48" s="21" t="n">
        <f aca="false">SUMPRODUCT($C$17:$G$17/(1+$B48)^$C$5:$G$5)+IF($B48&gt;D$43,$G$17*(1+D$43)/($B48-D$43),0)/(1+$B48)^$G$5+Inputs!$B$9-Inputs!$B$10</f>
        <v>-1040.91325217391</v>
      </c>
      <c r="E48" s="21" t="n">
        <f aca="false">SUMPRODUCT($C$17:$G$17/(1+$B48)^$C$5:$G$5)+IF($B48&gt;E$43,$G$17*(1+E$43)/($B48-E$43),0)/(1+$B48)^$G$5+Inputs!$B$9-Inputs!$B$10</f>
        <v>-953.152000000001</v>
      </c>
      <c r="F48" s="21" t="n">
        <f aca="false">SUMPRODUCT($C$17:$G$17/(1+$B48)^$C$5:$G$5)+IF($B48&gt;F$43,$G$17*(1+F$43)/($B48-F$43),0)/(1+$B48)^$G$5+Inputs!$B$9-Inputs!$B$10</f>
        <v>-861.401600000001</v>
      </c>
      <c r="G48" s="21" t="n">
        <f aca="false">SUMPRODUCT($C$17:$G$17/(1+$B48)^$C$5:$G$5)+IF($B48&gt;G$43,$G$17*(1+G$43)/($B48-G$43),0)/(1+$B48)^$G$5+Inputs!$B$9-Inputs!$B$10</f>
        <v>-765.383739534884</v>
      </c>
      <c r="H48" s="2"/>
    </row>
    <row r="49" customFormat="false" ht="15" hidden="false" customHeight="false" outlineLevel="0" collapsed="false">
      <c r="A49" s="2"/>
      <c r="B49" s="2"/>
      <c r="C49" s="2"/>
      <c r="D49" s="2"/>
      <c r="E49" s="2"/>
      <c r="F49" s="2"/>
      <c r="G49" s="2"/>
      <c r="H49" s="2"/>
    </row>
    <row r="50" customFormat="false" ht="15" hidden="false" customHeight="false" outlineLevel="0" collapsed="false">
      <c r="A50" s="3" t="s">
        <v>128</v>
      </c>
      <c r="B50" s="2"/>
      <c r="C50" s="2"/>
      <c r="D50" s="2"/>
      <c r="E50" s="2"/>
      <c r="F50" s="2"/>
      <c r="G50" s="2"/>
      <c r="H50" s="2"/>
    </row>
  </sheetData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E23"/>
  <sheetViews>
    <sheetView showFormulas="false" showGridLines="fals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34"/>
    <col collapsed="false" customWidth="true" hidden="false" outlineLevel="0" max="2" min="2" style="0" width="22"/>
    <col collapsed="false" customWidth="true" hidden="false" outlineLevel="0" max="4" min="3" style="0" width="14"/>
    <col collapsed="false" customWidth="true" hidden="false" outlineLevel="0" max="5" min="5" style="0" width="40"/>
  </cols>
  <sheetData>
    <row r="1" customFormat="false" ht="17.35" hidden="false" customHeight="false" outlineLevel="0" collapsed="false">
      <c r="A1" s="1" t="s">
        <v>129</v>
      </c>
      <c r="B1" s="2"/>
      <c r="C1" s="2"/>
      <c r="D1" s="2"/>
      <c r="E1" s="2"/>
    </row>
    <row r="2" customFormat="false" ht="15" hidden="false" customHeight="false" outlineLevel="0" collapsed="false">
      <c r="A2" s="3" t="s">
        <v>130</v>
      </c>
      <c r="B2" s="2"/>
      <c r="C2" s="2"/>
      <c r="D2" s="2"/>
      <c r="E2" s="2"/>
    </row>
    <row r="3" customFormat="false" ht="15" hidden="false" customHeight="false" outlineLevel="0" collapsed="false">
      <c r="A3" s="2"/>
      <c r="B3" s="2"/>
      <c r="C3" s="2"/>
      <c r="D3" s="2"/>
      <c r="E3" s="2"/>
    </row>
    <row r="4" customFormat="false" ht="15" hidden="false" customHeight="false" outlineLevel="0" collapsed="false">
      <c r="A4" s="15" t="s">
        <v>131</v>
      </c>
      <c r="B4" s="15" t="s">
        <v>132</v>
      </c>
      <c r="C4" s="15" t="s">
        <v>133</v>
      </c>
      <c r="D4" s="15" t="s">
        <v>134</v>
      </c>
      <c r="E4" s="15" t="s">
        <v>135</v>
      </c>
    </row>
    <row r="5" customFormat="false" ht="15" hidden="false" customHeight="false" outlineLevel="0" collapsed="false">
      <c r="A5" s="6" t="s">
        <v>136</v>
      </c>
      <c r="B5" s="6" t="s">
        <v>137</v>
      </c>
      <c r="C5" s="13" t="n">
        <v>2.5</v>
      </c>
      <c r="D5" s="6" t="s">
        <v>138</v>
      </c>
      <c r="E5" s="6" t="s">
        <v>139</v>
      </c>
    </row>
    <row r="6" customFormat="false" ht="15" hidden="false" customHeight="false" outlineLevel="0" collapsed="false">
      <c r="A6" s="6" t="s">
        <v>140</v>
      </c>
      <c r="B6" s="6" t="s">
        <v>137</v>
      </c>
      <c r="C6" s="13" t="n">
        <v>3.2</v>
      </c>
      <c r="D6" s="6" t="s">
        <v>138</v>
      </c>
      <c r="E6" s="6" t="s">
        <v>139</v>
      </c>
    </row>
    <row r="7" customFormat="false" ht="15" hidden="false" customHeight="false" outlineLevel="0" collapsed="false">
      <c r="A7" s="6" t="s">
        <v>141</v>
      </c>
      <c r="B7" s="6" t="s">
        <v>142</v>
      </c>
      <c r="C7" s="13" t="n">
        <v>4</v>
      </c>
      <c r="D7" s="6" t="s">
        <v>138</v>
      </c>
      <c r="E7" s="6" t="s">
        <v>139</v>
      </c>
    </row>
    <row r="8" customFormat="false" ht="15" hidden="false" customHeight="false" outlineLevel="0" collapsed="false">
      <c r="A8" s="6" t="s">
        <v>143</v>
      </c>
      <c r="B8" s="6" t="s">
        <v>144</v>
      </c>
      <c r="C8" s="13" t="n">
        <v>1.8</v>
      </c>
      <c r="D8" s="6" t="s">
        <v>138</v>
      </c>
      <c r="E8" s="6" t="s">
        <v>139</v>
      </c>
    </row>
    <row r="9" customFormat="false" ht="15" hidden="false" customHeight="false" outlineLevel="0" collapsed="false">
      <c r="A9" s="6" t="s">
        <v>145</v>
      </c>
      <c r="B9" s="6" t="s">
        <v>142</v>
      </c>
      <c r="C9" s="13" t="n">
        <v>5.5</v>
      </c>
      <c r="D9" s="6" t="s">
        <v>138</v>
      </c>
      <c r="E9" s="6" t="s">
        <v>139</v>
      </c>
    </row>
    <row r="10" customFormat="false" ht="15" hidden="false" customHeight="false" outlineLevel="0" collapsed="false">
      <c r="A10" s="2"/>
      <c r="B10" s="2"/>
      <c r="C10" s="2"/>
      <c r="D10" s="2"/>
      <c r="E10" s="2"/>
    </row>
    <row r="11" customFormat="false" ht="15" hidden="false" customHeight="false" outlineLevel="0" collapsed="false">
      <c r="A11" s="4" t="s">
        <v>146</v>
      </c>
      <c r="B11" s="5"/>
      <c r="C11" s="5"/>
      <c r="D11" s="5"/>
      <c r="E11" s="5"/>
    </row>
    <row r="12" customFormat="false" ht="15" hidden="false" customHeight="false" outlineLevel="0" collapsed="false">
      <c r="A12" s="2" t="s">
        <v>147</v>
      </c>
      <c r="B12" s="2"/>
      <c r="C12" s="24" t="n">
        <f aca="false">QUARTILE(C5:C9,1)</f>
        <v>2.5</v>
      </c>
      <c r="D12" s="2"/>
      <c r="E12" s="2"/>
    </row>
    <row r="13" customFormat="false" ht="15" hidden="false" customHeight="false" outlineLevel="0" collapsed="false">
      <c r="A13" s="2" t="s">
        <v>148</v>
      </c>
      <c r="B13" s="2"/>
      <c r="C13" s="24" t="n">
        <f aca="false">MEDIAN(C5:C9)</f>
        <v>3.2</v>
      </c>
      <c r="D13" s="2"/>
      <c r="E13" s="3" t="s">
        <v>149</v>
      </c>
    </row>
    <row r="14" customFormat="false" ht="15" hidden="false" customHeight="false" outlineLevel="0" collapsed="false">
      <c r="A14" s="2" t="s">
        <v>150</v>
      </c>
      <c r="B14" s="2"/>
      <c r="C14" s="24" t="n">
        <f aca="false">QUARTILE(C5:C9,3)</f>
        <v>4</v>
      </c>
      <c r="D14" s="2"/>
      <c r="E14" s="2"/>
    </row>
    <row r="15" customFormat="false" ht="15" hidden="false" customHeight="false" outlineLevel="0" collapsed="false">
      <c r="A15" s="2"/>
      <c r="B15" s="2"/>
      <c r="C15" s="2"/>
      <c r="D15" s="2"/>
      <c r="E15" s="2"/>
    </row>
    <row r="16" customFormat="false" ht="15" hidden="false" customHeight="false" outlineLevel="0" collapsed="false">
      <c r="A16" s="4" t="s">
        <v>151</v>
      </c>
      <c r="B16" s="5"/>
      <c r="C16" s="5"/>
      <c r="D16" s="5"/>
      <c r="E16" s="5"/>
    </row>
    <row r="17" customFormat="false" ht="15" hidden="false" customHeight="false" outlineLevel="0" collapsed="false">
      <c r="A17" s="15"/>
      <c r="B17" s="15" t="s">
        <v>152</v>
      </c>
      <c r="C17" s="15" t="s">
        <v>153</v>
      </c>
      <c r="D17" s="15" t="s">
        <v>154</v>
      </c>
      <c r="E17" s="2"/>
    </row>
    <row r="18" customFormat="false" ht="15" hidden="false" customHeight="false" outlineLevel="0" collapsed="false">
      <c r="A18" s="2" t="s">
        <v>155</v>
      </c>
      <c r="B18" s="19" t="n">
        <f aca="false">Inputs!$B$13</f>
        <v>6000</v>
      </c>
      <c r="C18" s="19" t="n">
        <f aca="false">Inputs!$B$13</f>
        <v>6000</v>
      </c>
      <c r="D18" s="19" t="n">
        <f aca="false">Inputs!$B$13</f>
        <v>6000</v>
      </c>
      <c r="E18" s="2"/>
    </row>
    <row r="19" customFormat="false" ht="15" hidden="false" customHeight="false" outlineLevel="0" collapsed="false">
      <c r="A19" s="2" t="s">
        <v>156</v>
      </c>
      <c r="B19" s="24" t="n">
        <f aca="false">$C$12</f>
        <v>2.5</v>
      </c>
      <c r="C19" s="24" t="n">
        <f aca="false">$C$13</f>
        <v>3.2</v>
      </c>
      <c r="D19" s="24" t="n">
        <f aca="false">$C$14</f>
        <v>4</v>
      </c>
      <c r="E19" s="2"/>
    </row>
    <row r="20" customFormat="false" ht="15" hidden="false" customHeight="false" outlineLevel="0" collapsed="false">
      <c r="A20" s="2" t="s">
        <v>157</v>
      </c>
      <c r="B20" s="17" t="n">
        <f aca="false">Inputs!$B$28</f>
        <v>0.3</v>
      </c>
      <c r="C20" s="17" t="n">
        <f aca="false">Inputs!$B$28</f>
        <v>0.3</v>
      </c>
      <c r="D20" s="17" t="n">
        <f aca="false">Inputs!$B$28</f>
        <v>0.3</v>
      </c>
      <c r="E20" s="2"/>
    </row>
    <row r="21" customFormat="false" ht="15" hidden="false" customHeight="false" outlineLevel="0" collapsed="false">
      <c r="A21" s="2" t="s">
        <v>118</v>
      </c>
      <c r="B21" s="21" t="n">
        <f aca="false">B18*B19*(1-B20)</f>
        <v>10500</v>
      </c>
      <c r="C21" s="21" t="n">
        <f aca="false">C18*C19*(1-C20)</f>
        <v>13440</v>
      </c>
      <c r="D21" s="21" t="n">
        <f aca="false">D18*D19*(1-D20)</f>
        <v>16800</v>
      </c>
      <c r="E21" s="2"/>
    </row>
    <row r="22" customFormat="false" ht="15" hidden="false" customHeight="false" outlineLevel="0" collapsed="false">
      <c r="A22" s="2" t="s">
        <v>158</v>
      </c>
      <c r="B22" s="19" t="n">
        <f aca="false">Inputs!$B$9-Inputs!$B$10</f>
        <v>2000</v>
      </c>
      <c r="C22" s="19" t="n">
        <f aca="false">Inputs!$B$9-Inputs!$B$10</f>
        <v>2000</v>
      </c>
      <c r="D22" s="19" t="n">
        <f aca="false">Inputs!$B$9-Inputs!$B$10</f>
        <v>2000</v>
      </c>
      <c r="E22" s="2"/>
    </row>
    <row r="23" customFormat="false" ht="15" hidden="false" customHeight="false" outlineLevel="0" collapsed="false">
      <c r="A23" s="26" t="s">
        <v>159</v>
      </c>
      <c r="B23" s="22" t="n">
        <f aca="false">B21+B22</f>
        <v>12500</v>
      </c>
      <c r="C23" s="22" t="n">
        <f aca="false">C21+C22</f>
        <v>15440</v>
      </c>
      <c r="D23" s="22" t="n">
        <f aca="false">D21+D22</f>
        <v>18800</v>
      </c>
      <c r="E23" s="2"/>
    </row>
  </sheetData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E14"/>
  <sheetViews>
    <sheetView showFormulas="false" showGridLines="fals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48"/>
    <col collapsed="false" customWidth="true" hidden="false" outlineLevel="0" max="4" min="2" style="0" width="14"/>
    <col collapsed="false" customWidth="true" hidden="false" outlineLevel="0" max="5" min="5" style="0" width="44"/>
  </cols>
  <sheetData>
    <row r="1" customFormat="false" ht="17.35" hidden="false" customHeight="false" outlineLevel="0" collapsed="false">
      <c r="A1" s="1" t="s">
        <v>160</v>
      </c>
      <c r="B1" s="2"/>
      <c r="C1" s="2"/>
      <c r="D1" s="2"/>
      <c r="E1" s="2"/>
    </row>
    <row r="2" customFormat="false" ht="15" hidden="false" customHeight="false" outlineLevel="0" collapsed="false">
      <c r="A2" s="3" t="s">
        <v>161</v>
      </c>
      <c r="B2" s="2"/>
      <c r="C2" s="2"/>
      <c r="D2" s="2"/>
      <c r="E2" s="2"/>
    </row>
    <row r="3" customFormat="false" ht="15" hidden="false" customHeight="false" outlineLevel="0" collapsed="false">
      <c r="A3" s="2"/>
      <c r="B3" s="2"/>
      <c r="C3" s="2"/>
      <c r="D3" s="2"/>
      <c r="E3" s="2"/>
    </row>
    <row r="4" customFormat="false" ht="15" hidden="false" customHeight="false" outlineLevel="0" collapsed="false">
      <c r="A4" s="15"/>
      <c r="B4" s="15" t="s">
        <v>152</v>
      </c>
      <c r="C4" s="15" t="s">
        <v>153</v>
      </c>
      <c r="D4" s="15" t="s">
        <v>154</v>
      </c>
      <c r="E4" s="15" t="s">
        <v>162</v>
      </c>
    </row>
    <row r="5" customFormat="false" ht="15" hidden="false" customHeight="false" outlineLevel="0" collapsed="false">
      <c r="A5" s="2" t="s">
        <v>163</v>
      </c>
      <c r="B5" s="19" t="n">
        <f aca="false">DCF!$G$7</f>
        <v>69189.12</v>
      </c>
      <c r="C5" s="19" t="n">
        <f aca="false">DCF!$G$7</f>
        <v>69189.12</v>
      </c>
      <c r="D5" s="19" t="n">
        <f aca="false">DCF!$G$7</f>
        <v>69189.12</v>
      </c>
      <c r="E5" s="3"/>
    </row>
    <row r="6" customFormat="false" ht="15" hidden="false" customHeight="false" outlineLevel="0" collapsed="false">
      <c r="A6" s="2" t="s">
        <v>164</v>
      </c>
      <c r="B6" s="31" t="n">
        <f aca="false">Inputs!$B$29</f>
        <v>3</v>
      </c>
      <c r="C6" s="31" t="n">
        <f aca="false">Inputs!$B$29</f>
        <v>3</v>
      </c>
      <c r="D6" s="31" t="n">
        <f aca="false">Inputs!$B$29</f>
        <v>3</v>
      </c>
      <c r="E6" s="3"/>
    </row>
    <row r="7" customFormat="false" ht="15" hidden="false" customHeight="false" outlineLevel="0" collapsed="false">
      <c r="A7" s="2" t="s">
        <v>165</v>
      </c>
      <c r="B7" s="21" t="n">
        <f aca="false">B5*B6</f>
        <v>207567.36</v>
      </c>
      <c r="C7" s="21" t="n">
        <f aca="false">C5*C6</f>
        <v>207567.36</v>
      </c>
      <c r="D7" s="21" t="n">
        <f aca="false">D5*D6</f>
        <v>207567.36</v>
      </c>
      <c r="E7" s="3"/>
    </row>
    <row r="8" customFormat="false" ht="15" hidden="false" customHeight="false" outlineLevel="0" collapsed="false">
      <c r="A8" s="2" t="s">
        <v>166</v>
      </c>
      <c r="B8" s="25" t="n">
        <f aca="false">1-Inputs!$B$30</f>
        <v>0.7</v>
      </c>
      <c r="C8" s="25" t="n">
        <f aca="false">1-Inputs!$B$30</f>
        <v>0.7</v>
      </c>
      <c r="D8" s="25" t="n">
        <f aca="false">1-Inputs!$B$30</f>
        <v>0.7</v>
      </c>
      <c r="E8" s="3" t="s">
        <v>167</v>
      </c>
    </row>
    <row r="9" customFormat="false" ht="15" hidden="false" customHeight="false" outlineLevel="0" collapsed="false">
      <c r="A9" s="2" t="s">
        <v>168</v>
      </c>
      <c r="B9" s="31" t="n">
        <f aca="false">Inputs!$B$31</f>
        <v>15</v>
      </c>
      <c r="C9" s="31" t="n">
        <f aca="false">Inputs!$B$32</f>
        <v>10</v>
      </c>
      <c r="D9" s="31" t="n">
        <f aca="false">Inputs!$B$33</f>
        <v>7</v>
      </c>
      <c r="E9" s="3" t="s">
        <v>169</v>
      </c>
    </row>
    <row r="10" customFormat="false" ht="15" hidden="false" customHeight="false" outlineLevel="0" collapsed="false">
      <c r="A10" s="2" t="s">
        <v>170</v>
      </c>
      <c r="B10" s="21" t="n">
        <f aca="false">B7*B8/B9</f>
        <v>9686.4768</v>
      </c>
      <c r="C10" s="21" t="n">
        <f aca="false">C7*C8/C9</f>
        <v>14529.7152</v>
      </c>
      <c r="D10" s="21" t="n">
        <f aca="false">D7*D8/D9</f>
        <v>20756.736</v>
      </c>
      <c r="E10" s="3" t="s">
        <v>171</v>
      </c>
    </row>
    <row r="11" customFormat="false" ht="15" hidden="false" customHeight="false" outlineLevel="0" collapsed="false">
      <c r="A11" s="2" t="s">
        <v>172</v>
      </c>
      <c r="B11" s="19" t="n">
        <f aca="false">-Inputs!$B$8</f>
        <v>-4000</v>
      </c>
      <c r="C11" s="19" t="n">
        <f aca="false">-Inputs!$B$8</f>
        <v>-4000</v>
      </c>
      <c r="D11" s="19" t="n">
        <f aca="false">-Inputs!$B$8</f>
        <v>-4000</v>
      </c>
      <c r="E11" s="3"/>
    </row>
    <row r="12" customFormat="false" ht="15" hidden="false" customHeight="false" outlineLevel="0" collapsed="false">
      <c r="A12" s="26" t="s">
        <v>173</v>
      </c>
      <c r="B12" s="27" t="n">
        <f aca="false">B10+B11</f>
        <v>5686.4768</v>
      </c>
      <c r="C12" s="27" t="n">
        <f aca="false">C10+C11</f>
        <v>10529.7152</v>
      </c>
      <c r="D12" s="27" t="n">
        <f aca="false">D10+D11</f>
        <v>16756.736</v>
      </c>
      <c r="E12" s="3"/>
    </row>
    <row r="13" customFormat="false" ht="15" hidden="false" customHeight="false" outlineLevel="0" collapsed="false">
      <c r="A13" s="2" t="s">
        <v>174</v>
      </c>
      <c r="B13" s="25" t="n">
        <f aca="false">IFERROR(Inputs!$B$8/B10,0)</f>
        <v>0.41294684151827</v>
      </c>
      <c r="C13" s="25" t="n">
        <f aca="false">IFERROR(Inputs!$B$8/C10,0)</f>
        <v>0.275297894345513</v>
      </c>
      <c r="D13" s="25" t="n">
        <f aca="false">IFERROR(Inputs!$B$8/D10,0)</f>
        <v>0.192708526041859</v>
      </c>
      <c r="E13" s="3"/>
    </row>
    <row r="14" customFormat="false" ht="15" hidden="false" customHeight="false" outlineLevel="0" collapsed="false">
      <c r="A14" s="2" t="s">
        <v>175</v>
      </c>
      <c r="B14" s="25" t="n">
        <f aca="false">B9^(1/DCF!$G$5)-1</f>
        <v>0.718771927587479</v>
      </c>
      <c r="C14" s="25" t="n">
        <f aca="false">C9^(1/DCF!$G$5)-1</f>
        <v>0.584893192461114</v>
      </c>
      <c r="D14" s="25" t="n">
        <f aca="false">D9^(1/DCF!$G$5)-1</f>
        <v>0.475773161594552</v>
      </c>
      <c r="E14" s="3" t="s">
        <v>176</v>
      </c>
    </row>
  </sheetData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E16"/>
  <sheetViews>
    <sheetView showFormulas="false" showGridLines="fals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44"/>
    <col collapsed="false" customWidth="true" hidden="false" outlineLevel="0" max="4" min="2" style="0" width="14"/>
    <col collapsed="false" customWidth="true" hidden="false" outlineLevel="0" max="5" min="5" style="0" width="48"/>
  </cols>
  <sheetData>
    <row r="1" customFormat="false" ht="17.35" hidden="false" customHeight="false" outlineLevel="0" collapsed="false">
      <c r="A1" s="1" t="s">
        <v>177</v>
      </c>
      <c r="B1" s="2"/>
      <c r="C1" s="2"/>
      <c r="D1" s="2"/>
      <c r="E1" s="2"/>
    </row>
    <row r="2" customFormat="false" ht="15" hidden="false" customHeight="false" outlineLevel="0" collapsed="false">
      <c r="A2" s="3" t="s">
        <v>178</v>
      </c>
      <c r="B2" s="2"/>
      <c r="C2" s="2"/>
      <c r="D2" s="2"/>
      <c r="E2" s="2"/>
    </row>
    <row r="3" customFormat="false" ht="15" hidden="false" customHeight="false" outlineLevel="0" collapsed="false">
      <c r="A3" s="2"/>
      <c r="B3" s="2"/>
      <c r="C3" s="2"/>
      <c r="D3" s="2"/>
      <c r="E3" s="2"/>
    </row>
    <row r="4" customFormat="false" ht="15" hidden="false" customHeight="false" outlineLevel="0" collapsed="false">
      <c r="A4" s="2" t="s">
        <v>179</v>
      </c>
      <c r="B4" s="2"/>
      <c r="C4" s="11" t="n">
        <v>20000</v>
      </c>
      <c r="D4" s="2"/>
      <c r="E4" s="3" t="s">
        <v>180</v>
      </c>
    </row>
    <row r="5" customFormat="false" ht="15" hidden="false" customHeight="false" outlineLevel="0" collapsed="false">
      <c r="A5" s="2"/>
      <c r="B5" s="2"/>
      <c r="C5" s="2"/>
      <c r="D5" s="2"/>
      <c r="E5" s="2"/>
    </row>
    <row r="6" customFormat="false" ht="15" hidden="false" customHeight="false" outlineLevel="0" collapsed="false">
      <c r="A6" s="15" t="s">
        <v>181</v>
      </c>
      <c r="B6" s="15" t="s">
        <v>182</v>
      </c>
      <c r="C6" s="15" t="s">
        <v>183</v>
      </c>
      <c r="D6" s="15" t="s">
        <v>184</v>
      </c>
      <c r="E6" s="15" t="s">
        <v>185</v>
      </c>
    </row>
    <row r="7" customFormat="false" ht="15" hidden="false" customHeight="false" outlineLevel="0" collapsed="false">
      <c r="A7" s="2" t="s">
        <v>186</v>
      </c>
      <c r="B7" s="12" t="n">
        <v>0.3</v>
      </c>
      <c r="C7" s="32" t="n">
        <v>1.25</v>
      </c>
      <c r="D7" s="25" t="n">
        <f aca="false">B7*C7</f>
        <v>0.375</v>
      </c>
      <c r="E7" s="3" t="s">
        <v>187</v>
      </c>
    </row>
    <row r="8" customFormat="false" ht="15" hidden="false" customHeight="false" outlineLevel="0" collapsed="false">
      <c r="A8" s="2" t="s">
        <v>188</v>
      </c>
      <c r="B8" s="12" t="n">
        <v>0.25</v>
      </c>
      <c r="C8" s="32" t="n">
        <v>1.5</v>
      </c>
      <c r="D8" s="25" t="n">
        <f aca="false">B8*C8</f>
        <v>0.375</v>
      </c>
      <c r="E8" s="3"/>
    </row>
    <row r="9" customFormat="false" ht="15" hidden="false" customHeight="false" outlineLevel="0" collapsed="false">
      <c r="A9" s="2" t="s">
        <v>189</v>
      </c>
      <c r="B9" s="12" t="n">
        <v>0.15</v>
      </c>
      <c r="C9" s="32" t="n">
        <v>1</v>
      </c>
      <c r="D9" s="25" t="n">
        <f aca="false">B9*C9</f>
        <v>0.15</v>
      </c>
      <c r="E9" s="3"/>
    </row>
    <row r="10" customFormat="false" ht="15" hidden="false" customHeight="false" outlineLevel="0" collapsed="false">
      <c r="A10" s="2" t="s">
        <v>190</v>
      </c>
      <c r="B10" s="12" t="n">
        <v>0.1</v>
      </c>
      <c r="C10" s="32" t="n">
        <v>0.75</v>
      </c>
      <c r="D10" s="25" t="n">
        <f aca="false">B10*C10</f>
        <v>0.075</v>
      </c>
      <c r="E10" s="3" t="s">
        <v>191</v>
      </c>
    </row>
    <row r="11" customFormat="false" ht="15" hidden="false" customHeight="false" outlineLevel="0" collapsed="false">
      <c r="A11" s="2" t="s">
        <v>192</v>
      </c>
      <c r="B11" s="12" t="n">
        <v>0.1</v>
      </c>
      <c r="C11" s="32" t="n">
        <v>1</v>
      </c>
      <c r="D11" s="25" t="n">
        <f aca="false">B11*C11</f>
        <v>0.1</v>
      </c>
      <c r="E11" s="3"/>
    </row>
    <row r="12" customFormat="false" ht="15" hidden="false" customHeight="false" outlineLevel="0" collapsed="false">
      <c r="A12" s="2" t="s">
        <v>193</v>
      </c>
      <c r="B12" s="12" t="n">
        <v>0.05</v>
      </c>
      <c r="C12" s="32" t="n">
        <v>1</v>
      </c>
      <c r="D12" s="25" t="n">
        <f aca="false">B12*C12</f>
        <v>0.05</v>
      </c>
      <c r="E12" s="3"/>
    </row>
    <row r="13" customFormat="false" ht="15" hidden="false" customHeight="false" outlineLevel="0" collapsed="false">
      <c r="A13" s="2" t="s">
        <v>194</v>
      </c>
      <c r="B13" s="12" t="n">
        <v>0.05</v>
      </c>
      <c r="C13" s="32" t="n">
        <v>1</v>
      </c>
      <c r="D13" s="25" t="n">
        <f aca="false">B13*C13</f>
        <v>0.05</v>
      </c>
      <c r="E13" s="3"/>
    </row>
    <row r="14" customFormat="false" ht="15" hidden="false" customHeight="false" outlineLevel="0" collapsed="false">
      <c r="A14" s="18" t="s">
        <v>195</v>
      </c>
      <c r="B14" s="29" t="n">
        <f aca="false">SUM(B7:B13)</f>
        <v>1</v>
      </c>
      <c r="C14" s="2"/>
      <c r="D14" s="29" t="n">
        <f aca="false">SUM(D7:D13)</f>
        <v>1.175</v>
      </c>
      <c r="E14" s="2" t="str">
        <f aca="false">IF(ABS(B14-1)&lt;0.0001,"Weights sum to 100%","ERROR: weights must sum to 100%")</f>
        <v>Weights sum to 100%</v>
      </c>
    </row>
    <row r="15" customFormat="false" ht="15" hidden="false" customHeight="false" outlineLevel="0" collapsed="false">
      <c r="A15" s="2"/>
      <c r="B15" s="2"/>
      <c r="C15" s="2"/>
      <c r="D15" s="2"/>
      <c r="E15" s="2"/>
    </row>
    <row r="16" customFormat="false" ht="15" hidden="false" customHeight="false" outlineLevel="0" collapsed="false">
      <c r="A16" s="26" t="s">
        <v>196</v>
      </c>
      <c r="B16" s="2"/>
      <c r="C16" s="33" t="n">
        <f aca="false">C4*D14</f>
        <v>23500</v>
      </c>
      <c r="D16" s="2"/>
      <c r="E16" s="2"/>
    </row>
  </sheetData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E15"/>
  <sheetViews>
    <sheetView showFormulas="false" showGridLines="fals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40"/>
    <col collapsed="false" customWidth="true" hidden="false" outlineLevel="0" max="2" min="2" style="0" width="30"/>
    <col collapsed="false" customWidth="true" hidden="false" outlineLevel="0" max="4" min="3" style="0" width="14"/>
    <col collapsed="false" customWidth="true" hidden="false" outlineLevel="0" max="5" min="5" style="0" width="40"/>
  </cols>
  <sheetData>
    <row r="1" customFormat="false" ht="17.35" hidden="false" customHeight="false" outlineLevel="0" collapsed="false">
      <c r="A1" s="1" t="s">
        <v>197</v>
      </c>
      <c r="B1" s="2"/>
      <c r="C1" s="2"/>
      <c r="D1" s="2"/>
      <c r="E1" s="2"/>
    </row>
    <row r="2" customFormat="false" ht="15" hidden="false" customHeight="false" outlineLevel="0" collapsed="false">
      <c r="A2" s="3" t="s">
        <v>198</v>
      </c>
      <c r="B2" s="2"/>
      <c r="C2" s="2"/>
      <c r="D2" s="2"/>
      <c r="E2" s="2"/>
    </row>
    <row r="3" customFormat="false" ht="15" hidden="false" customHeight="false" outlineLevel="0" collapsed="false">
      <c r="A3" s="2"/>
      <c r="B3" s="2"/>
      <c r="C3" s="2"/>
      <c r="D3" s="2"/>
      <c r="E3" s="2"/>
    </row>
    <row r="4" customFormat="false" ht="15" hidden="false" customHeight="false" outlineLevel="0" collapsed="false">
      <c r="A4" s="2" t="s">
        <v>199</v>
      </c>
      <c r="B4" s="2"/>
      <c r="C4" s="11" t="n">
        <v>4000</v>
      </c>
      <c r="D4" s="2"/>
      <c r="E4" s="3" t="s">
        <v>200</v>
      </c>
    </row>
    <row r="5" customFormat="false" ht="15" hidden="false" customHeight="false" outlineLevel="0" collapsed="false">
      <c r="A5" s="2"/>
      <c r="B5" s="2"/>
      <c r="C5" s="2"/>
      <c r="D5" s="2"/>
      <c r="E5" s="2"/>
    </row>
    <row r="6" customFormat="false" ht="15" hidden="false" customHeight="false" outlineLevel="0" collapsed="false">
      <c r="A6" s="15" t="s">
        <v>201</v>
      </c>
      <c r="B6" s="15" t="s">
        <v>202</v>
      </c>
      <c r="C6" s="15" t="s">
        <v>203</v>
      </c>
      <c r="D6" s="15" t="s">
        <v>204</v>
      </c>
      <c r="E6" s="2"/>
    </row>
    <row r="7" customFormat="false" ht="15" hidden="false" customHeight="false" outlineLevel="0" collapsed="false">
      <c r="A7" s="2" t="s">
        <v>205</v>
      </c>
      <c r="B7" s="2" t="s">
        <v>206</v>
      </c>
      <c r="C7" s="32" t="n">
        <v>0.75</v>
      </c>
      <c r="D7" s="21" t="n">
        <f aca="false">$C$4*MIN(1,MAX(0,C7))</f>
        <v>3000</v>
      </c>
      <c r="E7" s="2"/>
    </row>
    <row r="8" customFormat="false" ht="15" hidden="false" customHeight="false" outlineLevel="0" collapsed="false">
      <c r="A8" s="2" t="s">
        <v>207</v>
      </c>
      <c r="B8" s="2" t="s">
        <v>208</v>
      </c>
      <c r="C8" s="32" t="n">
        <v>1</v>
      </c>
      <c r="D8" s="21" t="n">
        <f aca="false">$C$4*MIN(1,MAX(0,C8))</f>
        <v>4000</v>
      </c>
      <c r="E8" s="2"/>
    </row>
    <row r="9" customFormat="false" ht="15" hidden="false" customHeight="false" outlineLevel="0" collapsed="false">
      <c r="A9" s="2" t="s">
        <v>209</v>
      </c>
      <c r="B9" s="2" t="s">
        <v>210</v>
      </c>
      <c r="C9" s="32" t="n">
        <v>0.75</v>
      </c>
      <c r="D9" s="21" t="n">
        <f aca="false">$C$4*MIN(1,MAX(0,C9))</f>
        <v>3000</v>
      </c>
      <c r="E9" s="2"/>
    </row>
    <row r="10" customFormat="false" ht="15" hidden="false" customHeight="false" outlineLevel="0" collapsed="false">
      <c r="A10" s="2" t="s">
        <v>211</v>
      </c>
      <c r="B10" s="2" t="s">
        <v>212</v>
      </c>
      <c r="C10" s="32" t="n">
        <v>0.5</v>
      </c>
      <c r="D10" s="21" t="n">
        <f aca="false">$C$4*MIN(1,MAX(0,C10))</f>
        <v>2000</v>
      </c>
      <c r="E10" s="2"/>
    </row>
    <row r="11" customFormat="false" ht="15" hidden="false" customHeight="false" outlineLevel="0" collapsed="false">
      <c r="A11" s="2" t="s">
        <v>213</v>
      </c>
      <c r="B11" s="2" t="s">
        <v>214</v>
      </c>
      <c r="C11" s="32" t="n">
        <v>1</v>
      </c>
      <c r="D11" s="21" t="n">
        <f aca="false">$C$4*MIN(1,MAX(0,C11))</f>
        <v>4000</v>
      </c>
      <c r="E11" s="2"/>
    </row>
    <row r="12" customFormat="false" ht="15" hidden="false" customHeight="false" outlineLevel="0" collapsed="false">
      <c r="A12" s="2"/>
      <c r="B12" s="2"/>
      <c r="C12" s="2"/>
      <c r="D12" s="2"/>
      <c r="E12" s="2"/>
    </row>
    <row r="13" customFormat="false" ht="15" hidden="false" customHeight="false" outlineLevel="0" collapsed="false">
      <c r="A13" s="26" t="s">
        <v>215</v>
      </c>
      <c r="B13" s="2"/>
      <c r="C13" s="2"/>
      <c r="D13" s="27" t="n">
        <f aca="false">SUM(D7:D11)</f>
        <v>16000</v>
      </c>
      <c r="E13" s="2"/>
    </row>
    <row r="14" customFormat="false" ht="15" hidden="false" customHeight="false" outlineLevel="0" collapsed="false">
      <c r="A14" s="2"/>
      <c r="B14" s="2"/>
      <c r="C14" s="2"/>
      <c r="D14" s="2"/>
      <c r="E14" s="2"/>
    </row>
    <row r="15" customFormat="false" ht="15" hidden="false" customHeight="false" outlineLevel="0" collapsed="false">
      <c r="A15" s="3" t="s">
        <v>216</v>
      </c>
      <c r="B15" s="2"/>
      <c r="C15" s="2"/>
      <c r="D15" s="2"/>
      <c r="E15" s="2"/>
    </row>
  </sheetData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I24"/>
  <sheetViews>
    <sheetView showFormulas="false" showGridLines="fals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34"/>
    <col collapsed="false" customWidth="true" hidden="false" outlineLevel="0" max="6" min="2" style="0" width="13"/>
    <col collapsed="false" customWidth="true" hidden="false" outlineLevel="0" max="7" min="7" style="0" width="3"/>
    <col collapsed="false" customWidth="true" hidden="false" outlineLevel="0" max="9" min="8" style="0" width="11"/>
  </cols>
  <sheetData>
    <row r="1" customFormat="false" ht="17.35" hidden="false" customHeight="false" outlineLevel="0" collapsed="false">
      <c r="A1" s="1" t="s">
        <v>217</v>
      </c>
      <c r="B1" s="2"/>
      <c r="C1" s="2"/>
      <c r="D1" s="2"/>
      <c r="E1" s="2"/>
      <c r="F1" s="2"/>
      <c r="G1" s="2"/>
      <c r="H1" s="2"/>
      <c r="I1" s="2"/>
    </row>
    <row r="2" customFormat="false" ht="15" hidden="false" customHeight="false" outlineLevel="0" collapsed="false">
      <c r="A2" s="3" t="s">
        <v>218</v>
      </c>
      <c r="B2" s="2"/>
      <c r="C2" s="2"/>
      <c r="D2" s="2"/>
      <c r="E2" s="2"/>
      <c r="F2" s="2"/>
      <c r="G2" s="2"/>
      <c r="H2" s="2"/>
      <c r="I2" s="2"/>
    </row>
    <row r="3" customFormat="false" ht="15" hidden="false" customHeight="false" outlineLevel="0" collapsed="false">
      <c r="A3" s="2"/>
      <c r="B3" s="2"/>
      <c r="C3" s="2"/>
      <c r="D3" s="2"/>
      <c r="E3" s="2"/>
      <c r="F3" s="2"/>
      <c r="G3" s="2"/>
      <c r="H3" s="2"/>
      <c r="I3" s="2"/>
    </row>
    <row r="4" customFormat="false" ht="15" hidden="false" customHeight="false" outlineLevel="0" collapsed="false">
      <c r="A4" s="15" t="s">
        <v>219</v>
      </c>
      <c r="B4" s="15" t="s">
        <v>152</v>
      </c>
      <c r="C4" s="15" t="s">
        <v>153</v>
      </c>
      <c r="D4" s="15" t="s">
        <v>154</v>
      </c>
      <c r="E4" s="15" t="s">
        <v>182</v>
      </c>
      <c r="F4" s="15" t="s">
        <v>184</v>
      </c>
      <c r="G4" s="2"/>
      <c r="H4" s="15" t="s">
        <v>220</v>
      </c>
      <c r="I4" s="15" t="s">
        <v>221</v>
      </c>
    </row>
    <row r="5" customFormat="false" ht="15" hidden="false" customHeight="false" outlineLevel="0" collapsed="false">
      <c r="A5" s="2" t="s">
        <v>222</v>
      </c>
      <c r="B5" s="19" t="n">
        <f aca="false">IF(Inputs!$B$18=1,MIN(DCF!D45:F47),MIN(DCF!D37:F39))</f>
        <v>23426.8658008615</v>
      </c>
      <c r="C5" s="19" t="n">
        <f aca="false">DCF!C32</f>
        <v>28515.9748216933</v>
      </c>
      <c r="D5" s="19" t="n">
        <f aca="false">IF(Inputs!$B$18=1,MAX(DCF!D45:F47),MAX(DCF!D37:F39))</f>
        <v>34367.2241078496</v>
      </c>
      <c r="E5" s="32" t="n">
        <v>0.2</v>
      </c>
      <c r="F5" s="21" t="n">
        <f aca="false">C5*E5</f>
        <v>5703.19496433867</v>
      </c>
      <c r="G5" s="2"/>
      <c r="H5" s="21" t="n">
        <f aca="false">MIN(B5,D5)</f>
        <v>23426.8658008615</v>
      </c>
      <c r="I5" s="21" t="n">
        <f aca="false">MAX(B5,D5)-MIN(B5,D5)</f>
        <v>10940.3583069881</v>
      </c>
    </row>
    <row r="6" customFormat="false" ht="15" hidden="false" customHeight="false" outlineLevel="0" collapsed="false">
      <c r="A6" s="2" t="s">
        <v>223</v>
      </c>
      <c r="B6" s="19" t="n">
        <f aca="false">Comps!B23</f>
        <v>12500</v>
      </c>
      <c r="C6" s="19" t="n">
        <f aca="false">Comps!C23</f>
        <v>15440</v>
      </c>
      <c r="D6" s="19" t="n">
        <f aca="false">Comps!D23</f>
        <v>18800</v>
      </c>
      <c r="E6" s="32" t="n">
        <v>0.3</v>
      </c>
      <c r="F6" s="21" t="n">
        <f aca="false">C6*E6</f>
        <v>4632</v>
      </c>
      <c r="G6" s="2"/>
      <c r="H6" s="21" t="n">
        <f aca="false">MIN(B6,D6)</f>
        <v>12500</v>
      </c>
      <c r="I6" s="21" t="n">
        <f aca="false">MAX(B6,D6)-MIN(B6,D6)</f>
        <v>6300</v>
      </c>
    </row>
    <row r="7" customFormat="false" ht="15" hidden="false" customHeight="false" outlineLevel="0" collapsed="false">
      <c r="A7" s="2" t="s">
        <v>224</v>
      </c>
      <c r="B7" s="19" t="n">
        <f aca="false">VC_Method!B12</f>
        <v>5686.4768</v>
      </c>
      <c r="C7" s="19" t="n">
        <f aca="false">VC_Method!C12</f>
        <v>10529.7152</v>
      </c>
      <c r="D7" s="19" t="n">
        <f aca="false">VC_Method!D12</f>
        <v>16756.736</v>
      </c>
      <c r="E7" s="32" t="n">
        <v>0.4</v>
      </c>
      <c r="F7" s="21" t="n">
        <f aca="false">C7*E7</f>
        <v>4211.88608</v>
      </c>
      <c r="G7" s="2"/>
      <c r="H7" s="21" t="n">
        <f aca="false">MIN(B7,D7)</f>
        <v>5686.4768</v>
      </c>
      <c r="I7" s="21" t="n">
        <f aca="false">MAX(B7,D7)-MIN(B7,D7)</f>
        <v>11070.2592</v>
      </c>
    </row>
    <row r="8" customFormat="false" ht="15" hidden="false" customHeight="false" outlineLevel="0" collapsed="false">
      <c r="A8" s="2" t="s">
        <v>225</v>
      </c>
      <c r="B8" s="19" t="n">
        <f aca="false">Scorecard!C16*(1-Inputs!$B$34)</f>
        <v>19975</v>
      </c>
      <c r="C8" s="19" t="n">
        <f aca="false">Scorecard!C16</f>
        <v>23500</v>
      </c>
      <c r="D8" s="19" t="n">
        <f aca="false">Scorecard!C16*(1+Inputs!$B$34)</f>
        <v>27025</v>
      </c>
      <c r="E8" s="32" t="n">
        <v>0.1</v>
      </c>
      <c r="F8" s="21" t="n">
        <f aca="false">C8*E8</f>
        <v>2350</v>
      </c>
      <c r="G8" s="2"/>
      <c r="H8" s="21" t="n">
        <f aca="false">MIN(B8,D8)</f>
        <v>19975</v>
      </c>
      <c r="I8" s="21" t="n">
        <f aca="false">MAX(B8,D8)-MIN(B8,D8)</f>
        <v>7050</v>
      </c>
    </row>
    <row r="9" customFormat="false" ht="15" hidden="false" customHeight="false" outlineLevel="0" collapsed="false">
      <c r="A9" s="2" t="s">
        <v>226</v>
      </c>
      <c r="B9" s="19" t="n">
        <f aca="false">Berkus!D13*(1-Inputs!$B$34)</f>
        <v>13600</v>
      </c>
      <c r="C9" s="19" t="n">
        <f aca="false">Berkus!D13</f>
        <v>16000</v>
      </c>
      <c r="D9" s="19" t="n">
        <f aca="false">Berkus!D13*(1+Inputs!$B$34)</f>
        <v>18400</v>
      </c>
      <c r="E9" s="32" t="n">
        <v>0</v>
      </c>
      <c r="F9" s="21" t="n">
        <f aca="false">C9*E9</f>
        <v>0</v>
      </c>
      <c r="G9" s="2"/>
      <c r="H9" s="21" t="n">
        <f aca="false">MIN(B9,D9)</f>
        <v>13600</v>
      </c>
      <c r="I9" s="21" t="n">
        <f aca="false">MAX(B9,D9)-MIN(B9,D9)</f>
        <v>4800</v>
      </c>
    </row>
    <row r="10" customFormat="false" ht="15" hidden="false" customHeight="false" outlineLevel="0" collapsed="false">
      <c r="A10" s="18" t="s">
        <v>195</v>
      </c>
      <c r="B10" s="2"/>
      <c r="C10" s="2"/>
      <c r="D10" s="2"/>
      <c r="E10" s="34" t="n">
        <f aca="false">SUM(E5:E9)</f>
        <v>1</v>
      </c>
      <c r="F10" s="20" t="n">
        <f aca="false">SUM(F5:F9)</f>
        <v>16897.0810443387</v>
      </c>
      <c r="G10" s="2"/>
      <c r="H10" s="2"/>
      <c r="I10" s="2"/>
    </row>
    <row r="11" customFormat="false" ht="15" hidden="false" customHeight="false" outlineLevel="0" collapsed="false">
      <c r="A11" s="2"/>
      <c r="B11" s="2"/>
      <c r="C11" s="2"/>
      <c r="D11" s="2"/>
      <c r="E11" s="2"/>
      <c r="F11" s="2"/>
      <c r="G11" s="2"/>
      <c r="H11" s="2"/>
      <c r="I11" s="2"/>
    </row>
    <row r="12" customFormat="false" ht="15" hidden="false" customHeight="false" outlineLevel="0" collapsed="false">
      <c r="A12" s="4" t="s">
        <v>227</v>
      </c>
      <c r="B12" s="5"/>
      <c r="C12" s="5"/>
      <c r="D12" s="5"/>
      <c r="E12" s="5"/>
      <c r="F12" s="5"/>
      <c r="G12" s="2"/>
      <c r="H12" s="2"/>
      <c r="I12" s="2"/>
    </row>
    <row r="13" customFormat="false" ht="15" hidden="false" customHeight="false" outlineLevel="0" collapsed="false">
      <c r="A13" s="26" t="s">
        <v>228</v>
      </c>
      <c r="B13" s="2"/>
      <c r="C13" s="33" t="n">
        <f aca="false">IFERROR(F10/E10,0)</f>
        <v>16897.0810443387</v>
      </c>
      <c r="D13" s="2"/>
      <c r="E13" s="2"/>
      <c r="F13" s="2"/>
      <c r="G13" s="2"/>
      <c r="H13" s="2"/>
      <c r="I13" s="2"/>
    </row>
    <row r="14" customFormat="false" ht="15" hidden="false" customHeight="false" outlineLevel="0" collapsed="false">
      <c r="A14" s="2" t="s">
        <v>229</v>
      </c>
      <c r="B14" s="2"/>
      <c r="C14" s="19" t="n">
        <f aca="false">Inputs!$B$8</f>
        <v>4000</v>
      </c>
      <c r="D14" s="2"/>
      <c r="E14" s="2"/>
      <c r="F14" s="2"/>
      <c r="G14" s="2"/>
      <c r="H14" s="2"/>
      <c r="I14" s="2"/>
    </row>
    <row r="15" customFormat="false" ht="15" hidden="false" customHeight="false" outlineLevel="0" collapsed="false">
      <c r="A15" s="2" t="s">
        <v>230</v>
      </c>
      <c r="B15" s="2"/>
      <c r="C15" s="21" t="n">
        <f aca="false">C13+C14</f>
        <v>20897.0810443387</v>
      </c>
      <c r="D15" s="2"/>
      <c r="E15" s="2"/>
      <c r="F15" s="2"/>
      <c r="G15" s="2"/>
      <c r="H15" s="2"/>
      <c r="I15" s="2"/>
    </row>
    <row r="16" customFormat="false" ht="15" hidden="false" customHeight="false" outlineLevel="0" collapsed="false">
      <c r="A16" s="2" t="s">
        <v>231</v>
      </c>
      <c r="B16" s="2"/>
      <c r="C16" s="29" t="n">
        <f aca="false">IFERROR(C14/C15,0)</f>
        <v>0.191414293293544</v>
      </c>
      <c r="D16" s="2"/>
      <c r="E16" s="2"/>
      <c r="F16" s="2"/>
      <c r="G16" s="2"/>
      <c r="H16" s="2"/>
      <c r="I16" s="2"/>
    </row>
    <row r="17" customFormat="false" ht="15" hidden="false" customHeight="false" outlineLevel="0" collapsed="false">
      <c r="A17" s="2" t="s">
        <v>232</v>
      </c>
      <c r="B17" s="2"/>
      <c r="C17" s="25" t="n">
        <f aca="false">1-C16</f>
        <v>0.808585706706456</v>
      </c>
      <c r="D17" s="2"/>
      <c r="E17" s="2"/>
      <c r="F17" s="2"/>
      <c r="G17" s="2"/>
      <c r="H17" s="2"/>
      <c r="I17" s="2"/>
    </row>
    <row r="18" customFormat="false" ht="15" hidden="false" customHeight="false" outlineLevel="0" collapsed="false">
      <c r="A18" s="2"/>
      <c r="B18" s="2"/>
      <c r="C18" s="2"/>
      <c r="D18" s="2"/>
      <c r="E18" s="2"/>
      <c r="F18" s="2"/>
      <c r="G18" s="2"/>
      <c r="H18" s="2"/>
      <c r="I18" s="2"/>
    </row>
    <row r="19" customFormat="false" ht="15" hidden="false" customHeight="false" outlineLevel="0" collapsed="false">
      <c r="A19" s="4" t="s">
        <v>233</v>
      </c>
      <c r="B19" s="5"/>
      <c r="C19" s="5"/>
      <c r="D19" s="5"/>
      <c r="E19" s="5"/>
      <c r="F19" s="5"/>
      <c r="G19" s="2"/>
      <c r="H19" s="2"/>
      <c r="I19" s="2"/>
    </row>
    <row r="20" customFormat="false" ht="15" hidden="false" customHeight="false" outlineLevel="0" collapsed="false">
      <c r="A20" s="2" t="s">
        <v>234</v>
      </c>
      <c r="B20" s="2"/>
      <c r="C20" s="35" t="str">
        <f aca="false">IF(ABS(E10-1)&lt;0.0001,"OK","Check weights")</f>
        <v>OK</v>
      </c>
      <c r="D20" s="2"/>
      <c r="E20" s="2"/>
      <c r="F20" s="2"/>
      <c r="G20" s="2"/>
      <c r="H20" s="2"/>
      <c r="I20" s="2"/>
    </row>
    <row r="21" customFormat="false" ht="15" hidden="false" customHeight="false" outlineLevel="0" collapsed="false">
      <c r="A21" s="2" t="s">
        <v>235</v>
      </c>
      <c r="B21" s="2"/>
      <c r="C21" s="35" t="str">
        <f aca="false">IF(ABS(Scorecard!B14-1)&lt;0.0001,"OK","Check Scorecard tab")</f>
        <v>OK</v>
      </c>
      <c r="D21" s="2"/>
      <c r="E21" s="2"/>
      <c r="F21" s="2"/>
      <c r="G21" s="2"/>
      <c r="H21" s="2"/>
      <c r="I21" s="2"/>
    </row>
    <row r="22" customFormat="false" ht="15" hidden="false" customHeight="false" outlineLevel="0" collapsed="false">
      <c r="A22" s="2" t="s">
        <v>236</v>
      </c>
      <c r="B22" s="2"/>
      <c r="C22" s="35" t="str">
        <f aca="false">IF(Inputs!$B$15&gt;Inputs!$B$16,"OK","ERROR: Gordon formula invalid")</f>
        <v>OK</v>
      </c>
      <c r="D22" s="2"/>
      <c r="E22" s="2"/>
      <c r="F22" s="2"/>
      <c r="G22" s="2"/>
      <c r="H22" s="2"/>
      <c r="I22" s="2"/>
    </row>
    <row r="23" customFormat="false" ht="15" hidden="false" customHeight="false" outlineLevel="0" collapsed="false">
      <c r="A23" s="2" t="s">
        <v>237</v>
      </c>
      <c r="B23" s="2"/>
      <c r="C23" s="24" t="n">
        <f aca="false">IFERROR(MAX(C5:C8)/MIN(C5:C8),0)</f>
        <v>2.70814302951834</v>
      </c>
      <c r="D23" s="3" t="s">
        <v>238</v>
      </c>
      <c r="E23" s="2"/>
      <c r="F23" s="2"/>
      <c r="G23" s="2"/>
      <c r="H23" s="2"/>
      <c r="I23" s="2"/>
    </row>
    <row r="24" customFormat="false" ht="15" hidden="false" customHeight="false" outlineLevel="0" collapsed="false">
      <c r="A24" s="2" t="s">
        <v>239</v>
      </c>
      <c r="B24" s="2"/>
      <c r="C24" s="35" t="str">
        <f aca="false">IF(AND(C16&gt;=0.1,C16&lt;=0.3),"OK","Outside the usual seed range")</f>
        <v>OK</v>
      </c>
      <c r="D24" s="2"/>
      <c r="E24" s="2"/>
      <c r="F24" s="2"/>
      <c r="G24" s="2"/>
      <c r="H24" s="2"/>
      <c r="I24" s="2"/>
    </row>
  </sheetData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LibreOffice/24.2.7.2$Linux_X86_64 LibreOffice_project/420$Build-2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2026-09-19T13:41:16Z</dcterms:created>
  <dc:creator>openpyxl</dc:creator>
  <dc:description/>
  <dc:language>en-US</dc:language>
  <cp:lastModifiedBy/>
  <dcterms:modified xsi:type="dcterms:W3CDTF">2026-09-19T13:41:18Z</dcterms:modified>
  <cp:revision>1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