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Inputs" sheetId="2" state="visible" r:id="rId4"/>
    <sheet name="Cap_Table" sheetId="3" state="visible" r:id="rId5"/>
    <sheet name="SAFE_Conversion" sheetId="4" state="visible" r:id="rId6"/>
    <sheet name="Founder_Vesting" sheetId="5" state="visible" r:id="rId7"/>
    <sheet name="Dilution" sheetId="6" state="visible" r:id="rId8"/>
    <sheet name="Exit_Waterfall" sheetId="7" state="visible" r:id="rId9"/>
    <sheet name="Dashboard" sheetId="8" state="visible" r:id="rId10"/>
    <sheet name="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The sample figures describe a fictional startup; overwrite all of them.</t>
        </r>
      </text>
    </comment>
  </commentList>
</comments>
</file>

<file path=xl/sharedStrings.xml><?xml version="1.0" encoding="utf-8"?>
<sst xmlns="http://schemas.openxmlformats.org/spreadsheetml/2006/main" count="272" uniqueCount="210">
  <si>
    <t xml:space="preserve">HOW TO USE THIS FILE</t>
  </si>
  <si>
    <t xml:space="preserve">Money unit: VND million unless stated otherwise. Price per share: VND.</t>
  </si>
  <si>
    <t xml:space="preserve">This workbook builds the cap table of a Vietnamese startup from incorporation, through the option pool, through angel SAFEs, into a priced Seed round and a modelled Series A. Every number is a formula: you only edit the Inputs sheet.</t>
  </si>
  <si>
    <t xml:space="preserve">Colour convention</t>
  </si>
  <si>
    <t xml:space="preserve">Yellow fill, blue text: cells you fill in. Edit only here.</t>
  </si>
  <si>
    <t xml:space="preserve">Black text: a formula inside the same sheet. Leave it alone.</t>
  </si>
  <si>
    <t xml:space="preserve">Green text: a formula pulling a number from another sheet. Leave it alone.</t>
  </si>
  <si>
    <t xml:space="preserve">Five steps</t>
  </si>
  <si>
    <t xml:space="preserve">1. Inputs, blocks 1-2: par value, shares at incorporation and each founder's split.</t>
  </si>
  <si>
    <t xml:space="preserve">2. Block 3: set the option pool. Seed investors usually ask for 10-15% after their money.</t>
  </si>
  <si>
    <t xml:space="preserve">3. Block 4: enter each signed SAFE (amount, valuation cap, discount). Leave unused rows blank.</t>
  </si>
  <si>
    <t xml:space="preserve">4. Blocks 5-6: the Seed raise and pre-money valuation, and a Series A if you want to model one.</t>
  </si>
  <si>
    <t xml:space="preserve">5. Blocks 7-8: the vesting schedule and five exit prices for the waterfall.</t>
  </si>
  <si>
    <t xml:space="preserve">Where to read the results</t>
  </si>
  <si>
    <t xml:space="preserve">Cap_Table — Cap_Table: shares and ownership for each holder at four milestones.</t>
  </si>
  <si>
    <t xml:space="preserve">Dilution — Dilution: how founder ownership falls and what each stake is worth at each round valuation.</t>
  </si>
  <si>
    <t xml:space="preserve">SAFE_Conversion — SAFE_Conversion: the conversion price of each SAFE, by cap or by discount.</t>
  </si>
  <si>
    <t xml:space="preserve">Exit_Waterfall — Exit_Waterfall: who receives what at five exit prices, after liquidation preference.</t>
  </si>
  <si>
    <t xml:space="preserve">Dashboard — Dashboard: the summary table and warnings to share with investors.</t>
  </si>
  <si>
    <t xml:space="preserve">Checks — Checks: run this before sending the file to anyone. Every line must read PASS.</t>
  </si>
  <si>
    <t xml:space="preserve">Model assumptions</t>
  </si>
  <si>
    <t xml:space="preserve">SAFEs follow the post-money form (YC 2018 onwards): the SAFE holder's stake is measured against total shares after all SAFEs convert and after the option pool increase, but before the new Seed money.</t>
  </si>
  <si>
    <t xml:space="preserve">If you signed a pre-money SAFE or an interest-bearing convertible note, real dilution will differ. Add accrued interest to the Amount column as a rough proxy, and take legal advice before signing.</t>
  </si>
  <si>
    <t xml:space="preserve">Liquidation preference is assumed to be 1x non-participating, with both groups ranking equally. SAFE investors are grouped with the Seed round.</t>
  </si>
  <si>
    <t xml:space="preserve">The option pool is set as a target percentage after the round, so the pool increase dilutes founders rather than the new money. This is what investors normally ask for.</t>
  </si>
  <si>
    <t xml:space="preserve">This file supports planning and negotiation. It does not replace the charter, the shareholder register or legal advice.</t>
  </si>
  <si>
    <t xml:space="preserve">The sample figures describe a fictional startup; overwrite all of them.</t>
  </si>
  <si>
    <t xml:space="preserve">STARTUP CAP TABLE FOR AN EARLY FUNDRAISING ROUND</t>
  </si>
  <si>
    <t xml:space="preserve">1. GENERAL PARAMETERS</t>
  </si>
  <si>
    <t xml:space="preserve">Par value per share (VND)</t>
  </si>
  <si>
    <t xml:space="preserve">Total shares at incorporation</t>
  </si>
  <si>
    <t xml:space="preserve">Charter capital at incorporation (VND m)</t>
  </si>
  <si>
    <t xml:space="preserve">2. FOUNDERS</t>
  </si>
  <si>
    <t xml:space="preserve">Name</t>
  </si>
  <si>
    <t xml:space="preserve">Role</t>
  </si>
  <si>
    <t xml:space="preserve">% at incorporation</t>
  </si>
  <si>
    <t xml:space="preserve">Shares</t>
  </si>
  <si>
    <t xml:space="preserve">Founder A</t>
  </si>
  <si>
    <t xml:space="preserve">CEO</t>
  </si>
  <si>
    <t xml:space="preserve">Founder B</t>
  </si>
  <si>
    <t xml:space="preserve">CTO</t>
  </si>
  <si>
    <t xml:space="preserve">Founder C</t>
  </si>
  <si>
    <t xml:space="preserve">Sales &amp; Marketing</t>
  </si>
  <si>
    <t xml:space="preserve">Total</t>
  </si>
  <si>
    <t xml:space="preserve">3. EMPLOYEE OPTION POOL (ESOP)</t>
  </si>
  <si>
    <t xml:space="preserve">Pool % created before signing SAFEs</t>
  </si>
  <si>
    <t xml:space="preserve">Target pool % after the Seed round</t>
  </si>
  <si>
    <t xml:space="preserve">Target pool % after the Series A round</t>
  </si>
  <si>
    <t xml:space="preserve">4. SAFEs / CONVERTIBLE NOTES (post-money form)</t>
  </si>
  <si>
    <t xml:space="preserve">Investor</t>
  </si>
  <si>
    <t xml:space="preserve">Amount (VND m)</t>
  </si>
  <si>
    <t xml:space="preserve">Valuation cap (VND m)</t>
  </si>
  <si>
    <t xml:space="preserve">Discount</t>
  </si>
  <si>
    <t xml:space="preserve">Signing date</t>
  </si>
  <si>
    <t xml:space="preserve">Angel 1</t>
  </si>
  <si>
    <t xml:space="preserve">2025-03-15</t>
  </si>
  <si>
    <t xml:space="preserve">Angel 2</t>
  </si>
  <si>
    <t xml:space="preserve">2025-07-01</t>
  </si>
  <si>
    <t xml:space="preserve">5. SEED ROUND (PRICED)</t>
  </si>
  <si>
    <t xml:space="preserve">Amount raised (VND m)</t>
  </si>
  <si>
    <t xml:space="preserve">Pre-money valuation (VND m)</t>
  </si>
  <si>
    <t xml:space="preserve">Post-money valuation (VND m)</t>
  </si>
  <si>
    <t xml:space="preserve">Liquidation preference (multiple of money in)</t>
  </si>
  <si>
    <t xml:space="preserve">Preference type</t>
  </si>
  <si>
    <t xml:space="preserve">1x, non-participating</t>
  </si>
  <si>
    <t xml:space="preserve">6. SERIES A ROUND (MODELLED)</t>
  </si>
  <si>
    <t xml:space="preserve">Model this round? (1 = yes, 0 = no)</t>
  </si>
  <si>
    <t xml:space="preserve">7. FOUNDER VESTING</t>
  </si>
  <si>
    <t xml:space="preserve">Total vesting period (months)</t>
  </si>
  <si>
    <t xml:space="preserve">Cliff (months)</t>
  </si>
  <si>
    <t xml:space="preserve">Months served to date</t>
  </si>
  <si>
    <t xml:space="preserve">8. EXIT SCENARIOS (VND m)</t>
  </si>
  <si>
    <t xml:space="preserve">Scenario 1</t>
  </si>
  <si>
    <t xml:space="preserve">Scenario 2</t>
  </si>
  <si>
    <t xml:space="preserve">Scenario 3</t>
  </si>
  <si>
    <t xml:space="preserve">Scenario 4</t>
  </si>
  <si>
    <t xml:space="preserve">Scenario 5</t>
  </si>
  <si>
    <t xml:space="preserve">Exit price (VND m)</t>
  </si>
  <si>
    <t xml:space="preserve">CAP TABLE ACROSS ROUNDS</t>
  </si>
  <si>
    <t xml:space="preserve">A. CALCULATION PARAMETERS (no edits needed)</t>
  </si>
  <si>
    <t xml:space="preserve">Founder shares</t>
  </si>
  <si>
    <t xml:space="preserve">Initial pool shares</t>
  </si>
  <si>
    <t xml:space="preserve">Total shares after the pool is created</t>
  </si>
  <si>
    <t xml:space="preserve">Seed investor share of the post-round total</t>
  </si>
  <si>
    <t xml:space="preserve">SAFE factor 1</t>
  </si>
  <si>
    <t xml:space="preserve">SAFE factor 2</t>
  </si>
  <si>
    <t xml:space="preserve">SAFE factor 3</t>
  </si>
  <si>
    <t xml:space="preserve">Total SAFE factor</t>
  </si>
  <si>
    <t xml:space="preserve">Seed round denominator</t>
  </si>
  <si>
    <t xml:space="preserve">Total shares after the Seed round</t>
  </si>
  <si>
    <t xml:space="preserve">Pool shares after the Seed round</t>
  </si>
  <si>
    <t xml:space="preserve">Seed investor shares</t>
  </si>
  <si>
    <t xml:space="preserve">Seed price per share (VND)</t>
  </si>
  <si>
    <t xml:space="preserve">Non-pool shares after the Seed round</t>
  </si>
  <si>
    <t xml:space="preserve">Series A investor share</t>
  </si>
  <si>
    <t xml:space="preserve">Series A denominator</t>
  </si>
  <si>
    <t xml:space="preserve">Total shares after the Series A round</t>
  </si>
  <si>
    <t xml:space="preserve">Pool shares after the Series A round</t>
  </si>
  <si>
    <t xml:space="preserve">Series A investor shares</t>
  </si>
  <si>
    <t xml:space="preserve">Series A price per share (VND)</t>
  </si>
  <si>
    <t xml:space="preserve">B. CAP TABLE</t>
  </si>
  <si>
    <t xml:space="preserve">Holder</t>
  </si>
  <si>
    <t xml:space="preserve">Share class</t>
  </si>
  <si>
    <t xml:space="preserve">At incorporation · Shares</t>
  </si>
  <si>
    <t xml:space="preserve">%</t>
  </si>
  <si>
    <t xml:space="preserve">After the pool · Shares</t>
  </si>
  <si>
    <t xml:space="preserve">After Seed · Shares</t>
  </si>
  <si>
    <t xml:space="preserve">After Series A · Shares</t>
  </si>
  <si>
    <t xml:space="preserve">Ordinary</t>
  </si>
  <si>
    <t xml:space="preserve">Options</t>
  </si>
  <si>
    <t xml:space="preserve">Preferred</t>
  </si>
  <si>
    <t xml:space="preserve">Seed investors</t>
  </si>
  <si>
    <t xml:space="preserve">Series A investors</t>
  </si>
  <si>
    <t xml:space="preserve">SAFE CONVERSION AT THE SEED ROUND</t>
  </si>
  <si>
    <t xml:space="preserve">Each SAFE converts at the lower of two prices: the price implied by its valuation cap, and the Seed price after the discount. A lower price means the investor receives more shares.</t>
  </si>
  <si>
    <t xml:space="preserve">Shares before the new money (basis for the cap)</t>
  </si>
  <si>
    <t xml:space="preserve">SAFE 1</t>
  </si>
  <si>
    <t xml:space="preserve">SAFE 2</t>
  </si>
  <si>
    <t xml:space="preserve">SAFE 3</t>
  </si>
  <si>
    <t xml:space="preserve">Price from the valuation cap (VND/share)</t>
  </si>
  <si>
    <t xml:space="preserve">Price from the discount (VND/share)</t>
  </si>
  <si>
    <t xml:space="preserve">Conversion price applied (VND/share)</t>
  </si>
  <si>
    <t xml:space="preserve">Term that wins</t>
  </si>
  <si>
    <t xml:space="preserve">Shares received</t>
  </si>
  <si>
    <t xml:space="preserve">% after the Seed round</t>
  </si>
  <si>
    <t xml:space="preserve">Effective discount to the Seed investor</t>
  </si>
  <si>
    <t xml:space="preserve">FOUNDER SHARE VESTING</t>
  </si>
  <si>
    <t xml:space="preserve">Founder shares should vest. Investors look here to see whether an early departure returns those shares to the company.</t>
  </si>
  <si>
    <t xml:space="preserve">POSITION AT THE CURRENT MONTH</t>
  </si>
  <si>
    <t xml:space="preserve">% vested</t>
  </si>
  <si>
    <t xml:space="preserve">Vested shares</t>
  </si>
  <si>
    <t xml:space="preserve">Unvested shares</t>
  </si>
  <si>
    <t xml:space="preserve">48-MONTH VESTING SCHEDULE</t>
  </si>
  <si>
    <t xml:space="preserve">Month</t>
  </si>
  <si>
    <t xml:space="preserve">Cumulative %</t>
  </si>
  <si>
    <t xml:space="preserve">DILUTION AND VALUE OF EACH STAKE</t>
  </si>
  <si>
    <t xml:space="preserve">At incorporation</t>
  </si>
  <si>
    <t xml:space="preserve">After the pool</t>
  </si>
  <si>
    <t xml:space="preserve">After Seed</t>
  </si>
  <si>
    <t xml:space="preserve">After Series A</t>
  </si>
  <si>
    <t xml:space="preserve">Company valuation at the milestone (VND m)</t>
  </si>
  <si>
    <t xml:space="preserve">Price per share (VND)</t>
  </si>
  <si>
    <t xml:space="preserve">A. OWNERSHIP ACROSS MILESTONES</t>
  </si>
  <si>
    <t xml:space="preserve">Founders</t>
  </si>
  <si>
    <t xml:space="preserve">Option pool</t>
  </si>
  <si>
    <t xml:space="preserve">SAFE holders</t>
  </si>
  <si>
    <t xml:space="preserve">Ownership the founders have given up</t>
  </si>
  <si>
    <t xml:space="preserve">B. VALUE OF EACH STAKE (VND m)</t>
  </si>
  <si>
    <t xml:space="preserve">These are paper values at the round valuation, not cash. Founders only receive money when they sell shares or when the company is acquired.</t>
  </si>
  <si>
    <t xml:space="preserve">EXIT SCENARIOS AND DISTRIBUTION WATERFALL</t>
  </si>
  <si>
    <t xml:space="preserve">Assumptions: 1x non-participating preference, both groups ranking equally. Preferred holders take the better of the two outcomes: keep the preference, or convert to ordinary and share pro rata.</t>
  </si>
  <si>
    <t xml:space="preserve">Line</t>
  </si>
  <si>
    <t xml:space="preserve">Parameter</t>
  </si>
  <si>
    <t xml:space="preserve">SAFE + SEED INVESTOR GROUP</t>
  </si>
  <si>
    <t xml:space="preserve">Liquidation preference (VND m)</t>
  </si>
  <si>
    <t xml:space="preserve">Final ownership %</t>
  </si>
  <si>
    <t xml:space="preserve">Value if converted to ordinary</t>
  </si>
  <si>
    <t xml:space="preserve">Converts? (1 = yes)</t>
  </si>
  <si>
    <t xml:space="preserve">SERIES A INVESTOR GROUP</t>
  </si>
  <si>
    <t xml:space="preserve">Preference of the non-converting groups</t>
  </si>
  <si>
    <t xml:space="preserve">Preference actually paid</t>
  </si>
  <si>
    <t xml:space="preserve">Preference to the SAFE + Seed group</t>
  </si>
  <si>
    <t xml:space="preserve">Preference to the Series A group</t>
  </si>
  <si>
    <t xml:space="preserve">Remainder shared by shareholding</t>
  </si>
  <si>
    <t xml:space="preserve">Shares sharing the remainder</t>
  </si>
  <si>
    <t xml:space="preserve">PROCEEDS RECEIVED (VND m)</t>
  </si>
  <si>
    <t xml:space="preserve">Seed investors + SAFE</t>
  </si>
  <si>
    <t xml:space="preserve">Total distributed</t>
  </si>
  <si>
    <t xml:space="preserve">Difference against the exit price (must be zero)</t>
  </si>
  <si>
    <t xml:space="preserve">Founders combined</t>
  </si>
  <si>
    <t xml:space="preserve">Total money invested</t>
  </si>
  <si>
    <t xml:space="preserve">Return multiple, SAFE + Seed group</t>
  </si>
  <si>
    <t xml:space="preserve">Return multiple, Series A</t>
  </si>
  <si>
    <t xml:space="preserve">SUMMARY FOR INVESTORS</t>
  </si>
  <si>
    <t xml:space="preserve">HEADLINE NUMBERS</t>
  </si>
  <si>
    <t xml:space="preserve">Total capital raised (VND m)</t>
  </si>
  <si>
    <t xml:space="preserve">Post-money valuation, latest round (VND m)</t>
  </si>
  <si>
    <t xml:space="preserve">Founder % at incorporation</t>
  </si>
  <si>
    <t xml:space="preserve">Founder % after Seed</t>
  </si>
  <si>
    <t xml:space="preserve">Founder % after Series A</t>
  </si>
  <si>
    <t xml:space="preserve">Pool % after the latest round</t>
  </si>
  <si>
    <t xml:space="preserve">SAFE group % after the Seed round</t>
  </si>
  <si>
    <t xml:space="preserve">Total shares after the latest round</t>
  </si>
  <si>
    <t xml:space="preserve">Share price step-up, Seed to Series A</t>
  </si>
  <si>
    <t xml:space="preserve">AUTOMATIC WARNINGS</t>
  </si>
  <si>
    <t xml:space="preserve">Founder ownership after Seed</t>
  </si>
  <si>
    <t xml:space="preserve">Option pool size after Seed</t>
  </si>
  <si>
    <t xml:space="preserve">Dilution caused by SAFEs</t>
  </si>
  <si>
    <t xml:space="preserve">CHART DATA</t>
  </si>
  <si>
    <t xml:space="preserve">Group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</si>
  <si>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</si>
  <si>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</si>
  <si>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</si>
  <si>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</si>
  <si>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</si>
  <si>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CHECKS BEFORE YOU SEND</t>
  </si>
  <si>
    <t xml:space="preserve">Check</t>
  </si>
  <si>
    <t xml:space="preserve">Value</t>
  </si>
  <si>
    <t xml:space="preserve">Result</t>
  </si>
  <si>
    <t xml:space="preserve">Founder percentages add up to 100%</t>
  </si>
  <si>
    <t xml:space="preserve">At incorporation column adds up to 100%</t>
  </si>
  <si>
    <t xml:space="preserve">After Seed column adds up to 100%</t>
  </si>
  <si>
    <t xml:space="preserve">After Series A column adds up to 100%</t>
  </si>
  <si>
    <t xml:space="preserve">Seed round denominator is above zero</t>
  </si>
  <si>
    <t xml:space="preserve">Pool after Seed is not smaller than the initial pool</t>
  </si>
  <si>
    <t xml:space="preserve">Every SAFE with an amount also has a valuation cap</t>
  </si>
  <si>
    <t xml:space="preserve">No negative share counts</t>
  </si>
  <si>
    <t xml:space="preserve">Each exit scenario distributes exactly the exit price</t>
  </si>
  <si>
    <t xml:space="preserve">The cliff is not longer than the vesting period</t>
  </si>
  <si>
    <t xml:space="preserve">OVERALL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</si>
</sst>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0.0%"/>
    <numFmt numFmtId="167" formatCode="0.0\x"/>
    <numFmt numFmtId="168" formatCode="0"/>
    <numFmt numFmtId="169" formatCode="0.00%"/>
    <numFmt numFmtId="170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i val="true"/>
      <sz val="9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FF"/>
        <bgColor rgb="FFF2F2F2"/>
      </patternFill>
    </fill>
    <fill>
      <patternFill patternType="solid">
        <fgColor rgb="FFD9E2F3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C0504D"/>
      <rgbColor rgb="FFF2F2F2"/>
      <rgbColor rgb="FFD9E2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4BACC6"/>
      <rgbColor rgb="FF9BBB59"/>
      <rgbColor rgb="FFFFCC00"/>
      <rgbColor rgb="FFF79646"/>
      <rgbColor rgb="FFFF6600"/>
      <rgbColor rgb="FF8064A2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Ownership across rounds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Dashboard!A22</c:f>
              <c:strCache>
                <c:ptCount val="1"/>
                <c:pt idx="0">
                  <c:v>Group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Dashboard!$B$22:$E$22</c:f>
              <c:strCache>
                <c:ptCount val="4"/>
                <c:pt idx="0">
                  <c:v>At incorporation</c:v>
                </c:pt>
                <c:pt idx="1">
                  <c:v>After the pool</c:v>
                </c:pt>
                <c:pt idx="2">
                  <c:v>After Seed</c:v>
                </c:pt>
                <c:pt idx="3">
                  <c:v>After Series A</c:v>
                </c:pt>
              </c:strCache>
            </c:strRef>
          </c:cat>
          <c:val>
            <c:numRef>
              <c:f>Dashboard!$B$22:$E$22</c:f>
              <c:numCache>
                <c:formatCode>General</c:formatCode>
                <c:ptCount val="4"/>
              </c:numCache>
            </c:numRef>
          </c:val>
        </c:ser>
        <c:ser>
          <c:idx val="1"/>
          <c:order val="1"/>
          <c:tx>
            <c:strRef>
              <c:f>Dashboard!A23</c:f>
              <c:strCache>
                <c:ptCount val="1"/>
                <c:pt idx="0">
                  <c:v>Founders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Dashboard!$B$22:$E$22</c:f>
              <c:strCache>
                <c:ptCount val="4"/>
                <c:pt idx="0">
                  <c:v>At incorporation</c:v>
                </c:pt>
                <c:pt idx="1">
                  <c:v>After the pool</c:v>
                </c:pt>
                <c:pt idx="2">
                  <c:v>After Seed</c:v>
                </c:pt>
                <c:pt idx="3">
                  <c:v>After Series A</c:v>
                </c:pt>
              </c:strCache>
            </c:strRef>
          </c:cat>
          <c:val>
            <c:numRef>
              <c:f>Dashboard!$B$23:$E$23</c:f>
              <c:numCache>
                <c:formatCode>0.0%</c:formatCode>
                <c:ptCount val="4"/>
                <c:pt idx="0">
                  <c:v>1</c:v>
                </c:pt>
                <c:pt idx="1">
                  <c:v>0.9000009000009</c:v>
                </c:pt>
                <c:pt idx="2">
                  <c:v>0.603999685920163</c:v>
                </c:pt>
                <c:pt idx="3">
                  <c:v>0.432409058969785</c:v>
                </c:pt>
              </c:numCache>
            </c:numRef>
          </c:val>
        </c:ser>
        <c:ser>
          <c:idx val="2"/>
          <c:order val="2"/>
          <c:tx>
            <c:strRef>
              <c:f>Dashboard!A24</c:f>
              <c:strCache>
                <c:ptCount val="1"/>
                <c:pt idx="0">
                  <c:v>Option pool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Dashboard!$B$22:$E$22</c:f>
              <c:strCache>
                <c:ptCount val="4"/>
                <c:pt idx="0">
                  <c:v>At incorporation</c:v>
                </c:pt>
                <c:pt idx="1">
                  <c:v>After the pool</c:v>
                </c:pt>
                <c:pt idx="2">
                  <c:v>After Seed</c:v>
                </c:pt>
                <c:pt idx="3">
                  <c:v>After Series A</c:v>
                </c:pt>
              </c:strCache>
            </c:strRef>
          </c:cat>
          <c:val>
            <c:numRef>
              <c:f>Dashboard!$B$24:$E$24</c:f>
              <c:numCache>
                <c:formatCode>0.0%</c:formatCode>
                <c:ptCount val="4"/>
                <c:pt idx="0">
                  <c:v>0</c:v>
                </c:pt>
                <c:pt idx="1">
                  <c:v>0.0999990999991</c:v>
                </c:pt>
                <c:pt idx="2">
                  <c:v>0.119999637600188</c:v>
                </c:pt>
                <c:pt idx="3">
                  <c:v>0.12</c:v>
                </c:pt>
              </c:numCache>
            </c:numRef>
          </c:val>
        </c:ser>
        <c:ser>
          <c:idx val="3"/>
          <c:order val="3"/>
          <c:tx>
            <c:strRef>
              <c:f>Dashboard!A25</c:f>
              <c:strCache>
                <c:ptCount val="1"/>
                <c:pt idx="0">
                  <c:v>SAFE holders</c:v>
                </c:pt>
              </c:strCache>
            </c:strRef>
          </c:tx>
          <c:spPr>
            <a:solidFill>
              <a:srgbClr val="8064a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Dashboard!$B$22:$E$22</c:f>
              <c:strCache>
                <c:ptCount val="4"/>
                <c:pt idx="0">
                  <c:v>At incorporation</c:v>
                </c:pt>
                <c:pt idx="1">
                  <c:v>After the pool</c:v>
                </c:pt>
                <c:pt idx="2">
                  <c:v>After Seed</c:v>
                </c:pt>
                <c:pt idx="3">
                  <c:v>After Series A</c:v>
                </c:pt>
              </c:strCache>
            </c:strRef>
          </c:cat>
          <c:val>
            <c:numRef>
              <c:f>Dashboard!$B$25:$E$25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0.0760012804793342</c:v>
                </c:pt>
                <c:pt idx="3">
                  <c:v>0.0544100318901681</c:v>
                </c:pt>
              </c:numCache>
            </c:numRef>
          </c:val>
        </c:ser>
        <c:ser>
          <c:idx val="4"/>
          <c:order val="4"/>
          <c:tx>
            <c:strRef>
              <c:f>Dashboard!A26</c:f>
              <c:strCache>
                <c:ptCount val="1"/>
                <c:pt idx="0">
                  <c:v>Seed investors</c:v>
                </c:pt>
              </c:strCache>
            </c:strRef>
          </c:tx>
          <c:spPr>
            <a:solidFill>
              <a:srgbClr val="4bacc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Dashboard!$B$22:$E$22</c:f>
              <c:strCache>
                <c:ptCount val="4"/>
                <c:pt idx="0">
                  <c:v>At incorporation</c:v>
                </c:pt>
                <c:pt idx="1">
                  <c:v>After the pool</c:v>
                </c:pt>
                <c:pt idx="2">
                  <c:v>After Seed</c:v>
                </c:pt>
                <c:pt idx="3">
                  <c:v>After Series A</c:v>
                </c:pt>
              </c:strCache>
            </c:strRef>
          </c:cat>
          <c:val>
            <c:numRef>
              <c:f>Dashboard!$B$26:$E$26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0.199999396000314</c:v>
                </c:pt>
                <c:pt idx="3">
                  <c:v>0.14318144965137</c:v>
                </c:pt>
              </c:numCache>
            </c:numRef>
          </c:val>
        </c:ser>
        <c:ser>
          <c:idx val="5"/>
          <c:order val="5"/>
          <c:tx>
            <c:strRef>
              <c:f>Dashboard!A27</c:f>
              <c:strCache>
                <c:ptCount val="1"/>
                <c:pt idx="0">
                  <c:v>Series A investors</c:v>
                </c:pt>
              </c:strCache>
            </c:strRef>
          </c:tx>
          <c:spPr>
            <a:solidFill>
              <a:srgbClr val="f79646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Dashboard!$B$22:$E$22</c:f>
              <c:strCache>
                <c:ptCount val="4"/>
                <c:pt idx="0">
                  <c:v>At incorporation</c:v>
                </c:pt>
                <c:pt idx="1">
                  <c:v>After the pool</c:v>
                </c:pt>
                <c:pt idx="2">
                  <c:v>After Seed</c:v>
                </c:pt>
                <c:pt idx="3">
                  <c:v>After Series A</c:v>
                </c:pt>
              </c:strCache>
            </c:strRef>
          </c:cat>
          <c:val>
            <c:numRef>
              <c:f>Dashboard!$B$27:$E$27</c:f>
              <c:numCache>
                <c:formatCode>0.0%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0.249999459488676</c:v>
                </c:pt>
              </c:numCache>
            </c:numRef>
          </c:val>
        </c:ser>
        <c:gapWidth val="150"/>
        <c:overlap val="100"/>
        <c:axId val="15228486"/>
        <c:axId val="77833078"/>
      </c:barChart>
      <c:catAx>
        <c:axId val="152284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7833078"/>
        <c:crosses val="autoZero"/>
        <c:auto val="1"/>
        <c:lblAlgn val="ctr"/>
        <c:lblOffset val="100"/>
        <c:noMultiLvlLbl val="0"/>
      </c:catAx>
      <c:valAx>
        <c:axId val="7783307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22848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Founder proceeds by exit price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Dashboard!A30</c:f>
              <c:strCache>
                <c:ptCount val="1"/>
                <c:pt idx="0">
                  <c:v>Founders combined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Dashboard!$B$31:$F$31</c:f>
              <c:strCache>
                <c:ptCount val="5"/>
                <c:pt idx="0">
                  <c:v>100,000</c:v>
                </c:pt>
                <c:pt idx="1">
                  <c:v>250,000</c:v>
                </c:pt>
                <c:pt idx="2">
                  <c:v>500,000</c:v>
                </c:pt>
                <c:pt idx="3">
                  <c:v>1,000,000</c:v>
                </c:pt>
                <c:pt idx="4">
                  <c:v>2,500,000</c:v>
                </c:pt>
              </c:strCache>
            </c:strRef>
          </c:cat>
          <c:val>
            <c:numRef>
              <c:f>Dashboard!$B$30:$F$30</c:f>
              <c:numCache>
                <c:formatCode>#,##0;\(#,##0\);\-</c:formatCode>
                <c:ptCount val="5"/>
                <c:pt idx="0">
                  <c:v>28827.2498227124</c:v>
                </c:pt>
                <c:pt idx="1">
                  <c:v>108102.264742446</c:v>
                </c:pt>
                <c:pt idx="2">
                  <c:v>216204.529484893</c:v>
                </c:pt>
                <c:pt idx="3">
                  <c:v>432409.058969785</c:v>
                </c:pt>
                <c:pt idx="4">
                  <c:v>1081022.64742446</c:v>
                </c:pt>
              </c:numCache>
            </c:numRef>
          </c:val>
        </c:ser>
        <c:gapWidth val="150"/>
        <c:overlap val="0"/>
        <c:axId val="70215813"/>
        <c:axId val="21408975"/>
      </c:barChart>
      <c:catAx>
        <c:axId val="70215813"/>
        <c:scaling>
          <c:orientation val="minMax"/>
        </c:scaling>
        <c:delete val="0"/>
        <c:axPos val="b"/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1408975"/>
        <c:crosses val="autoZero"/>
        <c:auto val="1"/>
        <c:lblAlgn val="ctr"/>
        <c:lblOffset val="100"/>
        <c:noMultiLvlLbl val="0"/>
      </c:catAx>
      <c:valAx>
        <c:axId val="2140897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;\(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21581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32</xdr:row>
      <xdr:rowOff>0</xdr:rowOff>
    </xdr:from>
    <xdr:to>
      <xdr:col>2</xdr:col>
      <xdr:colOff>1107720</xdr:colOff>
      <xdr:row>47</xdr:row>
      <xdr:rowOff>22320</xdr:rowOff>
    </xdr:to>
    <xdr:graphicFrame>
      <xdr:nvGraphicFramePr>
        <xdr:cNvPr id="0" name="Chart 1"/>
        <xdr:cNvGraphicFramePr/>
      </xdr:nvGraphicFramePr>
      <xdr:xfrm>
        <a:off x="0" y="656280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50</xdr:row>
      <xdr:rowOff>0</xdr:rowOff>
    </xdr:from>
    <xdr:to>
      <xdr:col>2</xdr:col>
      <xdr:colOff>1107720</xdr:colOff>
      <xdr:row>65</xdr:row>
      <xdr:rowOff>22320</xdr:rowOff>
    </xdr:to>
    <xdr:graphicFrame>
      <xdr:nvGraphicFramePr>
        <xdr:cNvPr id="1" name="Chart 2"/>
        <xdr:cNvGraphicFramePr/>
      </xdr:nvGraphicFramePr>
      <xdr:xfrm>
        <a:off x="0" y="999180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4"/>
  </cols>
  <sheetData>
    <row r="1" customFormat="false" ht="21.75" hidden="false" customHeight="true" outlineLevel="0" collapsed="false">
      <c r="A1" s="1" t="s">
        <v>0</v>
      </c>
      <c r="B1" s="2"/>
    </row>
    <row r="2" customFormat="false" ht="15" hidden="false" customHeight="false" outlineLevel="0" collapsed="false">
      <c r="B2" s="3" t="s">
        <v>1</v>
      </c>
    </row>
    <row r="3" customFormat="false" ht="30" hidden="false" customHeight="true" outlineLevel="0" collapsed="false">
      <c r="B3" s="4" t="s">
        <v>2</v>
      </c>
    </row>
    <row r="5" customFormat="false" ht="15" hidden="false" customHeight="false" outlineLevel="0" collapsed="false">
      <c r="A5" s="5" t="s">
        <v>3</v>
      </c>
      <c r="B5" s="6"/>
    </row>
    <row r="6" customFormat="false" ht="15" hidden="false" customHeight="true" outlineLevel="0" collapsed="false">
      <c r="B6" s="4" t="s">
        <v>4</v>
      </c>
    </row>
    <row r="7" customFormat="false" ht="15" hidden="false" customHeight="true" outlineLevel="0" collapsed="false">
      <c r="B7" s="4" t="s">
        <v>5</v>
      </c>
    </row>
    <row r="8" customFormat="false" ht="15" hidden="false" customHeight="true" outlineLevel="0" collapsed="false">
      <c r="B8" s="4" t="s">
        <v>6</v>
      </c>
    </row>
    <row r="10" customFormat="false" ht="15" hidden="false" customHeight="false" outlineLevel="0" collapsed="false">
      <c r="A10" s="5" t="s">
        <v>7</v>
      </c>
      <c r="B10" s="6"/>
    </row>
    <row r="11" customFormat="false" ht="15" hidden="false" customHeight="true" outlineLevel="0" collapsed="false">
      <c r="B11" s="4" t="s">
        <v>8</v>
      </c>
    </row>
    <row r="12" customFormat="false" ht="15" hidden="false" customHeight="true" outlineLevel="0" collapsed="false">
      <c r="B12" s="4" t="s">
        <v>9</v>
      </c>
    </row>
    <row r="13" customFormat="false" ht="15" hidden="false" customHeight="true" outlineLevel="0" collapsed="false">
      <c r="B13" s="4" t="s">
        <v>10</v>
      </c>
    </row>
    <row r="14" customFormat="false" ht="15" hidden="false" customHeight="true" outlineLevel="0" collapsed="false">
      <c r="B14" s="4" t="s">
        <v>11</v>
      </c>
    </row>
    <row r="15" customFormat="false" ht="15" hidden="false" customHeight="true" outlineLevel="0" collapsed="false">
      <c r="B15" s="4" t="s">
        <v>12</v>
      </c>
    </row>
    <row r="17" customFormat="false" ht="15" hidden="false" customHeight="false" outlineLevel="0" collapsed="false">
      <c r="A17" s="5" t="s">
        <v>13</v>
      </c>
      <c r="B17" s="6"/>
    </row>
    <row r="18" customFormat="false" ht="15" hidden="false" customHeight="true" outlineLevel="0" collapsed="false">
      <c r="B18" s="4" t="s">
        <v>14</v>
      </c>
    </row>
    <row r="19" customFormat="false" ht="15" hidden="false" customHeight="true" outlineLevel="0" collapsed="false">
      <c r="B19" s="4" t="s">
        <v>15</v>
      </c>
    </row>
    <row r="20" customFormat="false" ht="15" hidden="false" customHeight="true" outlineLevel="0" collapsed="false">
      <c r="B20" s="4" t="s">
        <v>16</v>
      </c>
    </row>
    <row r="21" customFormat="false" ht="15" hidden="false" customHeight="true" outlineLevel="0" collapsed="false">
      <c r="B21" s="4" t="s">
        <v>17</v>
      </c>
    </row>
    <row r="22" customFormat="false" ht="15" hidden="false" customHeight="true" outlineLevel="0" collapsed="false">
      <c r="B22" s="4" t="s">
        <v>18</v>
      </c>
    </row>
    <row r="23" customFormat="false" ht="15" hidden="false" customHeight="true" outlineLevel="0" collapsed="false">
      <c r="B23" s="4" t="s">
        <v>19</v>
      </c>
    </row>
    <row r="25" customFormat="false" ht="15" hidden="false" customHeight="false" outlineLevel="0" collapsed="false">
      <c r="A25" s="5" t="s">
        <v>20</v>
      </c>
      <c r="B25" s="6"/>
    </row>
    <row r="26" customFormat="false" ht="30" hidden="false" customHeight="true" outlineLevel="0" collapsed="false">
      <c r="B26" s="4" t="s">
        <v>21</v>
      </c>
    </row>
    <row r="27" customFormat="false" ht="30" hidden="false" customHeight="true" outlineLevel="0" collapsed="false">
      <c r="B27" s="4" t="s">
        <v>22</v>
      </c>
    </row>
    <row r="28" customFormat="false" ht="30" hidden="false" customHeight="true" outlineLevel="0" collapsed="false">
      <c r="B28" s="4" t="s">
        <v>23</v>
      </c>
    </row>
    <row r="29" customFormat="false" ht="30" hidden="false" customHeight="true" outlineLevel="0" collapsed="false">
      <c r="B29" s="4" t="s">
        <v>24</v>
      </c>
    </row>
    <row r="30" customFormat="false" ht="30" hidden="false" customHeight="true" outlineLevel="0" collapsed="false">
      <c r="B30" s="4" t="s">
        <v>25</v>
      </c>
    </row>
    <row r="31" customFormat="false" ht="30" hidden="false" customHeight="true" outlineLevel="0" collapsed="false">
      <c r="B31" s="4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4"/>
    <col collapsed="false" customWidth="true" hidden="false" outlineLevel="0" max="4" min="3" style="0" width="22"/>
    <col collapsed="false" customWidth="true" hidden="false" outlineLevel="0" max="5" min="5" style="0" width="18"/>
    <col collapsed="false" customWidth="true" hidden="false" outlineLevel="0" max="7" min="6" style="0" width="16"/>
  </cols>
  <sheetData>
    <row r="1" customFormat="false" ht="21.75" hidden="false" customHeight="true" outlineLevel="0" collapsed="false">
      <c r="A1" s="1" t="s">
        <v>27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7" t="s">
        <v>1</v>
      </c>
    </row>
    <row r="4" customFormat="false" ht="15" hidden="false" customHeight="false" outlineLevel="0" collapsed="false">
      <c r="A4" s="5" t="s">
        <v>28</v>
      </c>
      <c r="B4" s="6"/>
      <c r="C4" s="6"/>
      <c r="D4" s="6"/>
      <c r="E4" s="6"/>
      <c r="F4" s="6"/>
      <c r="G4" s="6"/>
    </row>
    <row r="5" customFormat="false" ht="15" hidden="false" customHeight="false" outlineLevel="0" collapsed="false">
      <c r="A5" s="8" t="s">
        <v>29</v>
      </c>
      <c r="B5" s="9" t="n">
        <v>10000</v>
      </c>
    </row>
    <row r="6" customFormat="false" ht="15" hidden="false" customHeight="false" outlineLevel="0" collapsed="false">
      <c r="A6" s="8" t="s">
        <v>30</v>
      </c>
      <c r="B6" s="9" t="n">
        <v>200000</v>
      </c>
    </row>
    <row r="7" customFormat="false" ht="15" hidden="false" customHeight="false" outlineLevel="0" collapsed="false">
      <c r="A7" s="8" t="s">
        <v>31</v>
      </c>
      <c r="B7" s="10" t="n">
        <f aca="false">B5*B6/1000000</f>
        <v>2000</v>
      </c>
    </row>
    <row r="9" customFormat="false" ht="15" hidden="false" customHeight="false" outlineLevel="0" collapsed="false">
      <c r="A9" s="5" t="s">
        <v>32</v>
      </c>
      <c r="B9" s="6"/>
      <c r="C9" s="6"/>
      <c r="D9" s="6"/>
      <c r="E9" s="6"/>
      <c r="F9" s="6"/>
      <c r="G9" s="6"/>
    </row>
    <row r="10" customFormat="false" ht="30" hidden="false" customHeight="true" outlineLevel="0" collapsed="false">
      <c r="B10" s="11" t="s">
        <v>33</v>
      </c>
      <c r="C10" s="11" t="s">
        <v>34</v>
      </c>
      <c r="D10" s="11" t="s">
        <v>35</v>
      </c>
      <c r="E10" s="11" t="s">
        <v>36</v>
      </c>
    </row>
    <row r="11" customFormat="false" ht="15" hidden="false" customHeight="false" outlineLevel="0" collapsed="false">
      <c r="B11" s="12" t="s">
        <v>37</v>
      </c>
      <c r="C11" s="12" t="s">
        <v>38</v>
      </c>
      <c r="D11" s="13" t="n">
        <v>0.5</v>
      </c>
      <c r="E11" s="14" t="n">
        <f aca="false">$B$6*D11</f>
        <v>100000</v>
      </c>
    </row>
    <row r="12" customFormat="false" ht="15" hidden="false" customHeight="false" outlineLevel="0" collapsed="false">
      <c r="B12" s="12" t="s">
        <v>39</v>
      </c>
      <c r="C12" s="12" t="s">
        <v>40</v>
      </c>
      <c r="D12" s="13" t="n">
        <v>0.3</v>
      </c>
      <c r="E12" s="14" t="n">
        <f aca="false">$B$6*D12</f>
        <v>60000</v>
      </c>
    </row>
    <row r="13" customFormat="false" ht="15" hidden="false" customHeight="false" outlineLevel="0" collapsed="false">
      <c r="B13" s="12" t="s">
        <v>41</v>
      </c>
      <c r="C13" s="12" t="s">
        <v>42</v>
      </c>
      <c r="D13" s="13" t="n">
        <v>0.2</v>
      </c>
      <c r="E13" s="14" t="n">
        <f aca="false">$B$6*D13</f>
        <v>40000</v>
      </c>
    </row>
    <row r="14" customFormat="false" ht="15" hidden="false" customHeight="false" outlineLevel="0" collapsed="false">
      <c r="B14" s="15" t="s">
        <v>43</v>
      </c>
      <c r="D14" s="16" t="n">
        <f aca="false">SUM(D11:D13)</f>
        <v>1</v>
      </c>
      <c r="E14" s="17" t="n">
        <f aca="false">SUM(E11:E13)</f>
        <v>200000</v>
      </c>
    </row>
    <row r="16" customFormat="false" ht="15" hidden="false" customHeight="false" outlineLevel="0" collapsed="false">
      <c r="A16" s="5" t="s">
        <v>44</v>
      </c>
      <c r="B16" s="6"/>
      <c r="C16" s="6"/>
      <c r="D16" s="6"/>
      <c r="E16" s="6"/>
      <c r="F16" s="6"/>
      <c r="G16" s="6"/>
    </row>
    <row r="17" customFormat="false" ht="15" hidden="false" customHeight="false" outlineLevel="0" collapsed="false">
      <c r="A17" s="8" t="s">
        <v>45</v>
      </c>
      <c r="B17" s="13" t="n">
        <v>0.1</v>
      </c>
    </row>
    <row r="18" customFormat="false" ht="15" hidden="false" customHeight="false" outlineLevel="0" collapsed="false">
      <c r="A18" s="8" t="s">
        <v>46</v>
      </c>
      <c r="B18" s="13" t="n">
        <v>0.12</v>
      </c>
    </row>
    <row r="19" customFormat="false" ht="15" hidden="false" customHeight="false" outlineLevel="0" collapsed="false">
      <c r="A19" s="8" t="s">
        <v>47</v>
      </c>
      <c r="B19" s="13" t="n">
        <v>0.12</v>
      </c>
    </row>
    <row r="21" customFormat="false" ht="15" hidden="false" customHeight="false" outlineLevel="0" collapsed="false">
      <c r="A21" s="5" t="s">
        <v>48</v>
      </c>
      <c r="B21" s="6"/>
      <c r="C21" s="6"/>
      <c r="D21" s="6"/>
      <c r="E21" s="6"/>
      <c r="F21" s="6"/>
      <c r="G21" s="6"/>
    </row>
    <row r="22" customFormat="false" ht="30" hidden="false" customHeight="true" outlineLevel="0" collapsed="false">
      <c r="B22" s="11" t="s">
        <v>49</v>
      </c>
      <c r="C22" s="11" t="s">
        <v>50</v>
      </c>
      <c r="D22" s="11" t="s">
        <v>51</v>
      </c>
      <c r="E22" s="11" t="s">
        <v>52</v>
      </c>
      <c r="F22" s="11" t="s">
        <v>53</v>
      </c>
    </row>
    <row r="23" customFormat="false" ht="15" hidden="false" customHeight="false" outlineLevel="0" collapsed="false">
      <c r="B23" s="12" t="s">
        <v>54</v>
      </c>
      <c r="C23" s="9" t="n">
        <v>1500</v>
      </c>
      <c r="D23" s="9" t="n">
        <v>20000</v>
      </c>
      <c r="E23" s="13" t="n">
        <v>0.2</v>
      </c>
      <c r="F23" s="12" t="s">
        <v>55</v>
      </c>
    </row>
    <row r="24" customFormat="false" ht="15" hidden="false" customHeight="false" outlineLevel="0" collapsed="false">
      <c r="B24" s="12" t="s">
        <v>56</v>
      </c>
      <c r="C24" s="9" t="n">
        <v>500</v>
      </c>
      <c r="D24" s="9" t="n">
        <v>25000</v>
      </c>
      <c r="E24" s="13" t="n">
        <v>0.2</v>
      </c>
      <c r="F24" s="12" t="s">
        <v>57</v>
      </c>
    </row>
    <row r="25" customFormat="false" ht="15" hidden="false" customHeight="false" outlineLevel="0" collapsed="false">
      <c r="B25" s="12"/>
      <c r="C25" s="9" t="n">
        <v>0</v>
      </c>
      <c r="D25" s="9" t="n">
        <v>0</v>
      </c>
      <c r="E25" s="13" t="n">
        <v>0</v>
      </c>
      <c r="F25" s="12"/>
    </row>
    <row r="26" customFormat="false" ht="15" hidden="false" customHeight="false" outlineLevel="0" collapsed="false">
      <c r="B26" s="15" t="s">
        <v>43</v>
      </c>
      <c r="C26" s="17" t="n">
        <f aca="false">SUM(C23:C25)</f>
        <v>2000</v>
      </c>
    </row>
    <row r="28" customFormat="false" ht="15" hidden="false" customHeight="false" outlineLevel="0" collapsed="false">
      <c r="A28" s="5" t="s">
        <v>58</v>
      </c>
      <c r="B28" s="6"/>
      <c r="C28" s="6"/>
      <c r="D28" s="6"/>
      <c r="E28" s="6"/>
      <c r="F28" s="6"/>
      <c r="G28" s="6"/>
    </row>
    <row r="29" customFormat="false" ht="15" hidden="false" customHeight="false" outlineLevel="0" collapsed="false">
      <c r="A29" s="8" t="s">
        <v>59</v>
      </c>
      <c r="B29" s="9" t="n">
        <v>10000</v>
      </c>
    </row>
    <row r="30" customFormat="false" ht="15" hidden="false" customHeight="false" outlineLevel="0" collapsed="false">
      <c r="A30" s="8" t="s">
        <v>60</v>
      </c>
      <c r="B30" s="9" t="n">
        <v>40000</v>
      </c>
    </row>
    <row r="31" customFormat="false" ht="15" hidden="false" customHeight="false" outlineLevel="0" collapsed="false">
      <c r="A31" s="8" t="s">
        <v>61</v>
      </c>
      <c r="B31" s="17" t="n">
        <f aca="false">B29+B30</f>
        <v>50000</v>
      </c>
    </row>
    <row r="32" customFormat="false" ht="15" hidden="false" customHeight="false" outlineLevel="0" collapsed="false">
      <c r="A32" s="8" t="s">
        <v>62</v>
      </c>
      <c r="B32" s="18" t="n">
        <v>1</v>
      </c>
    </row>
    <row r="33" customFormat="false" ht="15" hidden="false" customHeight="false" outlineLevel="0" collapsed="false">
      <c r="A33" s="8" t="s">
        <v>63</v>
      </c>
      <c r="B33" s="19" t="s">
        <v>64</v>
      </c>
    </row>
    <row r="35" customFormat="false" ht="15" hidden="false" customHeight="false" outlineLevel="0" collapsed="false">
      <c r="A35" s="5" t="s">
        <v>65</v>
      </c>
      <c r="B35" s="6"/>
      <c r="C35" s="6"/>
      <c r="D35" s="6"/>
      <c r="E35" s="6"/>
      <c r="F35" s="6"/>
      <c r="G35" s="6"/>
    </row>
    <row r="36" customFormat="false" ht="15" hidden="false" customHeight="false" outlineLevel="0" collapsed="false">
      <c r="A36" s="8" t="s">
        <v>66</v>
      </c>
      <c r="B36" s="20" t="n">
        <v>1</v>
      </c>
    </row>
    <row r="37" customFormat="false" ht="15" hidden="false" customHeight="false" outlineLevel="0" collapsed="false">
      <c r="A37" s="8" t="s">
        <v>59</v>
      </c>
      <c r="B37" s="9" t="n">
        <v>50000</v>
      </c>
    </row>
    <row r="38" customFormat="false" ht="15" hidden="false" customHeight="false" outlineLevel="0" collapsed="false">
      <c r="A38" s="8" t="s">
        <v>60</v>
      </c>
      <c r="B38" s="9" t="n">
        <v>150000</v>
      </c>
    </row>
    <row r="39" customFormat="false" ht="15" hidden="false" customHeight="false" outlineLevel="0" collapsed="false">
      <c r="A39" s="8" t="s">
        <v>61</v>
      </c>
      <c r="B39" s="17" t="n">
        <f aca="false">IF(B36=1,B37+B38,0)</f>
        <v>200000</v>
      </c>
    </row>
    <row r="40" customFormat="false" ht="15" hidden="false" customHeight="false" outlineLevel="0" collapsed="false">
      <c r="A40" s="8" t="s">
        <v>62</v>
      </c>
      <c r="B40" s="18" t="n">
        <v>1</v>
      </c>
    </row>
    <row r="42" customFormat="false" ht="15" hidden="false" customHeight="false" outlineLevel="0" collapsed="false">
      <c r="A42" s="5" t="s">
        <v>67</v>
      </c>
      <c r="B42" s="6"/>
      <c r="C42" s="6"/>
      <c r="D42" s="6"/>
      <c r="E42" s="6"/>
      <c r="F42" s="6"/>
      <c r="G42" s="6"/>
    </row>
    <row r="43" customFormat="false" ht="15" hidden="false" customHeight="false" outlineLevel="0" collapsed="false">
      <c r="A43" s="8" t="s">
        <v>68</v>
      </c>
      <c r="B43" s="20" t="n">
        <v>48</v>
      </c>
    </row>
    <row r="44" customFormat="false" ht="15" hidden="false" customHeight="false" outlineLevel="0" collapsed="false">
      <c r="A44" s="8" t="s">
        <v>69</v>
      </c>
      <c r="B44" s="20" t="n">
        <v>12</v>
      </c>
    </row>
    <row r="45" customFormat="false" ht="15" hidden="false" customHeight="false" outlineLevel="0" collapsed="false">
      <c r="A45" s="8" t="s">
        <v>70</v>
      </c>
      <c r="B45" s="20" t="n">
        <v>18</v>
      </c>
    </row>
    <row r="47" customFormat="false" ht="15" hidden="false" customHeight="false" outlineLevel="0" collapsed="false">
      <c r="A47" s="5" t="s">
        <v>71</v>
      </c>
      <c r="B47" s="6"/>
      <c r="C47" s="6"/>
      <c r="D47" s="6"/>
      <c r="E47" s="6"/>
      <c r="F47" s="6"/>
      <c r="G47" s="6"/>
    </row>
    <row r="48" customFormat="false" ht="30" hidden="false" customHeight="true" outlineLevel="0" collapsed="false">
      <c r="C48" s="11" t="s">
        <v>72</v>
      </c>
      <c r="D48" s="11" t="s">
        <v>73</v>
      </c>
      <c r="E48" s="11" t="s">
        <v>74</v>
      </c>
      <c r="F48" s="11" t="s">
        <v>75</v>
      </c>
      <c r="G48" s="11" t="s">
        <v>76</v>
      </c>
    </row>
    <row r="49" customFormat="false" ht="15" hidden="false" customHeight="false" outlineLevel="0" collapsed="false">
      <c r="A49" s="15" t="s">
        <v>77</v>
      </c>
      <c r="C49" s="9" t="n">
        <v>100000</v>
      </c>
      <c r="D49" s="9" t="n">
        <v>250000</v>
      </c>
      <c r="E49" s="9" t="n">
        <v>500000</v>
      </c>
      <c r="F49" s="9" t="n">
        <v>1000000</v>
      </c>
      <c r="G49" s="9" t="n">
        <v>2500000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10" min="10" style="0" width="14"/>
    <col collapsed="false" customWidth="true" hidden="false" outlineLevel="0" max="11" min="11" style="0" width="10"/>
  </cols>
  <sheetData>
    <row r="1" customFormat="false" ht="21.75" hidden="false" customHeight="true" outlineLevel="0" collapsed="false">
      <c r="A1" s="1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5" hidden="false" customHeight="false" outlineLevel="0" collapsed="false">
      <c r="A3" s="5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customFormat="false" ht="15" hidden="false" customHeight="false" outlineLevel="0" collapsed="false">
      <c r="A4" s="8" t="s">
        <v>80</v>
      </c>
      <c r="B4" s="21" t="n">
        <f aca="false">Inputs!E14</f>
        <v>200000</v>
      </c>
    </row>
    <row r="5" customFormat="false" ht="15" hidden="false" customHeight="false" outlineLevel="0" collapsed="false">
      <c r="A5" s="8" t="s">
        <v>81</v>
      </c>
      <c r="B5" s="21" t="n">
        <f aca="false">ROUND(B4*Inputs!B17/(1-Inputs!B17),0)</f>
        <v>22222</v>
      </c>
    </row>
    <row r="6" customFormat="false" ht="15" hidden="false" customHeight="false" outlineLevel="0" collapsed="false">
      <c r="A6" s="8" t="s">
        <v>82</v>
      </c>
      <c r="B6" s="10" t="n">
        <f aca="false">B4+B5</f>
        <v>222222</v>
      </c>
    </row>
    <row r="7" customFormat="false" ht="15" hidden="false" customHeight="false" outlineLevel="0" collapsed="false">
      <c r="A7" s="8" t="s">
        <v>83</v>
      </c>
      <c r="B7" s="22" t="n">
        <f aca="false">IF(Inputs!B31=0,0,Inputs!B29/Inputs!B31)</f>
        <v>0.2</v>
      </c>
    </row>
    <row r="8" customFormat="false" ht="15" hidden="false" customHeight="false" outlineLevel="0" collapsed="false">
      <c r="A8" s="8" t="s">
        <v>84</v>
      </c>
      <c r="B8" s="22" t="n">
        <f aca="false">IF(Inputs!C23=0,0,Inputs!C23*MAX(IF(Inputs!D23&gt;0,Inputs!$B$30/Inputs!D23,0),IF(Inputs!E23&lt;1,1/(1-Inputs!E23),0))/Inputs!$B$31)</f>
        <v>0.06</v>
      </c>
    </row>
    <row r="9" customFormat="false" ht="15" hidden="false" customHeight="false" outlineLevel="0" collapsed="false">
      <c r="A9" s="8" t="s">
        <v>85</v>
      </c>
      <c r="B9" s="22" t="n">
        <f aca="false">IF(Inputs!C24=0,0,Inputs!C24*MAX(IF(Inputs!D24&gt;0,Inputs!$B$30/Inputs!D24,0),IF(Inputs!E24&lt;1,1/(1-Inputs!E24),0))/Inputs!$B$31)</f>
        <v>0.016</v>
      </c>
    </row>
    <row r="10" customFormat="false" ht="15" hidden="false" customHeight="false" outlineLevel="0" collapsed="false">
      <c r="A10" s="8" t="s">
        <v>86</v>
      </c>
      <c r="B10" s="22" t="n">
        <f aca="false">IF(Inputs!C25=0,0,Inputs!C25*MAX(IF(Inputs!D25&gt;0,Inputs!$B$30/Inputs!D25,0),IF(Inputs!E25&lt;1,1/(1-Inputs!E25),0))/Inputs!$B$31)</f>
        <v>0</v>
      </c>
    </row>
    <row r="11" customFormat="false" ht="15" hidden="false" customHeight="false" outlineLevel="0" collapsed="false">
      <c r="A11" s="8" t="s">
        <v>87</v>
      </c>
      <c r="B11" s="23" t="n">
        <f aca="false">SUM(B8:B10)</f>
        <v>0.076</v>
      </c>
    </row>
    <row r="12" customFormat="false" ht="15" hidden="false" customHeight="false" outlineLevel="0" collapsed="false">
      <c r="A12" s="8" t="s">
        <v>88</v>
      </c>
      <c r="B12" s="24" t="n">
        <f aca="false">1-Inputs!B18-B11-B7</f>
        <v>0.604</v>
      </c>
    </row>
    <row r="13" customFormat="false" ht="15" hidden="false" customHeight="false" outlineLevel="0" collapsed="false">
      <c r="A13" s="8" t="s">
        <v>89</v>
      </c>
      <c r="B13" s="17" t="n">
        <f aca="false">IF(B12&lt;=0,0,ROUND(B4/B12,0))</f>
        <v>331126</v>
      </c>
    </row>
    <row r="14" customFormat="false" ht="15" hidden="false" customHeight="false" outlineLevel="0" collapsed="false">
      <c r="A14" s="8" t="s">
        <v>90</v>
      </c>
      <c r="B14" s="21" t="n">
        <f aca="false">MAX(B5,ROUND(B13*Inputs!B18,0))</f>
        <v>39735</v>
      </c>
    </row>
    <row r="15" customFormat="false" ht="15" hidden="false" customHeight="false" outlineLevel="0" collapsed="false">
      <c r="A15" s="8" t="s">
        <v>91</v>
      </c>
      <c r="B15" s="10" t="n">
        <f aca="false">ROUND(B13*B7,0)</f>
        <v>66225</v>
      </c>
    </row>
    <row r="16" customFormat="false" ht="15" hidden="false" customHeight="false" outlineLevel="0" collapsed="false">
      <c r="A16" s="8" t="s">
        <v>92</v>
      </c>
      <c r="B16" s="25" t="n">
        <f aca="false">IF(B15=0,0,Inputs!B29*1000000/B15)</f>
        <v>151000.377500944</v>
      </c>
    </row>
    <row r="17" customFormat="false" ht="15" hidden="false" customHeight="false" outlineLevel="0" collapsed="false">
      <c r="A17" s="8" t="s">
        <v>93</v>
      </c>
      <c r="B17" s="10" t="n">
        <f aca="false">B13-B14</f>
        <v>291391</v>
      </c>
    </row>
    <row r="18" customFormat="false" ht="15" hidden="false" customHeight="false" outlineLevel="0" collapsed="false">
      <c r="A18" s="8" t="s">
        <v>94</v>
      </c>
      <c r="B18" s="22" t="n">
        <f aca="false">IF(Inputs!B39=0,0,Inputs!B37/Inputs!B39)</f>
        <v>0.25</v>
      </c>
    </row>
    <row r="19" customFormat="false" ht="15" hidden="false" customHeight="false" outlineLevel="0" collapsed="false">
      <c r="A19" s="8" t="s">
        <v>95</v>
      </c>
      <c r="B19" s="22" t="n">
        <f aca="false">IF(Inputs!B36=1,1-Inputs!B19-B18,1)</f>
        <v>0.63</v>
      </c>
    </row>
    <row r="20" customFormat="false" ht="15" hidden="false" customHeight="false" outlineLevel="0" collapsed="false">
      <c r="A20" s="8" t="s">
        <v>96</v>
      </c>
      <c r="B20" s="25" t="n">
        <f aca="false">IF(Inputs!B36=1,IF(B19&lt;=0,0,ROUND(B17/B19,0)),B13)</f>
        <v>462525</v>
      </c>
    </row>
    <row r="21" customFormat="false" ht="15" hidden="false" customHeight="false" outlineLevel="0" collapsed="false">
      <c r="A21" s="8" t="s">
        <v>97</v>
      </c>
      <c r="B21" s="21" t="n">
        <f aca="false">IF(Inputs!B36=1,MAX(B14,ROUND(B20*Inputs!B19,0)),B14)</f>
        <v>55503</v>
      </c>
    </row>
    <row r="22" customFormat="false" ht="15" hidden="false" customHeight="false" outlineLevel="0" collapsed="false">
      <c r="A22" s="8" t="s">
        <v>98</v>
      </c>
      <c r="B22" s="21" t="n">
        <f aca="false">IF(Inputs!B36=1,ROUND(B20*B18,0),0)</f>
        <v>115631</v>
      </c>
    </row>
    <row r="23" customFormat="false" ht="15" hidden="false" customHeight="false" outlineLevel="0" collapsed="false">
      <c r="A23" s="8" t="s">
        <v>99</v>
      </c>
      <c r="B23" s="25" t="n">
        <f aca="false">IF(B22=0,0,Inputs!B37*1000000/B22)</f>
        <v>432409.993859778</v>
      </c>
    </row>
    <row r="25" customFormat="false" ht="15" hidden="false" customHeight="false" outlineLevel="0" collapsed="false">
      <c r="A25" s="5" t="s">
        <v>100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customFormat="false" ht="30" hidden="false" customHeight="true" outlineLevel="0" collapsed="false">
      <c r="B26" s="11" t="s">
        <v>101</v>
      </c>
      <c r="C26" s="11" t="s">
        <v>102</v>
      </c>
      <c r="D26" s="11" t="s">
        <v>103</v>
      </c>
      <c r="E26" s="11" t="s">
        <v>104</v>
      </c>
      <c r="F26" s="11" t="s">
        <v>105</v>
      </c>
      <c r="G26" s="11" t="s">
        <v>104</v>
      </c>
      <c r="H26" s="11" t="s">
        <v>106</v>
      </c>
      <c r="I26" s="11" t="s">
        <v>104</v>
      </c>
      <c r="J26" s="11" t="s">
        <v>107</v>
      </c>
      <c r="K26" s="11" t="s">
        <v>104</v>
      </c>
    </row>
    <row r="27" customFormat="false" ht="15" hidden="false" customHeight="false" outlineLevel="0" collapsed="false">
      <c r="B27" s="26" t="str">
        <f aca="false">Inputs!B11</f>
        <v>Founder A</v>
      </c>
      <c r="C27" s="27" t="s">
        <v>108</v>
      </c>
      <c r="D27" s="28" t="n">
        <f aca="false">Inputs!E11</f>
        <v>100000</v>
      </c>
      <c r="E27" s="29" t="n">
        <f aca="false">IF(D$36=0,0,D27/D$36)</f>
        <v>0.5</v>
      </c>
      <c r="F27" s="28" t="n">
        <f aca="false">Inputs!E11</f>
        <v>100000</v>
      </c>
      <c r="G27" s="29" t="n">
        <f aca="false">IF(F$36=0,0,F27/F$36)</f>
        <v>0.45000045000045</v>
      </c>
      <c r="H27" s="28" t="n">
        <f aca="false">Inputs!E11</f>
        <v>100000</v>
      </c>
      <c r="I27" s="29" t="n">
        <f aca="false">IF(H$36=0,0,H27/H$36)</f>
        <v>0.301999842960082</v>
      </c>
      <c r="J27" s="28" t="n">
        <f aca="false">Inputs!E11</f>
        <v>100000</v>
      </c>
      <c r="K27" s="29" t="n">
        <f aca="false">IF(J$36=0,0,J27/J$36)</f>
        <v>0.216204529484893</v>
      </c>
    </row>
    <row r="28" customFormat="false" ht="15" hidden="false" customHeight="false" outlineLevel="0" collapsed="false">
      <c r="B28" s="26" t="str">
        <f aca="false">Inputs!B12</f>
        <v>Founder B</v>
      </c>
      <c r="C28" s="27" t="s">
        <v>108</v>
      </c>
      <c r="D28" s="28" t="n">
        <f aca="false">Inputs!E12</f>
        <v>60000</v>
      </c>
      <c r="E28" s="29" t="n">
        <f aca="false">IF(D$36=0,0,D28/D$36)</f>
        <v>0.3</v>
      </c>
      <c r="F28" s="28" t="n">
        <f aca="false">Inputs!E12</f>
        <v>60000</v>
      </c>
      <c r="G28" s="29" t="n">
        <f aca="false">IF(F$36=0,0,F28/F$36)</f>
        <v>0.27000027000027</v>
      </c>
      <c r="H28" s="28" t="n">
        <f aca="false">Inputs!E12</f>
        <v>60000</v>
      </c>
      <c r="I28" s="29" t="n">
        <f aca="false">IF(H$36=0,0,H28/H$36)</f>
        <v>0.181199905776049</v>
      </c>
      <c r="J28" s="28" t="n">
        <f aca="false">Inputs!E12</f>
        <v>60000</v>
      </c>
      <c r="K28" s="29" t="n">
        <f aca="false">IF(J$36=0,0,J28/J$36)</f>
        <v>0.129722717690936</v>
      </c>
    </row>
    <row r="29" customFormat="false" ht="15" hidden="false" customHeight="false" outlineLevel="0" collapsed="false">
      <c r="B29" s="26" t="str">
        <f aca="false">Inputs!B13</f>
        <v>Founder C</v>
      </c>
      <c r="C29" s="27" t="s">
        <v>108</v>
      </c>
      <c r="D29" s="28" t="n">
        <f aca="false">Inputs!E13</f>
        <v>40000</v>
      </c>
      <c r="E29" s="29" t="n">
        <f aca="false">IF(D$36=0,0,D29/D$36)</f>
        <v>0.2</v>
      </c>
      <c r="F29" s="28" t="n">
        <f aca="false">Inputs!E13</f>
        <v>40000</v>
      </c>
      <c r="G29" s="29" t="n">
        <f aca="false">IF(F$36=0,0,F29/F$36)</f>
        <v>0.18000018000018</v>
      </c>
      <c r="H29" s="28" t="n">
        <f aca="false">Inputs!E13</f>
        <v>40000</v>
      </c>
      <c r="I29" s="29" t="n">
        <f aca="false">IF(H$36=0,0,H29/H$36)</f>
        <v>0.120799937184033</v>
      </c>
      <c r="J29" s="28" t="n">
        <f aca="false">Inputs!E13</f>
        <v>40000</v>
      </c>
      <c r="K29" s="29" t="n">
        <f aca="false">IF(J$36=0,0,J29/J$36)</f>
        <v>0.0864818117939571</v>
      </c>
    </row>
    <row r="30" customFormat="false" ht="15" hidden="false" customHeight="false" outlineLevel="0" collapsed="false">
      <c r="B30" s="26" t="str">
        <f aca="false">"Option pool"</f>
        <v>Option pool</v>
      </c>
      <c r="C30" s="27" t="s">
        <v>109</v>
      </c>
      <c r="D30" s="14" t="n">
        <f aca="false">0</f>
        <v>0</v>
      </c>
      <c r="E30" s="29" t="n">
        <f aca="false">IF(D$36=0,0,D30/D$36)</f>
        <v>0</v>
      </c>
      <c r="F30" s="14" t="n">
        <f aca="false">B5</f>
        <v>22222</v>
      </c>
      <c r="G30" s="29" t="n">
        <f aca="false">IF(F$36=0,0,F30/F$36)</f>
        <v>0.0999990999991</v>
      </c>
      <c r="H30" s="14" t="n">
        <f aca="false">B14</f>
        <v>39735</v>
      </c>
      <c r="I30" s="29" t="n">
        <f aca="false">IF(H$36=0,0,H30/H$36)</f>
        <v>0.119999637600188</v>
      </c>
      <c r="J30" s="14" t="n">
        <f aca="false">B21</f>
        <v>55503</v>
      </c>
      <c r="K30" s="29" t="n">
        <f aca="false">IF(J$36=0,0,J30/J$36)</f>
        <v>0.12</v>
      </c>
    </row>
    <row r="31" customFormat="false" ht="15" hidden="false" customHeight="false" outlineLevel="0" collapsed="false">
      <c r="B31" s="26" t="str">
        <f aca="false">IF(Inputs!B23="","SAFE 1",Inputs!B23)</f>
        <v>Angel 1</v>
      </c>
      <c r="C31" s="27" t="s">
        <v>110</v>
      </c>
      <c r="D31" s="14" t="n">
        <f aca="false">0</f>
        <v>0</v>
      </c>
      <c r="E31" s="29" t="n">
        <f aca="false">IF(D$36=0,0,D31/D$36)</f>
        <v>0</v>
      </c>
      <c r="F31" s="14" t="n">
        <f aca="false">0</f>
        <v>0</v>
      </c>
      <c r="G31" s="29" t="n">
        <f aca="false">IF(F$36=0,0,F31/F$36)</f>
        <v>0</v>
      </c>
      <c r="H31" s="14" t="n">
        <f aca="false">ROUND($B$13*B8,0)</f>
        <v>19868</v>
      </c>
      <c r="I31" s="29" t="n">
        <f aca="false">IF(H$36=0,0,H31/H$36)</f>
        <v>0.060001328799309</v>
      </c>
      <c r="J31" s="14" t="n">
        <f aca="false">H31</f>
        <v>19868</v>
      </c>
      <c r="K31" s="29" t="n">
        <f aca="false">IF(J$36=0,0,J31/J$36)</f>
        <v>0.0429555159180585</v>
      </c>
    </row>
    <row r="32" customFormat="false" ht="15" hidden="false" customHeight="false" outlineLevel="0" collapsed="false">
      <c r="B32" s="26" t="str">
        <f aca="false">IF(Inputs!B24="","SAFE 2",Inputs!B24)</f>
        <v>Angel 2</v>
      </c>
      <c r="C32" s="27" t="s">
        <v>110</v>
      </c>
      <c r="D32" s="14" t="n">
        <f aca="false">0</f>
        <v>0</v>
      </c>
      <c r="E32" s="29" t="n">
        <f aca="false">IF(D$36=0,0,D32/D$36)</f>
        <v>0</v>
      </c>
      <c r="F32" s="14" t="n">
        <f aca="false">0</f>
        <v>0</v>
      </c>
      <c r="G32" s="29" t="n">
        <f aca="false">IF(F$36=0,0,F32/F$36)</f>
        <v>0</v>
      </c>
      <c r="H32" s="14" t="n">
        <f aca="false">ROUND($B$13*B9,0)</f>
        <v>5298</v>
      </c>
      <c r="I32" s="29" t="n">
        <f aca="false">IF(H$36=0,0,H32/H$36)</f>
        <v>0.0159999516800251</v>
      </c>
      <c r="J32" s="14" t="n">
        <f aca="false">H32</f>
        <v>5298</v>
      </c>
      <c r="K32" s="29" t="n">
        <f aca="false">IF(J$36=0,0,J32/J$36)</f>
        <v>0.0114545159721096</v>
      </c>
    </row>
    <row r="33" customFormat="false" ht="15" hidden="false" customHeight="false" outlineLevel="0" collapsed="false">
      <c r="B33" s="26" t="str">
        <f aca="false">IF(Inputs!B25="","SAFE 3",Inputs!B25)</f>
        <v>SAFE 3</v>
      </c>
      <c r="C33" s="27" t="s">
        <v>110</v>
      </c>
      <c r="D33" s="14" t="n">
        <f aca="false">0</f>
        <v>0</v>
      </c>
      <c r="E33" s="29" t="n">
        <f aca="false">IF(D$36=0,0,D33/D$36)</f>
        <v>0</v>
      </c>
      <c r="F33" s="14" t="n">
        <f aca="false">0</f>
        <v>0</v>
      </c>
      <c r="G33" s="29" t="n">
        <f aca="false">IF(F$36=0,0,F33/F$36)</f>
        <v>0</v>
      </c>
      <c r="H33" s="14" t="n">
        <f aca="false">ROUND($B$13*B10,0)</f>
        <v>0</v>
      </c>
      <c r="I33" s="29" t="n">
        <f aca="false">IF(H$36=0,0,H33/H$36)</f>
        <v>0</v>
      </c>
      <c r="J33" s="14" t="n">
        <f aca="false">H33</f>
        <v>0</v>
      </c>
      <c r="K33" s="29" t="n">
        <f aca="false">IF(J$36=0,0,J33/J$36)</f>
        <v>0</v>
      </c>
    </row>
    <row r="34" customFormat="false" ht="15" hidden="false" customHeight="false" outlineLevel="0" collapsed="false">
      <c r="B34" s="27" t="s">
        <v>111</v>
      </c>
      <c r="C34" s="27" t="s">
        <v>110</v>
      </c>
      <c r="D34" s="14" t="n">
        <f aca="false">0</f>
        <v>0</v>
      </c>
      <c r="E34" s="29" t="n">
        <f aca="false">IF(D$36=0,0,D34/D$36)</f>
        <v>0</v>
      </c>
      <c r="F34" s="14" t="n">
        <f aca="false">0</f>
        <v>0</v>
      </c>
      <c r="G34" s="29" t="n">
        <f aca="false">IF(F$36=0,0,F34/F$36)</f>
        <v>0</v>
      </c>
      <c r="H34" s="14" t="n">
        <f aca="false">B15</f>
        <v>66225</v>
      </c>
      <c r="I34" s="29" t="n">
        <f aca="false">IF(H$36=0,0,H34/H$36)</f>
        <v>0.199999396000314</v>
      </c>
      <c r="J34" s="14" t="n">
        <f aca="false">B15</f>
        <v>66225</v>
      </c>
      <c r="K34" s="29" t="n">
        <f aca="false">IF(J$36=0,0,J34/J$36)</f>
        <v>0.14318144965137</v>
      </c>
    </row>
    <row r="35" customFormat="false" ht="15" hidden="false" customHeight="false" outlineLevel="0" collapsed="false">
      <c r="B35" s="27" t="s">
        <v>112</v>
      </c>
      <c r="C35" s="27" t="s">
        <v>110</v>
      </c>
      <c r="D35" s="14" t="n">
        <f aca="false">0</f>
        <v>0</v>
      </c>
      <c r="E35" s="29" t="n">
        <f aca="false">IF(D$36=0,0,D35/D$36)</f>
        <v>0</v>
      </c>
      <c r="F35" s="14" t="n">
        <f aca="false">0</f>
        <v>0</v>
      </c>
      <c r="G35" s="29" t="n">
        <f aca="false">IF(F$36=0,0,F35/F$36)</f>
        <v>0</v>
      </c>
      <c r="H35" s="14" t="n">
        <f aca="false">0</f>
        <v>0</v>
      </c>
      <c r="I35" s="29" t="n">
        <f aca="false">IF(H$36=0,0,H35/H$36)</f>
        <v>0</v>
      </c>
      <c r="J35" s="14" t="n">
        <f aca="false">B22</f>
        <v>115631</v>
      </c>
      <c r="K35" s="29" t="n">
        <f aca="false">IF(J$36=0,0,J35/J$36)</f>
        <v>0.249999459488676</v>
      </c>
    </row>
    <row r="36" customFormat="false" ht="15" hidden="false" customHeight="false" outlineLevel="0" collapsed="false">
      <c r="B36" s="30" t="s">
        <v>43</v>
      </c>
      <c r="C36" s="31"/>
      <c r="D36" s="32" t="n">
        <f aca="false">SUM(D27:D35)</f>
        <v>200000</v>
      </c>
      <c r="E36" s="33" t="n">
        <f aca="false">IF(D$36=0,0,D36/D$36)</f>
        <v>1</v>
      </c>
      <c r="F36" s="32" t="n">
        <f aca="false">SUM(F27:F35)</f>
        <v>222222</v>
      </c>
      <c r="G36" s="33" t="n">
        <f aca="false">IF(F$36=0,0,F36/F$36)</f>
        <v>1</v>
      </c>
      <c r="H36" s="32" t="n">
        <f aca="false">SUM(H27:H35)</f>
        <v>331126</v>
      </c>
      <c r="I36" s="33" t="n">
        <f aca="false">IF(H$36=0,0,H36/H$36)</f>
        <v>1</v>
      </c>
      <c r="J36" s="32" t="n">
        <f aca="false">SUM(J27:J35)</f>
        <v>462525</v>
      </c>
      <c r="K36" s="33" t="n">
        <f aca="false">IF(J$36=0,0,J36/J$36)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4" min="2" style="0" width="20"/>
    <col collapsed="false" customWidth="true" hidden="false" outlineLevel="0" max="5" min="5" style="0" width="4"/>
  </cols>
  <sheetData>
    <row r="1" customFormat="false" ht="21.75" hidden="false" customHeight="true" outlineLevel="0" collapsed="false">
      <c r="A1" s="1" t="s">
        <v>113</v>
      </c>
      <c r="B1" s="2"/>
      <c r="C1" s="2"/>
      <c r="D1" s="2"/>
      <c r="E1" s="2"/>
    </row>
    <row r="2" customFormat="false" ht="30" hidden="false" customHeight="true" outlineLevel="0" collapsed="false">
      <c r="A2" s="34" t="s">
        <v>114</v>
      </c>
      <c r="B2" s="34"/>
      <c r="C2" s="34"/>
      <c r="D2" s="34"/>
    </row>
    <row r="4" customFormat="false" ht="15" hidden="false" customHeight="false" outlineLevel="0" collapsed="false">
      <c r="A4" s="8" t="s">
        <v>115</v>
      </c>
      <c r="B4" s="21" t="n">
        <f aca="false">Cap_Table!B13-Cap_Table!B15</f>
        <v>264901</v>
      </c>
    </row>
    <row r="5" customFormat="false" ht="15" hidden="false" customHeight="false" outlineLevel="0" collapsed="false">
      <c r="A5" s="8" t="s">
        <v>92</v>
      </c>
      <c r="B5" s="25" t="n">
        <f aca="false">Cap_Table!B16</f>
        <v>151000.377500944</v>
      </c>
    </row>
    <row r="7" customFormat="false" ht="30" hidden="false" customHeight="true" outlineLevel="0" collapsed="false">
      <c r="B7" s="11" t="s">
        <v>116</v>
      </c>
      <c r="C7" s="11" t="s">
        <v>117</v>
      </c>
      <c r="D7" s="11" t="s">
        <v>118</v>
      </c>
    </row>
    <row r="8" customFormat="false" ht="15" hidden="false" customHeight="false" outlineLevel="0" collapsed="false">
      <c r="A8" s="8" t="s">
        <v>49</v>
      </c>
      <c r="B8" s="35" t="str">
        <f aca="false">IF(Inputs!C23=0,"—",Inputs!B23)</f>
        <v>Angel 1</v>
      </c>
      <c r="C8" s="35" t="str">
        <f aca="false">IF(Inputs!C24=0,"—",Inputs!B24)</f>
        <v>Angel 2</v>
      </c>
      <c r="D8" s="35" t="str">
        <f aca="false">IF(Inputs!C25=0,"—",Inputs!B25)</f>
        <v>—</v>
      </c>
    </row>
    <row r="9" customFormat="false" ht="15" hidden="false" customHeight="false" outlineLevel="0" collapsed="false">
      <c r="A9" s="8" t="s">
        <v>50</v>
      </c>
      <c r="B9" s="21" t="n">
        <f aca="false">Inputs!C23</f>
        <v>1500</v>
      </c>
      <c r="C9" s="21" t="n">
        <f aca="false">Inputs!C24</f>
        <v>500</v>
      </c>
      <c r="D9" s="21" t="n">
        <f aca="false">Inputs!C25</f>
        <v>0</v>
      </c>
    </row>
    <row r="10" customFormat="false" ht="15" hidden="false" customHeight="false" outlineLevel="0" collapsed="false">
      <c r="A10" s="8" t="s">
        <v>51</v>
      </c>
      <c r="B10" s="21" t="n">
        <f aca="false">Inputs!D23</f>
        <v>20000</v>
      </c>
      <c r="C10" s="21" t="n">
        <f aca="false">Inputs!D24</f>
        <v>25000</v>
      </c>
      <c r="D10" s="21" t="n">
        <f aca="false">Inputs!D25</f>
        <v>0</v>
      </c>
    </row>
    <row r="11" customFormat="false" ht="15" hidden="false" customHeight="false" outlineLevel="0" collapsed="false">
      <c r="A11" s="8" t="s">
        <v>52</v>
      </c>
      <c r="B11" s="36" t="n">
        <f aca="false">Inputs!E23</f>
        <v>0.2</v>
      </c>
      <c r="C11" s="36" t="n">
        <f aca="false">Inputs!E24</f>
        <v>0.2</v>
      </c>
      <c r="D11" s="36" t="n">
        <f aca="false">Inputs!E25</f>
        <v>0</v>
      </c>
    </row>
    <row r="12" customFormat="false" ht="15" hidden="false" customHeight="false" outlineLevel="0" collapsed="false">
      <c r="A12" s="8" t="s">
        <v>119</v>
      </c>
      <c r="B12" s="21" t="n">
        <f aca="false">IF(B10=0,0,B10*1000000/$B$4)</f>
        <v>75499.9037376227</v>
      </c>
      <c r="C12" s="21" t="n">
        <f aca="false">IF(C10=0,0,C10*1000000/$B$4)</f>
        <v>94374.8796720284</v>
      </c>
      <c r="D12" s="21" t="n">
        <f aca="false">IF(D10=0,0,D10*1000000/$B$4)</f>
        <v>0</v>
      </c>
    </row>
    <row r="13" customFormat="false" ht="15" hidden="false" customHeight="false" outlineLevel="0" collapsed="false">
      <c r="A13" s="8" t="s">
        <v>120</v>
      </c>
      <c r="B13" s="21" t="n">
        <f aca="false">(1-B11)*$B$5</f>
        <v>120800.302000755</v>
      </c>
      <c r="C13" s="21" t="n">
        <f aca="false">(1-C11)*$B$5</f>
        <v>120800.302000755</v>
      </c>
      <c r="D13" s="21" t="n">
        <f aca="false">(1-D11)*$B$5</f>
        <v>151000.377500944</v>
      </c>
    </row>
    <row r="14" customFormat="false" ht="15" hidden="false" customHeight="false" outlineLevel="0" collapsed="false">
      <c r="A14" s="15" t="s">
        <v>121</v>
      </c>
      <c r="B14" s="25" t="n">
        <f aca="false">IF(B9=0,0,IF(B12=0,B13,IF(B13=0,B12,MIN(B12,B13))))</f>
        <v>75499.9037376227</v>
      </c>
      <c r="C14" s="25" t="n">
        <f aca="false">IF(C9=0,0,IF(C12=0,C13,IF(C13=0,C12,MIN(C12,C13))))</f>
        <v>94374.8796720284</v>
      </c>
      <c r="D14" s="25" t="n">
        <f aca="false">IF(D9=0,0,IF(D12=0,D13,IF(D13=0,D12,MIN(D12,D13))))</f>
        <v>0</v>
      </c>
    </row>
    <row r="15" customFormat="false" ht="15" hidden="false" customHeight="false" outlineLevel="0" collapsed="false">
      <c r="A15" s="15" t="s">
        <v>122</v>
      </c>
      <c r="B15" s="15" t="str">
        <f aca="false">IF(B9=0,"—",IF(B14=B12,"Valuation cap","Discount"))</f>
        <v>Valuation cap</v>
      </c>
      <c r="C15" s="15" t="str">
        <f aca="false">IF(C9=0,"—",IF(C14=C12,"Valuation cap","Discount"))</f>
        <v>Valuation cap</v>
      </c>
      <c r="D15" s="15" t="str">
        <f aca="false">IF(D9=0,"—",IF(D14=D12,"Valuation cap","Discount"))</f>
        <v>—</v>
      </c>
    </row>
    <row r="16" customFormat="false" ht="15" hidden="false" customHeight="false" outlineLevel="0" collapsed="false">
      <c r="A16" s="15" t="s">
        <v>123</v>
      </c>
      <c r="B16" s="25" t="n">
        <f aca="false">Cap_Table!H31</f>
        <v>19868</v>
      </c>
      <c r="C16" s="25" t="n">
        <f aca="false">Cap_Table!H32</f>
        <v>5298</v>
      </c>
      <c r="D16" s="25" t="n">
        <f aca="false">Cap_Table!H33</f>
        <v>0</v>
      </c>
    </row>
    <row r="17" customFormat="false" ht="15" hidden="false" customHeight="false" outlineLevel="0" collapsed="false">
      <c r="A17" s="8" t="s">
        <v>124</v>
      </c>
      <c r="B17" s="36" t="n">
        <f aca="false">Cap_Table!I31</f>
        <v>0.060001328799309</v>
      </c>
      <c r="C17" s="36" t="n">
        <f aca="false">Cap_Table!I32</f>
        <v>0.0159999516800251</v>
      </c>
      <c r="D17" s="36" t="n">
        <f aca="false">Cap_Table!I33</f>
        <v>0</v>
      </c>
    </row>
    <row r="18" customFormat="false" ht="15" hidden="false" customHeight="false" outlineLevel="0" collapsed="false">
      <c r="A18" s="8" t="s">
        <v>125</v>
      </c>
      <c r="B18" s="36" t="n">
        <f aca="false">IF(OR(B14=0,$B$5=0),0,1-B14/$B$5)</f>
        <v>0.500001887497593</v>
      </c>
      <c r="C18" s="36" t="n">
        <f aca="false">IF(OR(C14=0,$B$5=0),0,1-C14/$B$5)</f>
        <v>0.375002359371992</v>
      </c>
      <c r="D18" s="36" t="n">
        <f aca="false">IF(OR(D14=0,$B$5=0),0,1-D14/$B$5)</f>
        <v>0</v>
      </c>
    </row>
  </sheetData>
  <mergeCells count="1"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8"/>
    <col collapsed="false" customWidth="true" hidden="false" outlineLevel="0" max="6" min="6" style="0" width="4"/>
  </cols>
  <sheetData>
    <row r="1" customFormat="false" ht="21.75" hidden="false" customHeight="true" outlineLevel="0" collapsed="false">
      <c r="A1" s="1" t="s">
        <v>126</v>
      </c>
      <c r="B1" s="2"/>
      <c r="C1" s="2"/>
      <c r="D1" s="2"/>
      <c r="E1" s="2"/>
    </row>
    <row r="2" customFormat="false" ht="30" hidden="false" customHeight="true" outlineLevel="0" collapsed="false">
      <c r="A2" s="34" t="s">
        <v>127</v>
      </c>
      <c r="B2" s="34"/>
      <c r="C2" s="34"/>
      <c r="D2" s="34"/>
      <c r="E2" s="34"/>
    </row>
    <row r="4" customFormat="false" ht="15" hidden="false" customHeight="false" outlineLevel="0" collapsed="false">
      <c r="A4" s="5" t="s">
        <v>128</v>
      </c>
      <c r="B4" s="6"/>
      <c r="C4" s="6"/>
      <c r="D4" s="6"/>
      <c r="E4" s="6"/>
    </row>
    <row r="5" customFormat="false" ht="30" hidden="false" customHeight="true" outlineLevel="0" collapsed="false">
      <c r="B5" s="37" t="str">
        <f aca="false">Inputs!B11</f>
        <v>Founder A</v>
      </c>
      <c r="C5" s="37" t="str">
        <f aca="false">Inputs!B12</f>
        <v>Founder B</v>
      </c>
      <c r="D5" s="37" t="str">
        <f aca="false">Inputs!B13</f>
        <v>Founder C</v>
      </c>
      <c r="E5" s="38" t="s">
        <v>43</v>
      </c>
    </row>
    <row r="6" customFormat="false" ht="15" hidden="false" customHeight="false" outlineLevel="0" collapsed="false">
      <c r="A6" s="8" t="s">
        <v>129</v>
      </c>
      <c r="B6" s="39" t="n">
        <f aca="false">IF(Inputs!B45&lt;Inputs!B44,0,MIN(1,Inputs!B45/Inputs!B43))</f>
        <v>0.375</v>
      </c>
      <c r="C6" s="16" t="n">
        <f aca="false">$B$6</f>
        <v>0.375</v>
      </c>
      <c r="D6" s="16" t="n">
        <f aca="false">$B$6</f>
        <v>0.375</v>
      </c>
    </row>
    <row r="7" customFormat="false" ht="15" hidden="false" customHeight="false" outlineLevel="0" collapsed="false">
      <c r="A7" s="8" t="s">
        <v>130</v>
      </c>
      <c r="B7" s="21" t="n">
        <f aca="false">ROUND(Inputs!E11*B6,0)</f>
        <v>37500</v>
      </c>
      <c r="C7" s="21" t="n">
        <f aca="false">ROUND(Inputs!E12*C6,0)</f>
        <v>22500</v>
      </c>
      <c r="D7" s="21" t="n">
        <f aca="false">ROUND(Inputs!E13*D6,0)</f>
        <v>15000</v>
      </c>
      <c r="E7" s="17" t="n">
        <f aca="false">SUM(B7:D7)</f>
        <v>75000</v>
      </c>
    </row>
    <row r="8" customFormat="false" ht="15" hidden="false" customHeight="false" outlineLevel="0" collapsed="false">
      <c r="A8" s="8" t="s">
        <v>131</v>
      </c>
      <c r="B8" s="21" t="n">
        <f aca="false">Inputs!E11-B7</f>
        <v>62500</v>
      </c>
      <c r="C8" s="21" t="n">
        <f aca="false">Inputs!E12-C7</f>
        <v>37500</v>
      </c>
      <c r="D8" s="21" t="n">
        <f aca="false">Inputs!E13-D7</f>
        <v>25000</v>
      </c>
      <c r="E8" s="17" t="n">
        <f aca="false">SUM(B8:D8)</f>
        <v>125000</v>
      </c>
    </row>
    <row r="10" customFormat="false" ht="15" hidden="false" customHeight="false" outlineLevel="0" collapsed="false">
      <c r="A10" s="5" t="s">
        <v>132</v>
      </c>
      <c r="B10" s="6"/>
      <c r="C10" s="6"/>
      <c r="D10" s="6"/>
      <c r="E10" s="6"/>
    </row>
    <row r="11" customFormat="false" ht="30" hidden="false" customHeight="true" outlineLevel="0" collapsed="false">
      <c r="A11" s="11" t="s">
        <v>133</v>
      </c>
      <c r="B11" s="11" t="s">
        <v>134</v>
      </c>
      <c r="C11" s="11" t="str">
        <f aca="false">Inputs!B11</f>
        <v>Founder A</v>
      </c>
      <c r="D11" s="11" t="str">
        <f aca="false">Inputs!B12</f>
        <v>Founder B</v>
      </c>
      <c r="E11" s="11" t="str">
        <f aca="false">Inputs!B13</f>
        <v>Founder C</v>
      </c>
    </row>
    <row r="12" customFormat="false" ht="15" hidden="false" customHeight="false" outlineLevel="0" collapsed="false">
      <c r="A12" s="40" t="n">
        <v>1</v>
      </c>
      <c r="B12" s="41" t="n">
        <f aca="false">IF(A12&lt;Inputs!$B$44,0,MIN(1,A12/Inputs!$B$43))</f>
        <v>0</v>
      </c>
      <c r="C12" s="28" t="n">
        <f aca="false">ROUND(Inputs!$E$11*$B12,0)</f>
        <v>0</v>
      </c>
      <c r="D12" s="28" t="n">
        <f aca="false">ROUND(Inputs!$E$12*$B12,0)</f>
        <v>0</v>
      </c>
      <c r="E12" s="28" t="n">
        <f aca="false">ROUND(Inputs!$E$13*$B12,0)</f>
        <v>0</v>
      </c>
    </row>
    <row r="13" customFormat="false" ht="15" hidden="false" customHeight="false" outlineLevel="0" collapsed="false">
      <c r="A13" s="40" t="n">
        <v>2</v>
      </c>
      <c r="B13" s="41" t="n">
        <f aca="false">IF(A13&lt;Inputs!$B$44,0,MIN(1,A13/Inputs!$B$43))</f>
        <v>0</v>
      </c>
      <c r="C13" s="28" t="n">
        <f aca="false">ROUND(Inputs!$E$11*$B13,0)</f>
        <v>0</v>
      </c>
      <c r="D13" s="28" t="n">
        <f aca="false">ROUND(Inputs!$E$12*$B13,0)</f>
        <v>0</v>
      </c>
      <c r="E13" s="28" t="n">
        <f aca="false">ROUND(Inputs!$E$13*$B13,0)</f>
        <v>0</v>
      </c>
    </row>
    <row r="14" customFormat="false" ht="15" hidden="false" customHeight="false" outlineLevel="0" collapsed="false">
      <c r="A14" s="40" t="n">
        <v>3</v>
      </c>
      <c r="B14" s="41" t="n">
        <f aca="false">IF(A14&lt;Inputs!$B$44,0,MIN(1,A14/Inputs!$B$43))</f>
        <v>0</v>
      </c>
      <c r="C14" s="28" t="n">
        <f aca="false">ROUND(Inputs!$E$11*$B14,0)</f>
        <v>0</v>
      </c>
      <c r="D14" s="28" t="n">
        <f aca="false">ROUND(Inputs!$E$12*$B14,0)</f>
        <v>0</v>
      </c>
      <c r="E14" s="28" t="n">
        <f aca="false">ROUND(Inputs!$E$13*$B14,0)</f>
        <v>0</v>
      </c>
    </row>
    <row r="15" customFormat="false" ht="15" hidden="false" customHeight="false" outlineLevel="0" collapsed="false">
      <c r="A15" s="40" t="n">
        <v>4</v>
      </c>
      <c r="B15" s="41" t="n">
        <f aca="false">IF(A15&lt;Inputs!$B$44,0,MIN(1,A15/Inputs!$B$43))</f>
        <v>0</v>
      </c>
      <c r="C15" s="28" t="n">
        <f aca="false">ROUND(Inputs!$E$11*$B15,0)</f>
        <v>0</v>
      </c>
      <c r="D15" s="28" t="n">
        <f aca="false">ROUND(Inputs!$E$12*$B15,0)</f>
        <v>0</v>
      </c>
      <c r="E15" s="28" t="n">
        <f aca="false">ROUND(Inputs!$E$13*$B15,0)</f>
        <v>0</v>
      </c>
    </row>
    <row r="16" customFormat="false" ht="15" hidden="false" customHeight="false" outlineLevel="0" collapsed="false">
      <c r="A16" s="40" t="n">
        <v>5</v>
      </c>
      <c r="B16" s="41" t="n">
        <f aca="false">IF(A16&lt;Inputs!$B$44,0,MIN(1,A16/Inputs!$B$43))</f>
        <v>0</v>
      </c>
      <c r="C16" s="28" t="n">
        <f aca="false">ROUND(Inputs!$E$11*$B16,0)</f>
        <v>0</v>
      </c>
      <c r="D16" s="28" t="n">
        <f aca="false">ROUND(Inputs!$E$12*$B16,0)</f>
        <v>0</v>
      </c>
      <c r="E16" s="28" t="n">
        <f aca="false">ROUND(Inputs!$E$13*$B16,0)</f>
        <v>0</v>
      </c>
    </row>
    <row r="17" customFormat="false" ht="15" hidden="false" customHeight="false" outlineLevel="0" collapsed="false">
      <c r="A17" s="40" t="n">
        <v>6</v>
      </c>
      <c r="B17" s="41" t="n">
        <f aca="false">IF(A17&lt;Inputs!$B$44,0,MIN(1,A17/Inputs!$B$43))</f>
        <v>0</v>
      </c>
      <c r="C17" s="28" t="n">
        <f aca="false">ROUND(Inputs!$E$11*$B17,0)</f>
        <v>0</v>
      </c>
      <c r="D17" s="28" t="n">
        <f aca="false">ROUND(Inputs!$E$12*$B17,0)</f>
        <v>0</v>
      </c>
      <c r="E17" s="28" t="n">
        <f aca="false">ROUND(Inputs!$E$13*$B17,0)</f>
        <v>0</v>
      </c>
    </row>
    <row r="18" customFormat="false" ht="15" hidden="false" customHeight="false" outlineLevel="0" collapsed="false">
      <c r="A18" s="40" t="n">
        <v>7</v>
      </c>
      <c r="B18" s="41" t="n">
        <f aca="false">IF(A18&lt;Inputs!$B$44,0,MIN(1,A18/Inputs!$B$43))</f>
        <v>0</v>
      </c>
      <c r="C18" s="28" t="n">
        <f aca="false">ROUND(Inputs!$E$11*$B18,0)</f>
        <v>0</v>
      </c>
      <c r="D18" s="28" t="n">
        <f aca="false">ROUND(Inputs!$E$12*$B18,0)</f>
        <v>0</v>
      </c>
      <c r="E18" s="28" t="n">
        <f aca="false">ROUND(Inputs!$E$13*$B18,0)</f>
        <v>0</v>
      </c>
    </row>
    <row r="19" customFormat="false" ht="15" hidden="false" customHeight="false" outlineLevel="0" collapsed="false">
      <c r="A19" s="40" t="n">
        <v>8</v>
      </c>
      <c r="B19" s="41" t="n">
        <f aca="false">IF(A19&lt;Inputs!$B$44,0,MIN(1,A19/Inputs!$B$43))</f>
        <v>0</v>
      </c>
      <c r="C19" s="28" t="n">
        <f aca="false">ROUND(Inputs!$E$11*$B19,0)</f>
        <v>0</v>
      </c>
      <c r="D19" s="28" t="n">
        <f aca="false">ROUND(Inputs!$E$12*$B19,0)</f>
        <v>0</v>
      </c>
      <c r="E19" s="28" t="n">
        <f aca="false">ROUND(Inputs!$E$13*$B19,0)</f>
        <v>0</v>
      </c>
    </row>
    <row r="20" customFormat="false" ht="15" hidden="false" customHeight="false" outlineLevel="0" collapsed="false">
      <c r="A20" s="40" t="n">
        <v>9</v>
      </c>
      <c r="B20" s="41" t="n">
        <f aca="false">IF(A20&lt;Inputs!$B$44,0,MIN(1,A20/Inputs!$B$43))</f>
        <v>0</v>
      </c>
      <c r="C20" s="28" t="n">
        <f aca="false">ROUND(Inputs!$E$11*$B20,0)</f>
        <v>0</v>
      </c>
      <c r="D20" s="28" t="n">
        <f aca="false">ROUND(Inputs!$E$12*$B20,0)</f>
        <v>0</v>
      </c>
      <c r="E20" s="28" t="n">
        <f aca="false">ROUND(Inputs!$E$13*$B20,0)</f>
        <v>0</v>
      </c>
    </row>
    <row r="21" customFormat="false" ht="15" hidden="false" customHeight="false" outlineLevel="0" collapsed="false">
      <c r="A21" s="40" t="n">
        <v>10</v>
      </c>
      <c r="B21" s="41" t="n">
        <f aca="false">IF(A21&lt;Inputs!$B$44,0,MIN(1,A21/Inputs!$B$43))</f>
        <v>0</v>
      </c>
      <c r="C21" s="28" t="n">
        <f aca="false">ROUND(Inputs!$E$11*$B21,0)</f>
        <v>0</v>
      </c>
      <c r="D21" s="28" t="n">
        <f aca="false">ROUND(Inputs!$E$12*$B21,0)</f>
        <v>0</v>
      </c>
      <c r="E21" s="28" t="n">
        <f aca="false">ROUND(Inputs!$E$13*$B21,0)</f>
        <v>0</v>
      </c>
    </row>
    <row r="22" customFormat="false" ht="15" hidden="false" customHeight="false" outlineLevel="0" collapsed="false">
      <c r="A22" s="40" t="n">
        <v>11</v>
      </c>
      <c r="B22" s="41" t="n">
        <f aca="false">IF(A22&lt;Inputs!$B$44,0,MIN(1,A22/Inputs!$B$43))</f>
        <v>0</v>
      </c>
      <c r="C22" s="28" t="n">
        <f aca="false">ROUND(Inputs!$E$11*$B22,0)</f>
        <v>0</v>
      </c>
      <c r="D22" s="28" t="n">
        <f aca="false">ROUND(Inputs!$E$12*$B22,0)</f>
        <v>0</v>
      </c>
      <c r="E22" s="28" t="n">
        <f aca="false">ROUND(Inputs!$E$13*$B22,0)</f>
        <v>0</v>
      </c>
    </row>
    <row r="23" customFormat="false" ht="15" hidden="false" customHeight="false" outlineLevel="0" collapsed="false">
      <c r="A23" s="40" t="n">
        <v>12</v>
      </c>
      <c r="B23" s="41" t="n">
        <f aca="false">IF(A23&lt;Inputs!$B$44,0,MIN(1,A23/Inputs!$B$43))</f>
        <v>0.25</v>
      </c>
      <c r="C23" s="28" t="n">
        <f aca="false">ROUND(Inputs!$E$11*$B23,0)</f>
        <v>25000</v>
      </c>
      <c r="D23" s="28" t="n">
        <f aca="false">ROUND(Inputs!$E$12*$B23,0)</f>
        <v>15000</v>
      </c>
      <c r="E23" s="28" t="n">
        <f aca="false">ROUND(Inputs!$E$13*$B23,0)</f>
        <v>10000</v>
      </c>
    </row>
    <row r="24" customFormat="false" ht="15" hidden="false" customHeight="false" outlineLevel="0" collapsed="false">
      <c r="A24" s="40" t="n">
        <v>13</v>
      </c>
      <c r="B24" s="41" t="n">
        <f aca="false">IF(A24&lt;Inputs!$B$44,0,MIN(1,A24/Inputs!$B$43))</f>
        <v>0.270833333333333</v>
      </c>
      <c r="C24" s="28" t="n">
        <f aca="false">ROUND(Inputs!$E$11*$B24,0)</f>
        <v>27083</v>
      </c>
      <c r="D24" s="28" t="n">
        <f aca="false">ROUND(Inputs!$E$12*$B24,0)</f>
        <v>16250</v>
      </c>
      <c r="E24" s="28" t="n">
        <f aca="false">ROUND(Inputs!$E$13*$B24,0)</f>
        <v>10833</v>
      </c>
    </row>
    <row r="25" customFormat="false" ht="15" hidden="false" customHeight="false" outlineLevel="0" collapsed="false">
      <c r="A25" s="40" t="n">
        <v>14</v>
      </c>
      <c r="B25" s="41" t="n">
        <f aca="false">IF(A25&lt;Inputs!$B$44,0,MIN(1,A25/Inputs!$B$43))</f>
        <v>0.291666666666667</v>
      </c>
      <c r="C25" s="28" t="n">
        <f aca="false">ROUND(Inputs!$E$11*$B25,0)</f>
        <v>29167</v>
      </c>
      <c r="D25" s="28" t="n">
        <f aca="false">ROUND(Inputs!$E$12*$B25,0)</f>
        <v>17500</v>
      </c>
      <c r="E25" s="28" t="n">
        <f aca="false">ROUND(Inputs!$E$13*$B25,0)</f>
        <v>11667</v>
      </c>
    </row>
    <row r="26" customFormat="false" ht="15" hidden="false" customHeight="false" outlineLevel="0" collapsed="false">
      <c r="A26" s="40" t="n">
        <v>15</v>
      </c>
      <c r="B26" s="41" t="n">
        <f aca="false">IF(A26&lt;Inputs!$B$44,0,MIN(1,A26/Inputs!$B$43))</f>
        <v>0.3125</v>
      </c>
      <c r="C26" s="28" t="n">
        <f aca="false">ROUND(Inputs!$E$11*$B26,0)</f>
        <v>31250</v>
      </c>
      <c r="D26" s="28" t="n">
        <f aca="false">ROUND(Inputs!$E$12*$B26,0)</f>
        <v>18750</v>
      </c>
      <c r="E26" s="28" t="n">
        <f aca="false">ROUND(Inputs!$E$13*$B26,0)</f>
        <v>12500</v>
      </c>
    </row>
    <row r="27" customFormat="false" ht="15" hidden="false" customHeight="false" outlineLevel="0" collapsed="false">
      <c r="A27" s="40" t="n">
        <v>16</v>
      </c>
      <c r="B27" s="41" t="n">
        <f aca="false">IF(A27&lt;Inputs!$B$44,0,MIN(1,A27/Inputs!$B$43))</f>
        <v>0.333333333333333</v>
      </c>
      <c r="C27" s="28" t="n">
        <f aca="false">ROUND(Inputs!$E$11*$B27,0)</f>
        <v>33333</v>
      </c>
      <c r="D27" s="28" t="n">
        <f aca="false">ROUND(Inputs!$E$12*$B27,0)</f>
        <v>20000</v>
      </c>
      <c r="E27" s="28" t="n">
        <f aca="false">ROUND(Inputs!$E$13*$B27,0)</f>
        <v>13333</v>
      </c>
    </row>
    <row r="28" customFormat="false" ht="15" hidden="false" customHeight="false" outlineLevel="0" collapsed="false">
      <c r="A28" s="40" t="n">
        <v>17</v>
      </c>
      <c r="B28" s="41" t="n">
        <f aca="false">IF(A28&lt;Inputs!$B$44,0,MIN(1,A28/Inputs!$B$43))</f>
        <v>0.354166666666667</v>
      </c>
      <c r="C28" s="28" t="n">
        <f aca="false">ROUND(Inputs!$E$11*$B28,0)</f>
        <v>35417</v>
      </c>
      <c r="D28" s="28" t="n">
        <f aca="false">ROUND(Inputs!$E$12*$B28,0)</f>
        <v>21250</v>
      </c>
      <c r="E28" s="28" t="n">
        <f aca="false">ROUND(Inputs!$E$13*$B28,0)</f>
        <v>14167</v>
      </c>
    </row>
    <row r="29" customFormat="false" ht="15" hidden="false" customHeight="false" outlineLevel="0" collapsed="false">
      <c r="A29" s="40" t="n">
        <v>18</v>
      </c>
      <c r="B29" s="41" t="n">
        <f aca="false">IF(A29&lt;Inputs!$B$44,0,MIN(1,A29/Inputs!$B$43))</f>
        <v>0.375</v>
      </c>
      <c r="C29" s="28" t="n">
        <f aca="false">ROUND(Inputs!$E$11*$B29,0)</f>
        <v>37500</v>
      </c>
      <c r="D29" s="28" t="n">
        <f aca="false">ROUND(Inputs!$E$12*$B29,0)</f>
        <v>22500</v>
      </c>
      <c r="E29" s="28" t="n">
        <f aca="false">ROUND(Inputs!$E$13*$B29,0)</f>
        <v>15000</v>
      </c>
    </row>
    <row r="30" customFormat="false" ht="15" hidden="false" customHeight="false" outlineLevel="0" collapsed="false">
      <c r="A30" s="40" t="n">
        <v>19</v>
      </c>
      <c r="B30" s="41" t="n">
        <f aca="false">IF(A30&lt;Inputs!$B$44,0,MIN(1,A30/Inputs!$B$43))</f>
        <v>0.395833333333333</v>
      </c>
      <c r="C30" s="28" t="n">
        <f aca="false">ROUND(Inputs!$E$11*$B30,0)</f>
        <v>39583</v>
      </c>
      <c r="D30" s="28" t="n">
        <f aca="false">ROUND(Inputs!$E$12*$B30,0)</f>
        <v>23750</v>
      </c>
      <c r="E30" s="28" t="n">
        <f aca="false">ROUND(Inputs!$E$13*$B30,0)</f>
        <v>15833</v>
      </c>
    </row>
    <row r="31" customFormat="false" ht="15" hidden="false" customHeight="false" outlineLevel="0" collapsed="false">
      <c r="A31" s="40" t="n">
        <v>20</v>
      </c>
      <c r="B31" s="41" t="n">
        <f aca="false">IF(A31&lt;Inputs!$B$44,0,MIN(1,A31/Inputs!$B$43))</f>
        <v>0.416666666666667</v>
      </c>
      <c r="C31" s="28" t="n">
        <f aca="false">ROUND(Inputs!$E$11*$B31,0)</f>
        <v>41667</v>
      </c>
      <c r="D31" s="28" t="n">
        <f aca="false">ROUND(Inputs!$E$12*$B31,0)</f>
        <v>25000</v>
      </c>
      <c r="E31" s="28" t="n">
        <f aca="false">ROUND(Inputs!$E$13*$B31,0)</f>
        <v>16667</v>
      </c>
    </row>
    <row r="32" customFormat="false" ht="15" hidden="false" customHeight="false" outlineLevel="0" collapsed="false">
      <c r="A32" s="40" t="n">
        <v>21</v>
      </c>
      <c r="B32" s="41" t="n">
        <f aca="false">IF(A32&lt;Inputs!$B$44,0,MIN(1,A32/Inputs!$B$43))</f>
        <v>0.4375</v>
      </c>
      <c r="C32" s="28" t="n">
        <f aca="false">ROUND(Inputs!$E$11*$B32,0)</f>
        <v>43750</v>
      </c>
      <c r="D32" s="28" t="n">
        <f aca="false">ROUND(Inputs!$E$12*$B32,0)</f>
        <v>26250</v>
      </c>
      <c r="E32" s="28" t="n">
        <f aca="false">ROUND(Inputs!$E$13*$B32,0)</f>
        <v>17500</v>
      </c>
    </row>
    <row r="33" customFormat="false" ht="15" hidden="false" customHeight="false" outlineLevel="0" collapsed="false">
      <c r="A33" s="40" t="n">
        <v>22</v>
      </c>
      <c r="B33" s="41" t="n">
        <f aca="false">IF(A33&lt;Inputs!$B$44,0,MIN(1,A33/Inputs!$B$43))</f>
        <v>0.458333333333333</v>
      </c>
      <c r="C33" s="28" t="n">
        <f aca="false">ROUND(Inputs!$E$11*$B33,0)</f>
        <v>45833</v>
      </c>
      <c r="D33" s="28" t="n">
        <f aca="false">ROUND(Inputs!$E$12*$B33,0)</f>
        <v>27500</v>
      </c>
      <c r="E33" s="28" t="n">
        <f aca="false">ROUND(Inputs!$E$13*$B33,0)</f>
        <v>18333</v>
      </c>
    </row>
    <row r="34" customFormat="false" ht="15" hidden="false" customHeight="false" outlineLevel="0" collapsed="false">
      <c r="A34" s="40" t="n">
        <v>23</v>
      </c>
      <c r="B34" s="41" t="n">
        <f aca="false">IF(A34&lt;Inputs!$B$44,0,MIN(1,A34/Inputs!$B$43))</f>
        <v>0.479166666666667</v>
      </c>
      <c r="C34" s="28" t="n">
        <f aca="false">ROUND(Inputs!$E$11*$B34,0)</f>
        <v>47917</v>
      </c>
      <c r="D34" s="28" t="n">
        <f aca="false">ROUND(Inputs!$E$12*$B34,0)</f>
        <v>28750</v>
      </c>
      <c r="E34" s="28" t="n">
        <f aca="false">ROUND(Inputs!$E$13*$B34,0)</f>
        <v>19167</v>
      </c>
    </row>
    <row r="35" customFormat="false" ht="15" hidden="false" customHeight="false" outlineLevel="0" collapsed="false">
      <c r="A35" s="40" t="n">
        <v>24</v>
      </c>
      <c r="B35" s="41" t="n">
        <f aca="false">IF(A35&lt;Inputs!$B$44,0,MIN(1,A35/Inputs!$B$43))</f>
        <v>0.5</v>
      </c>
      <c r="C35" s="28" t="n">
        <f aca="false">ROUND(Inputs!$E$11*$B35,0)</f>
        <v>50000</v>
      </c>
      <c r="D35" s="28" t="n">
        <f aca="false">ROUND(Inputs!$E$12*$B35,0)</f>
        <v>30000</v>
      </c>
      <c r="E35" s="28" t="n">
        <f aca="false">ROUND(Inputs!$E$13*$B35,0)</f>
        <v>20000</v>
      </c>
    </row>
    <row r="36" customFormat="false" ht="15" hidden="false" customHeight="false" outlineLevel="0" collapsed="false">
      <c r="A36" s="40" t="n">
        <v>25</v>
      </c>
      <c r="B36" s="41" t="n">
        <f aca="false">IF(A36&lt;Inputs!$B$44,0,MIN(1,A36/Inputs!$B$43))</f>
        <v>0.520833333333333</v>
      </c>
      <c r="C36" s="28" t="n">
        <f aca="false">ROUND(Inputs!$E$11*$B36,0)</f>
        <v>52083</v>
      </c>
      <c r="D36" s="28" t="n">
        <f aca="false">ROUND(Inputs!$E$12*$B36,0)</f>
        <v>31250</v>
      </c>
      <c r="E36" s="28" t="n">
        <f aca="false">ROUND(Inputs!$E$13*$B36,0)</f>
        <v>20833</v>
      </c>
    </row>
    <row r="37" customFormat="false" ht="15" hidden="false" customHeight="false" outlineLevel="0" collapsed="false">
      <c r="A37" s="40" t="n">
        <v>26</v>
      </c>
      <c r="B37" s="41" t="n">
        <f aca="false">IF(A37&lt;Inputs!$B$44,0,MIN(1,A37/Inputs!$B$43))</f>
        <v>0.541666666666667</v>
      </c>
      <c r="C37" s="28" t="n">
        <f aca="false">ROUND(Inputs!$E$11*$B37,0)</f>
        <v>54167</v>
      </c>
      <c r="D37" s="28" t="n">
        <f aca="false">ROUND(Inputs!$E$12*$B37,0)</f>
        <v>32500</v>
      </c>
      <c r="E37" s="28" t="n">
        <f aca="false">ROUND(Inputs!$E$13*$B37,0)</f>
        <v>21667</v>
      </c>
    </row>
    <row r="38" customFormat="false" ht="15" hidden="false" customHeight="false" outlineLevel="0" collapsed="false">
      <c r="A38" s="40" t="n">
        <v>27</v>
      </c>
      <c r="B38" s="41" t="n">
        <f aca="false">IF(A38&lt;Inputs!$B$44,0,MIN(1,A38/Inputs!$B$43))</f>
        <v>0.5625</v>
      </c>
      <c r="C38" s="28" t="n">
        <f aca="false">ROUND(Inputs!$E$11*$B38,0)</f>
        <v>56250</v>
      </c>
      <c r="D38" s="28" t="n">
        <f aca="false">ROUND(Inputs!$E$12*$B38,0)</f>
        <v>33750</v>
      </c>
      <c r="E38" s="28" t="n">
        <f aca="false">ROUND(Inputs!$E$13*$B38,0)</f>
        <v>22500</v>
      </c>
    </row>
    <row r="39" customFormat="false" ht="15" hidden="false" customHeight="false" outlineLevel="0" collapsed="false">
      <c r="A39" s="40" t="n">
        <v>28</v>
      </c>
      <c r="B39" s="41" t="n">
        <f aca="false">IF(A39&lt;Inputs!$B$44,0,MIN(1,A39/Inputs!$B$43))</f>
        <v>0.583333333333333</v>
      </c>
      <c r="C39" s="28" t="n">
        <f aca="false">ROUND(Inputs!$E$11*$B39,0)</f>
        <v>58333</v>
      </c>
      <c r="D39" s="28" t="n">
        <f aca="false">ROUND(Inputs!$E$12*$B39,0)</f>
        <v>35000</v>
      </c>
      <c r="E39" s="28" t="n">
        <f aca="false">ROUND(Inputs!$E$13*$B39,0)</f>
        <v>23333</v>
      </c>
    </row>
    <row r="40" customFormat="false" ht="15" hidden="false" customHeight="false" outlineLevel="0" collapsed="false">
      <c r="A40" s="40" t="n">
        <v>29</v>
      </c>
      <c r="B40" s="41" t="n">
        <f aca="false">IF(A40&lt;Inputs!$B$44,0,MIN(1,A40/Inputs!$B$43))</f>
        <v>0.604166666666667</v>
      </c>
      <c r="C40" s="28" t="n">
        <f aca="false">ROUND(Inputs!$E$11*$B40,0)</f>
        <v>60417</v>
      </c>
      <c r="D40" s="28" t="n">
        <f aca="false">ROUND(Inputs!$E$12*$B40,0)</f>
        <v>36250</v>
      </c>
      <c r="E40" s="28" t="n">
        <f aca="false">ROUND(Inputs!$E$13*$B40,0)</f>
        <v>24167</v>
      </c>
    </row>
    <row r="41" customFormat="false" ht="15" hidden="false" customHeight="false" outlineLevel="0" collapsed="false">
      <c r="A41" s="40" t="n">
        <v>30</v>
      </c>
      <c r="B41" s="41" t="n">
        <f aca="false">IF(A41&lt;Inputs!$B$44,0,MIN(1,A41/Inputs!$B$43))</f>
        <v>0.625</v>
      </c>
      <c r="C41" s="28" t="n">
        <f aca="false">ROUND(Inputs!$E$11*$B41,0)</f>
        <v>62500</v>
      </c>
      <c r="D41" s="28" t="n">
        <f aca="false">ROUND(Inputs!$E$12*$B41,0)</f>
        <v>37500</v>
      </c>
      <c r="E41" s="28" t="n">
        <f aca="false">ROUND(Inputs!$E$13*$B41,0)</f>
        <v>25000</v>
      </c>
    </row>
    <row r="42" customFormat="false" ht="15" hidden="false" customHeight="false" outlineLevel="0" collapsed="false">
      <c r="A42" s="40" t="n">
        <v>31</v>
      </c>
      <c r="B42" s="41" t="n">
        <f aca="false">IF(A42&lt;Inputs!$B$44,0,MIN(1,A42/Inputs!$B$43))</f>
        <v>0.645833333333333</v>
      </c>
      <c r="C42" s="28" t="n">
        <f aca="false">ROUND(Inputs!$E$11*$B42,0)</f>
        <v>64583</v>
      </c>
      <c r="D42" s="28" t="n">
        <f aca="false">ROUND(Inputs!$E$12*$B42,0)</f>
        <v>38750</v>
      </c>
      <c r="E42" s="28" t="n">
        <f aca="false">ROUND(Inputs!$E$13*$B42,0)</f>
        <v>25833</v>
      </c>
    </row>
    <row r="43" customFormat="false" ht="15" hidden="false" customHeight="false" outlineLevel="0" collapsed="false">
      <c r="A43" s="40" t="n">
        <v>32</v>
      </c>
      <c r="B43" s="41" t="n">
        <f aca="false">IF(A43&lt;Inputs!$B$44,0,MIN(1,A43/Inputs!$B$43))</f>
        <v>0.666666666666667</v>
      </c>
      <c r="C43" s="28" t="n">
        <f aca="false">ROUND(Inputs!$E$11*$B43,0)</f>
        <v>66667</v>
      </c>
      <c r="D43" s="28" t="n">
        <f aca="false">ROUND(Inputs!$E$12*$B43,0)</f>
        <v>40000</v>
      </c>
      <c r="E43" s="28" t="n">
        <f aca="false">ROUND(Inputs!$E$13*$B43,0)</f>
        <v>26667</v>
      </c>
    </row>
    <row r="44" customFormat="false" ht="15" hidden="false" customHeight="false" outlineLevel="0" collapsed="false">
      <c r="A44" s="40" t="n">
        <v>33</v>
      </c>
      <c r="B44" s="41" t="n">
        <f aca="false">IF(A44&lt;Inputs!$B$44,0,MIN(1,A44/Inputs!$B$43))</f>
        <v>0.6875</v>
      </c>
      <c r="C44" s="28" t="n">
        <f aca="false">ROUND(Inputs!$E$11*$B44,0)</f>
        <v>68750</v>
      </c>
      <c r="D44" s="28" t="n">
        <f aca="false">ROUND(Inputs!$E$12*$B44,0)</f>
        <v>41250</v>
      </c>
      <c r="E44" s="28" t="n">
        <f aca="false">ROUND(Inputs!$E$13*$B44,0)</f>
        <v>27500</v>
      </c>
    </row>
    <row r="45" customFormat="false" ht="15" hidden="false" customHeight="false" outlineLevel="0" collapsed="false">
      <c r="A45" s="40" t="n">
        <v>34</v>
      </c>
      <c r="B45" s="41" t="n">
        <f aca="false">IF(A45&lt;Inputs!$B$44,0,MIN(1,A45/Inputs!$B$43))</f>
        <v>0.708333333333333</v>
      </c>
      <c r="C45" s="28" t="n">
        <f aca="false">ROUND(Inputs!$E$11*$B45,0)</f>
        <v>70833</v>
      </c>
      <c r="D45" s="28" t="n">
        <f aca="false">ROUND(Inputs!$E$12*$B45,0)</f>
        <v>42500</v>
      </c>
      <c r="E45" s="28" t="n">
        <f aca="false">ROUND(Inputs!$E$13*$B45,0)</f>
        <v>28333</v>
      </c>
    </row>
    <row r="46" customFormat="false" ht="15" hidden="false" customHeight="false" outlineLevel="0" collapsed="false">
      <c r="A46" s="40" t="n">
        <v>35</v>
      </c>
      <c r="B46" s="41" t="n">
        <f aca="false">IF(A46&lt;Inputs!$B$44,0,MIN(1,A46/Inputs!$B$43))</f>
        <v>0.729166666666667</v>
      </c>
      <c r="C46" s="28" t="n">
        <f aca="false">ROUND(Inputs!$E$11*$B46,0)</f>
        <v>72917</v>
      </c>
      <c r="D46" s="28" t="n">
        <f aca="false">ROUND(Inputs!$E$12*$B46,0)</f>
        <v>43750</v>
      </c>
      <c r="E46" s="28" t="n">
        <f aca="false">ROUND(Inputs!$E$13*$B46,0)</f>
        <v>29167</v>
      </c>
    </row>
    <row r="47" customFormat="false" ht="15" hidden="false" customHeight="false" outlineLevel="0" collapsed="false">
      <c r="A47" s="40" t="n">
        <v>36</v>
      </c>
      <c r="B47" s="41" t="n">
        <f aca="false">IF(A47&lt;Inputs!$B$44,0,MIN(1,A47/Inputs!$B$43))</f>
        <v>0.75</v>
      </c>
      <c r="C47" s="28" t="n">
        <f aca="false">ROUND(Inputs!$E$11*$B47,0)</f>
        <v>75000</v>
      </c>
      <c r="D47" s="28" t="n">
        <f aca="false">ROUND(Inputs!$E$12*$B47,0)</f>
        <v>45000</v>
      </c>
      <c r="E47" s="28" t="n">
        <f aca="false">ROUND(Inputs!$E$13*$B47,0)</f>
        <v>30000</v>
      </c>
    </row>
    <row r="48" customFormat="false" ht="15" hidden="false" customHeight="false" outlineLevel="0" collapsed="false">
      <c r="A48" s="40" t="n">
        <v>37</v>
      </c>
      <c r="B48" s="41" t="n">
        <f aca="false">IF(A48&lt;Inputs!$B$44,0,MIN(1,A48/Inputs!$B$43))</f>
        <v>0.770833333333333</v>
      </c>
      <c r="C48" s="28" t="n">
        <f aca="false">ROUND(Inputs!$E$11*$B48,0)</f>
        <v>77083</v>
      </c>
      <c r="D48" s="28" t="n">
        <f aca="false">ROUND(Inputs!$E$12*$B48,0)</f>
        <v>46250</v>
      </c>
      <c r="E48" s="28" t="n">
        <f aca="false">ROUND(Inputs!$E$13*$B48,0)</f>
        <v>30833</v>
      </c>
    </row>
    <row r="49" customFormat="false" ht="15" hidden="false" customHeight="false" outlineLevel="0" collapsed="false">
      <c r="A49" s="40" t="n">
        <v>38</v>
      </c>
      <c r="B49" s="41" t="n">
        <f aca="false">IF(A49&lt;Inputs!$B$44,0,MIN(1,A49/Inputs!$B$43))</f>
        <v>0.791666666666667</v>
      </c>
      <c r="C49" s="28" t="n">
        <f aca="false">ROUND(Inputs!$E$11*$B49,0)</f>
        <v>79167</v>
      </c>
      <c r="D49" s="28" t="n">
        <f aca="false">ROUND(Inputs!$E$12*$B49,0)</f>
        <v>47500</v>
      </c>
      <c r="E49" s="28" t="n">
        <f aca="false">ROUND(Inputs!$E$13*$B49,0)</f>
        <v>31667</v>
      </c>
    </row>
    <row r="50" customFormat="false" ht="15" hidden="false" customHeight="false" outlineLevel="0" collapsed="false">
      <c r="A50" s="40" t="n">
        <v>39</v>
      </c>
      <c r="B50" s="41" t="n">
        <f aca="false">IF(A50&lt;Inputs!$B$44,0,MIN(1,A50/Inputs!$B$43))</f>
        <v>0.8125</v>
      </c>
      <c r="C50" s="28" t="n">
        <f aca="false">ROUND(Inputs!$E$11*$B50,0)</f>
        <v>81250</v>
      </c>
      <c r="D50" s="28" t="n">
        <f aca="false">ROUND(Inputs!$E$12*$B50,0)</f>
        <v>48750</v>
      </c>
      <c r="E50" s="28" t="n">
        <f aca="false">ROUND(Inputs!$E$13*$B50,0)</f>
        <v>32500</v>
      </c>
    </row>
    <row r="51" customFormat="false" ht="15" hidden="false" customHeight="false" outlineLevel="0" collapsed="false">
      <c r="A51" s="40" t="n">
        <v>40</v>
      </c>
      <c r="B51" s="41" t="n">
        <f aca="false">IF(A51&lt;Inputs!$B$44,0,MIN(1,A51/Inputs!$B$43))</f>
        <v>0.833333333333333</v>
      </c>
      <c r="C51" s="28" t="n">
        <f aca="false">ROUND(Inputs!$E$11*$B51,0)</f>
        <v>83333</v>
      </c>
      <c r="D51" s="28" t="n">
        <f aca="false">ROUND(Inputs!$E$12*$B51,0)</f>
        <v>50000</v>
      </c>
      <c r="E51" s="28" t="n">
        <f aca="false">ROUND(Inputs!$E$13*$B51,0)</f>
        <v>33333</v>
      </c>
    </row>
    <row r="52" customFormat="false" ht="15" hidden="false" customHeight="false" outlineLevel="0" collapsed="false">
      <c r="A52" s="40" t="n">
        <v>41</v>
      </c>
      <c r="B52" s="41" t="n">
        <f aca="false">IF(A52&lt;Inputs!$B$44,0,MIN(1,A52/Inputs!$B$43))</f>
        <v>0.854166666666667</v>
      </c>
      <c r="C52" s="28" t="n">
        <f aca="false">ROUND(Inputs!$E$11*$B52,0)</f>
        <v>85417</v>
      </c>
      <c r="D52" s="28" t="n">
        <f aca="false">ROUND(Inputs!$E$12*$B52,0)</f>
        <v>51250</v>
      </c>
      <c r="E52" s="28" t="n">
        <f aca="false">ROUND(Inputs!$E$13*$B52,0)</f>
        <v>34167</v>
      </c>
    </row>
    <row r="53" customFormat="false" ht="15" hidden="false" customHeight="false" outlineLevel="0" collapsed="false">
      <c r="A53" s="40" t="n">
        <v>42</v>
      </c>
      <c r="B53" s="41" t="n">
        <f aca="false">IF(A53&lt;Inputs!$B$44,0,MIN(1,A53/Inputs!$B$43))</f>
        <v>0.875</v>
      </c>
      <c r="C53" s="28" t="n">
        <f aca="false">ROUND(Inputs!$E$11*$B53,0)</f>
        <v>87500</v>
      </c>
      <c r="D53" s="28" t="n">
        <f aca="false">ROUND(Inputs!$E$12*$B53,0)</f>
        <v>52500</v>
      </c>
      <c r="E53" s="28" t="n">
        <f aca="false">ROUND(Inputs!$E$13*$B53,0)</f>
        <v>35000</v>
      </c>
    </row>
    <row r="54" customFormat="false" ht="15" hidden="false" customHeight="false" outlineLevel="0" collapsed="false">
      <c r="A54" s="40" t="n">
        <v>43</v>
      </c>
      <c r="B54" s="41" t="n">
        <f aca="false">IF(A54&lt;Inputs!$B$44,0,MIN(1,A54/Inputs!$B$43))</f>
        <v>0.895833333333333</v>
      </c>
      <c r="C54" s="28" t="n">
        <f aca="false">ROUND(Inputs!$E$11*$B54,0)</f>
        <v>89583</v>
      </c>
      <c r="D54" s="28" t="n">
        <f aca="false">ROUND(Inputs!$E$12*$B54,0)</f>
        <v>53750</v>
      </c>
      <c r="E54" s="28" t="n">
        <f aca="false">ROUND(Inputs!$E$13*$B54,0)</f>
        <v>35833</v>
      </c>
    </row>
    <row r="55" customFormat="false" ht="15" hidden="false" customHeight="false" outlineLevel="0" collapsed="false">
      <c r="A55" s="40" t="n">
        <v>44</v>
      </c>
      <c r="B55" s="41" t="n">
        <f aca="false">IF(A55&lt;Inputs!$B$44,0,MIN(1,A55/Inputs!$B$43))</f>
        <v>0.916666666666667</v>
      </c>
      <c r="C55" s="28" t="n">
        <f aca="false">ROUND(Inputs!$E$11*$B55,0)</f>
        <v>91667</v>
      </c>
      <c r="D55" s="28" t="n">
        <f aca="false">ROUND(Inputs!$E$12*$B55,0)</f>
        <v>55000</v>
      </c>
      <c r="E55" s="28" t="n">
        <f aca="false">ROUND(Inputs!$E$13*$B55,0)</f>
        <v>36667</v>
      </c>
    </row>
    <row r="56" customFormat="false" ht="15" hidden="false" customHeight="false" outlineLevel="0" collapsed="false">
      <c r="A56" s="40" t="n">
        <v>45</v>
      </c>
      <c r="B56" s="41" t="n">
        <f aca="false">IF(A56&lt;Inputs!$B$44,0,MIN(1,A56/Inputs!$B$43))</f>
        <v>0.9375</v>
      </c>
      <c r="C56" s="28" t="n">
        <f aca="false">ROUND(Inputs!$E$11*$B56,0)</f>
        <v>93750</v>
      </c>
      <c r="D56" s="28" t="n">
        <f aca="false">ROUND(Inputs!$E$12*$B56,0)</f>
        <v>56250</v>
      </c>
      <c r="E56" s="28" t="n">
        <f aca="false">ROUND(Inputs!$E$13*$B56,0)</f>
        <v>37500</v>
      </c>
    </row>
    <row r="57" customFormat="false" ht="15" hidden="false" customHeight="false" outlineLevel="0" collapsed="false">
      <c r="A57" s="40" t="n">
        <v>46</v>
      </c>
      <c r="B57" s="41" t="n">
        <f aca="false">IF(A57&lt;Inputs!$B$44,0,MIN(1,A57/Inputs!$B$43))</f>
        <v>0.958333333333333</v>
      </c>
      <c r="C57" s="28" t="n">
        <f aca="false">ROUND(Inputs!$E$11*$B57,0)</f>
        <v>95833</v>
      </c>
      <c r="D57" s="28" t="n">
        <f aca="false">ROUND(Inputs!$E$12*$B57,0)</f>
        <v>57500</v>
      </c>
      <c r="E57" s="28" t="n">
        <f aca="false">ROUND(Inputs!$E$13*$B57,0)</f>
        <v>38333</v>
      </c>
    </row>
    <row r="58" customFormat="false" ht="15" hidden="false" customHeight="false" outlineLevel="0" collapsed="false">
      <c r="A58" s="40" t="n">
        <v>47</v>
      </c>
      <c r="B58" s="41" t="n">
        <f aca="false">IF(A58&lt;Inputs!$B$44,0,MIN(1,A58/Inputs!$B$43))</f>
        <v>0.979166666666667</v>
      </c>
      <c r="C58" s="28" t="n">
        <f aca="false">ROUND(Inputs!$E$11*$B58,0)</f>
        <v>97917</v>
      </c>
      <c r="D58" s="28" t="n">
        <f aca="false">ROUND(Inputs!$E$12*$B58,0)</f>
        <v>58750</v>
      </c>
      <c r="E58" s="28" t="n">
        <f aca="false">ROUND(Inputs!$E$13*$B58,0)</f>
        <v>39167</v>
      </c>
    </row>
    <row r="59" customFormat="false" ht="15" hidden="false" customHeight="false" outlineLevel="0" collapsed="false">
      <c r="A59" s="40" t="n">
        <v>48</v>
      </c>
      <c r="B59" s="41" t="n">
        <f aca="false">IF(A59&lt;Inputs!$B$44,0,MIN(1,A59/Inputs!$B$43))</f>
        <v>1</v>
      </c>
      <c r="C59" s="28" t="n">
        <f aca="false">ROUND(Inputs!$E$11*$B59,0)</f>
        <v>100000</v>
      </c>
      <c r="D59" s="28" t="n">
        <f aca="false">ROUND(Inputs!$E$12*$B59,0)</f>
        <v>60000</v>
      </c>
      <c r="E59" s="28" t="n">
        <f aca="false">ROUND(Inputs!$E$13*$B59,0)</f>
        <v>40000</v>
      </c>
    </row>
  </sheetData>
  <mergeCells count="1"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20"/>
    <col collapsed="false" customWidth="true" hidden="false" outlineLevel="0" max="6" min="6" style="0" width="4"/>
  </cols>
  <sheetData>
    <row r="1" customFormat="false" ht="21.75" hidden="false" customHeight="true" outlineLevel="0" collapsed="false">
      <c r="A1" s="1" t="s">
        <v>135</v>
      </c>
      <c r="B1" s="2"/>
      <c r="C1" s="2"/>
      <c r="D1" s="2"/>
      <c r="E1" s="2"/>
    </row>
    <row r="3" customFormat="false" ht="30" hidden="false" customHeight="true" outlineLevel="0" collapsed="false">
      <c r="A3" s="8"/>
      <c r="B3" s="11" t="s">
        <v>136</v>
      </c>
      <c r="C3" s="11" t="s">
        <v>137</v>
      </c>
      <c r="D3" s="11" t="s">
        <v>138</v>
      </c>
      <c r="E3" s="11" t="s">
        <v>139</v>
      </c>
    </row>
    <row r="4" customFormat="false" ht="15" hidden="false" customHeight="false" outlineLevel="0" collapsed="false">
      <c r="A4" s="8" t="s">
        <v>140</v>
      </c>
      <c r="B4" s="21" t="n">
        <f aca="false">Inputs!B7</f>
        <v>2000</v>
      </c>
      <c r="C4" s="21" t="n">
        <f aca="false">Inputs!B7</f>
        <v>2000</v>
      </c>
      <c r="D4" s="21" t="n">
        <f aca="false">Inputs!B31</f>
        <v>50000</v>
      </c>
      <c r="E4" s="21" t="n">
        <f aca="false">IF(Inputs!B36=1,Inputs!B39,Inputs!B31)</f>
        <v>200000</v>
      </c>
    </row>
    <row r="5" customFormat="false" ht="15" hidden="false" customHeight="false" outlineLevel="0" collapsed="false">
      <c r="A5" s="8" t="s">
        <v>141</v>
      </c>
      <c r="B5" s="21" t="n">
        <f aca="false">IF(Cap_Table!D36=0,0,B4*1000000/Cap_Table!D36)</f>
        <v>10000</v>
      </c>
      <c r="C5" s="21" t="n">
        <f aca="false">IF(Cap_Table!F36=0,0,C4*1000000/Cap_Table!F36)</f>
        <v>9000.009000009</v>
      </c>
      <c r="D5" s="21" t="n">
        <f aca="false">IF(Cap_Table!H36=0,0,D4*1000000/Cap_Table!H36)</f>
        <v>150999.921480041</v>
      </c>
      <c r="E5" s="21" t="n">
        <f aca="false">IF(Cap_Table!J36=0,0,E4*1000000/Cap_Table!J36)</f>
        <v>432409.058969785</v>
      </c>
    </row>
    <row r="7" customFormat="false" ht="15" hidden="false" customHeight="false" outlineLevel="0" collapsed="false">
      <c r="A7" s="5" t="s">
        <v>142</v>
      </c>
      <c r="B7" s="6"/>
      <c r="C7" s="6"/>
      <c r="D7" s="6"/>
      <c r="E7" s="6"/>
    </row>
    <row r="8" customFormat="false" ht="30" hidden="false" customHeight="true" outlineLevel="0" collapsed="false">
      <c r="A8" s="11"/>
      <c r="B8" s="11" t="s">
        <v>136</v>
      </c>
      <c r="C8" s="11" t="s">
        <v>137</v>
      </c>
      <c r="D8" s="11" t="s">
        <v>138</v>
      </c>
      <c r="E8" s="11" t="s">
        <v>139</v>
      </c>
    </row>
    <row r="9" customFormat="false" ht="15" hidden="false" customHeight="false" outlineLevel="0" collapsed="false">
      <c r="A9" s="30" t="s">
        <v>143</v>
      </c>
      <c r="B9" s="41" t="n">
        <f aca="false">SUM(Cap_Table!E27:E29)</f>
        <v>1</v>
      </c>
      <c r="C9" s="41" t="n">
        <f aca="false">SUM(Cap_Table!G27:G29)</f>
        <v>0.9000009000009</v>
      </c>
      <c r="D9" s="41" t="n">
        <f aca="false">SUM(Cap_Table!I27:I29)</f>
        <v>0.603999685920163</v>
      </c>
      <c r="E9" s="41" t="n">
        <f aca="false">SUM(Cap_Table!K27:K29)</f>
        <v>0.432409058969785</v>
      </c>
    </row>
    <row r="10" customFormat="false" ht="15" hidden="false" customHeight="false" outlineLevel="0" collapsed="false">
      <c r="A10" s="30" t="s">
        <v>144</v>
      </c>
      <c r="B10" s="41" t="n">
        <f aca="false">Cap_Table!E30</f>
        <v>0</v>
      </c>
      <c r="C10" s="41" t="n">
        <f aca="false">Cap_Table!G30</f>
        <v>0.0999990999991</v>
      </c>
      <c r="D10" s="41" t="n">
        <f aca="false">Cap_Table!I30</f>
        <v>0.119999637600188</v>
      </c>
      <c r="E10" s="41" t="n">
        <f aca="false">Cap_Table!K30</f>
        <v>0.12</v>
      </c>
    </row>
    <row r="11" customFormat="false" ht="15" hidden="false" customHeight="false" outlineLevel="0" collapsed="false">
      <c r="A11" s="30" t="s">
        <v>145</v>
      </c>
      <c r="B11" s="41" t="n">
        <f aca="false">SUM(Cap_Table!E31:E33)</f>
        <v>0</v>
      </c>
      <c r="C11" s="41" t="n">
        <f aca="false">SUM(Cap_Table!G31:G33)</f>
        <v>0</v>
      </c>
      <c r="D11" s="41" t="n">
        <f aca="false">SUM(Cap_Table!I31:I33)</f>
        <v>0.0760012804793342</v>
      </c>
      <c r="E11" s="41" t="n">
        <f aca="false">SUM(Cap_Table!K31:K33)</f>
        <v>0.0544100318901681</v>
      </c>
    </row>
    <row r="12" customFormat="false" ht="15" hidden="false" customHeight="false" outlineLevel="0" collapsed="false">
      <c r="A12" s="30" t="s">
        <v>111</v>
      </c>
      <c r="B12" s="41" t="n">
        <f aca="false">Cap_Table!E34</f>
        <v>0</v>
      </c>
      <c r="C12" s="41" t="n">
        <f aca="false">Cap_Table!G34</f>
        <v>0</v>
      </c>
      <c r="D12" s="41" t="n">
        <f aca="false">Cap_Table!I34</f>
        <v>0.199999396000314</v>
      </c>
      <c r="E12" s="41" t="n">
        <f aca="false">Cap_Table!K34</f>
        <v>0.14318144965137</v>
      </c>
    </row>
    <row r="13" customFormat="false" ht="15" hidden="false" customHeight="false" outlineLevel="0" collapsed="false">
      <c r="A13" s="30" t="s">
        <v>112</v>
      </c>
      <c r="B13" s="41" t="n">
        <f aca="false">Cap_Table!E35</f>
        <v>0</v>
      </c>
      <c r="C13" s="41" t="n">
        <f aca="false">Cap_Table!G35</f>
        <v>0</v>
      </c>
      <c r="D13" s="41" t="n">
        <f aca="false">Cap_Table!I35</f>
        <v>0</v>
      </c>
      <c r="E13" s="41" t="n">
        <f aca="false">Cap_Table!K35</f>
        <v>0.249999459488676</v>
      </c>
    </row>
    <row r="14" customFormat="false" ht="15" hidden="false" customHeight="false" outlineLevel="0" collapsed="false">
      <c r="A14" s="30" t="s">
        <v>43</v>
      </c>
      <c r="B14" s="33" t="n">
        <f aca="false">SUM(B9:B13)</f>
        <v>1</v>
      </c>
      <c r="C14" s="33" t="n">
        <f aca="false">SUM(C9:C13)</f>
        <v>1</v>
      </c>
      <c r="D14" s="33" t="n">
        <f aca="false">SUM(D9:D13)</f>
        <v>1</v>
      </c>
      <c r="E14" s="33" t="n">
        <f aca="false">SUM(E9:E13)</f>
        <v>1</v>
      </c>
    </row>
    <row r="15" customFormat="false" ht="15" hidden="false" customHeight="false" outlineLevel="0" collapsed="false">
      <c r="A15" s="15" t="s">
        <v>146</v>
      </c>
      <c r="B15" s="42" t="n">
        <f aca="false">$B$9-B9</f>
        <v>0</v>
      </c>
      <c r="C15" s="42" t="n">
        <f aca="false">$B$9-C9</f>
        <v>0.0999990999991</v>
      </c>
      <c r="D15" s="42" t="n">
        <f aca="false">$B$9-D9</f>
        <v>0.396000314079837</v>
      </c>
      <c r="E15" s="42" t="n">
        <f aca="false">$B$9-E9</f>
        <v>0.567590941030215</v>
      </c>
    </row>
    <row r="17" customFormat="false" ht="15" hidden="false" customHeight="false" outlineLevel="0" collapsed="false">
      <c r="A17" s="5" t="s">
        <v>147</v>
      </c>
      <c r="B17" s="6"/>
      <c r="C17" s="6"/>
      <c r="D17" s="6"/>
      <c r="E17" s="6"/>
    </row>
    <row r="18" customFormat="false" ht="30" hidden="false" customHeight="true" outlineLevel="0" collapsed="false">
      <c r="A18" s="11"/>
      <c r="B18" s="11" t="s">
        <v>136</v>
      </c>
      <c r="C18" s="11" t="s">
        <v>137</v>
      </c>
      <c r="D18" s="11" t="s">
        <v>138</v>
      </c>
      <c r="E18" s="11" t="s">
        <v>139</v>
      </c>
    </row>
    <row r="19" customFormat="false" ht="15" hidden="false" customHeight="false" outlineLevel="0" collapsed="false">
      <c r="A19" s="27" t="s">
        <v>143</v>
      </c>
      <c r="B19" s="14" t="n">
        <f aca="false">B9*B$4</f>
        <v>2000</v>
      </c>
      <c r="C19" s="14" t="n">
        <f aca="false">C9*C$4</f>
        <v>1800.0018000018</v>
      </c>
      <c r="D19" s="14" t="n">
        <f aca="false">D9*D$4</f>
        <v>30199.9842960082</v>
      </c>
      <c r="E19" s="14" t="n">
        <f aca="false">E9*E$4</f>
        <v>86481.8117939571</v>
      </c>
    </row>
    <row r="20" customFormat="false" ht="15" hidden="false" customHeight="false" outlineLevel="0" collapsed="false">
      <c r="A20" s="27" t="s">
        <v>144</v>
      </c>
      <c r="B20" s="14" t="n">
        <f aca="false">B10*B$4</f>
        <v>0</v>
      </c>
      <c r="C20" s="14" t="n">
        <f aca="false">C10*C$4</f>
        <v>199.9981999982</v>
      </c>
      <c r="D20" s="14" t="n">
        <f aca="false">D10*D$4</f>
        <v>5999.98188000942</v>
      </c>
      <c r="E20" s="14" t="n">
        <f aca="false">E10*E$4</f>
        <v>24000</v>
      </c>
    </row>
    <row r="21" customFormat="false" ht="15" hidden="false" customHeight="false" outlineLevel="0" collapsed="false">
      <c r="A21" s="27" t="s">
        <v>145</v>
      </c>
      <c r="B21" s="14" t="n">
        <f aca="false">B11*B$4</f>
        <v>0</v>
      </c>
      <c r="C21" s="14" t="n">
        <f aca="false">C11*C$4</f>
        <v>0</v>
      </c>
      <c r="D21" s="14" t="n">
        <f aca="false">D11*D$4</f>
        <v>3800.06402396671</v>
      </c>
      <c r="E21" s="14" t="n">
        <f aca="false">E11*E$4</f>
        <v>10882.0063780336</v>
      </c>
    </row>
    <row r="22" customFormat="false" ht="15" hidden="false" customHeight="false" outlineLevel="0" collapsed="false">
      <c r="A22" s="27" t="s">
        <v>111</v>
      </c>
      <c r="B22" s="14" t="n">
        <f aca="false">B12*B$4</f>
        <v>0</v>
      </c>
      <c r="C22" s="14" t="n">
        <f aca="false">C12*C$4</f>
        <v>0</v>
      </c>
      <c r="D22" s="14" t="n">
        <f aca="false">D12*D$4</f>
        <v>9999.9698000157</v>
      </c>
      <c r="E22" s="14" t="n">
        <f aca="false">E12*E$4</f>
        <v>28636.289930274</v>
      </c>
    </row>
    <row r="23" customFormat="false" ht="15" hidden="false" customHeight="false" outlineLevel="0" collapsed="false">
      <c r="A23" s="27" t="s">
        <v>112</v>
      </c>
      <c r="B23" s="14" t="n">
        <f aca="false">B13*B$4</f>
        <v>0</v>
      </c>
      <c r="C23" s="14" t="n">
        <f aca="false">C13*C$4</f>
        <v>0</v>
      </c>
      <c r="D23" s="14" t="n">
        <f aca="false">D13*D$4</f>
        <v>0</v>
      </c>
      <c r="E23" s="14" t="n">
        <f aca="false">E13*E$4</f>
        <v>49999.8918977353</v>
      </c>
    </row>
    <row r="24" customFormat="false" ht="15" hidden="false" customHeight="false" outlineLevel="0" collapsed="false">
      <c r="A24" s="15" t="s">
        <v>43</v>
      </c>
      <c r="B24" s="17" t="n">
        <f aca="false">SUM(B19:B23)</f>
        <v>2000</v>
      </c>
      <c r="C24" s="17" t="n">
        <f aca="false">SUM(C19:C23)</f>
        <v>2000</v>
      </c>
      <c r="D24" s="17" t="n">
        <f aca="false">SUM(D19:D23)</f>
        <v>50000</v>
      </c>
      <c r="E24" s="17" t="n">
        <f aca="false">SUM(E19:E23)</f>
        <v>200000</v>
      </c>
    </row>
    <row r="26" customFormat="false" ht="30" hidden="false" customHeight="true" outlineLevel="0" collapsed="false">
      <c r="A26" s="34" t="s">
        <v>148</v>
      </c>
      <c r="B26" s="34"/>
      <c r="C26" s="34"/>
      <c r="D26" s="34"/>
      <c r="E26" s="34"/>
    </row>
  </sheetData>
  <mergeCells count="1">
    <mergeCell ref="A26:E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7" min="3" style="0" width="16"/>
  </cols>
  <sheetData>
    <row r="1" customFormat="false" ht="21.75" hidden="false" customHeight="true" outlineLevel="0" collapsed="false">
      <c r="A1" s="1" t="s">
        <v>149</v>
      </c>
      <c r="B1" s="2"/>
      <c r="C1" s="2"/>
      <c r="D1" s="2"/>
      <c r="E1" s="2"/>
      <c r="F1" s="2"/>
      <c r="G1" s="2"/>
    </row>
    <row r="2" customFormat="false" ht="31.5" hidden="false" customHeight="true" outlineLevel="0" collapsed="false">
      <c r="A2" s="34" t="s">
        <v>150</v>
      </c>
      <c r="B2" s="34"/>
      <c r="C2" s="34"/>
      <c r="D2" s="34"/>
      <c r="E2" s="34"/>
      <c r="F2" s="34"/>
      <c r="G2" s="34"/>
    </row>
    <row r="5" customFormat="false" ht="30" hidden="false" customHeight="true" outlineLevel="0" collapsed="false">
      <c r="A5" s="11" t="s">
        <v>151</v>
      </c>
      <c r="B5" s="11" t="s">
        <v>152</v>
      </c>
      <c r="C5" s="11" t="s">
        <v>72</v>
      </c>
      <c r="D5" s="11" t="s">
        <v>73</v>
      </c>
      <c r="E5" s="11" t="s">
        <v>74</v>
      </c>
      <c r="F5" s="11" t="s">
        <v>75</v>
      </c>
      <c r="G5" s="11" t="s">
        <v>76</v>
      </c>
    </row>
    <row r="6" customFormat="false" ht="15" hidden="false" customHeight="false" outlineLevel="0" collapsed="false">
      <c r="A6" s="15" t="s">
        <v>77</v>
      </c>
      <c r="C6" s="25" t="n">
        <f aca="false">Inputs!C49</f>
        <v>100000</v>
      </c>
      <c r="D6" s="25" t="n">
        <f aca="false">Inputs!D49</f>
        <v>250000</v>
      </c>
      <c r="E6" s="25" t="n">
        <f aca="false">Inputs!E49</f>
        <v>500000</v>
      </c>
      <c r="F6" s="25" t="n">
        <f aca="false">Inputs!F49</f>
        <v>1000000</v>
      </c>
      <c r="G6" s="25" t="n">
        <f aca="false">Inputs!G49</f>
        <v>2500000</v>
      </c>
    </row>
    <row r="8" customFormat="false" ht="15" hidden="false" customHeight="false" outlineLevel="0" collapsed="false">
      <c r="A8" s="5" t="s">
        <v>153</v>
      </c>
      <c r="B8" s="6"/>
      <c r="C8" s="6"/>
      <c r="D8" s="6"/>
      <c r="E8" s="6"/>
      <c r="F8" s="6"/>
      <c r="G8" s="6"/>
    </row>
    <row r="9" customFormat="false" ht="15" hidden="false" customHeight="false" outlineLevel="0" collapsed="false">
      <c r="A9" s="8" t="s">
        <v>154</v>
      </c>
      <c r="B9" s="21" t="n">
        <f aca="false">(Inputs!C26+Inputs!B29)*Inputs!B32</f>
        <v>12000</v>
      </c>
    </row>
    <row r="10" customFormat="false" ht="15" hidden="false" customHeight="false" outlineLevel="0" collapsed="false">
      <c r="A10" s="8" t="s">
        <v>36</v>
      </c>
      <c r="B10" s="21" t="n">
        <f aca="false">SUM(Cap_Table!J31:J33)+Cap_Table!J34</f>
        <v>91391</v>
      </c>
    </row>
    <row r="11" customFormat="false" ht="15" hidden="false" customHeight="false" outlineLevel="0" collapsed="false">
      <c r="A11" s="8" t="s">
        <v>155</v>
      </c>
      <c r="B11" s="36" t="n">
        <f aca="false">IF(Cap_Table!J36=0,0,B10/Cap_Table!J36)</f>
        <v>0.197591481541538</v>
      </c>
    </row>
    <row r="12" customFormat="false" ht="15" hidden="false" customHeight="false" outlineLevel="0" collapsed="false">
      <c r="A12" s="8" t="s">
        <v>156</v>
      </c>
      <c r="C12" s="10" t="n">
        <f aca="false">$B$11*C6</f>
        <v>19759.1481541538</v>
      </c>
      <c r="D12" s="10" t="n">
        <f aca="false">$B$11*D6</f>
        <v>49397.8703853846</v>
      </c>
      <c r="E12" s="10" t="n">
        <f aca="false">$B$11*E6</f>
        <v>98795.7407707692</v>
      </c>
      <c r="F12" s="10" t="n">
        <f aca="false">$B$11*F6</f>
        <v>197591.481541538</v>
      </c>
      <c r="G12" s="10" t="n">
        <f aca="false">$B$11*G6</f>
        <v>493978.703853846</v>
      </c>
    </row>
    <row r="13" customFormat="false" ht="15" hidden="false" customHeight="false" outlineLevel="0" collapsed="false">
      <c r="A13" s="8" t="s">
        <v>157</v>
      </c>
      <c r="C13" s="43" t="n">
        <f aca="false">IF($B$9=0,1,IF(C12&gt;$B$9,1,0))</f>
        <v>1</v>
      </c>
      <c r="D13" s="43" t="n">
        <f aca="false">IF($B$9=0,1,IF(D12&gt;$B$9,1,0))</f>
        <v>1</v>
      </c>
      <c r="E13" s="43" t="n">
        <f aca="false">IF($B$9=0,1,IF(E12&gt;$B$9,1,0))</f>
        <v>1</v>
      </c>
      <c r="F13" s="43" t="n">
        <f aca="false">IF($B$9=0,1,IF(F12&gt;$B$9,1,0))</f>
        <v>1</v>
      </c>
      <c r="G13" s="43" t="n">
        <f aca="false">IF($B$9=0,1,IF(G12&gt;$B$9,1,0))</f>
        <v>1</v>
      </c>
    </row>
    <row r="15" customFormat="false" ht="15" hidden="false" customHeight="false" outlineLevel="0" collapsed="false">
      <c r="A15" s="5" t="s">
        <v>158</v>
      </c>
      <c r="B15" s="6"/>
      <c r="C15" s="6"/>
      <c r="D15" s="6"/>
      <c r="E15" s="6"/>
      <c r="F15" s="6"/>
      <c r="G15" s="6"/>
    </row>
    <row r="16" customFormat="false" ht="15" hidden="false" customHeight="false" outlineLevel="0" collapsed="false">
      <c r="A16" s="8" t="s">
        <v>154</v>
      </c>
      <c r="B16" s="21" t="n">
        <f aca="false">IF(Inputs!B36=1,Inputs!B37*Inputs!B40,0)</f>
        <v>50000</v>
      </c>
    </row>
    <row r="17" customFormat="false" ht="15" hidden="false" customHeight="false" outlineLevel="0" collapsed="false">
      <c r="A17" s="8" t="s">
        <v>36</v>
      </c>
      <c r="B17" s="21" t="n">
        <f aca="false">Cap_Table!J35</f>
        <v>115631</v>
      </c>
    </row>
    <row r="18" customFormat="false" ht="15" hidden="false" customHeight="false" outlineLevel="0" collapsed="false">
      <c r="A18" s="8" t="s">
        <v>155</v>
      </c>
      <c r="B18" s="36" t="n">
        <f aca="false">IF(Cap_Table!J36=0,0,B17/Cap_Table!J36)</f>
        <v>0.249999459488676</v>
      </c>
    </row>
    <row r="19" customFormat="false" ht="15" hidden="false" customHeight="false" outlineLevel="0" collapsed="false">
      <c r="A19" s="8" t="s">
        <v>156</v>
      </c>
      <c r="C19" s="10" t="n">
        <f aca="false">$B$18*C6</f>
        <v>24999.9459488676</v>
      </c>
      <c r="D19" s="10" t="n">
        <f aca="false">$B$18*D6</f>
        <v>62499.8648721691</v>
      </c>
      <c r="E19" s="10" t="n">
        <f aca="false">$B$18*E6</f>
        <v>124999.729744338</v>
      </c>
      <c r="F19" s="10" t="n">
        <f aca="false">$B$18*F6</f>
        <v>249999.459488676</v>
      </c>
      <c r="G19" s="10" t="n">
        <f aca="false">$B$18*G6</f>
        <v>624998.648721691</v>
      </c>
    </row>
    <row r="20" customFormat="false" ht="15" hidden="false" customHeight="false" outlineLevel="0" collapsed="false">
      <c r="A20" s="8" t="s">
        <v>157</v>
      </c>
      <c r="C20" s="43" t="n">
        <f aca="false">IF($B$16=0,1,IF(C19&gt;$B$16,1,0))</f>
        <v>0</v>
      </c>
      <c r="D20" s="43" t="n">
        <f aca="false">IF($B$16=0,1,IF(D19&gt;$B$16,1,0))</f>
        <v>1</v>
      </c>
      <c r="E20" s="43" t="n">
        <f aca="false">IF($B$16=0,1,IF(E19&gt;$B$16,1,0))</f>
        <v>1</v>
      </c>
      <c r="F20" s="43" t="n">
        <f aca="false">IF($B$16=0,1,IF(F19&gt;$B$16,1,0))</f>
        <v>1</v>
      </c>
      <c r="G20" s="43" t="n">
        <f aca="false">IF($B$16=0,1,IF(G19&gt;$B$16,1,0))</f>
        <v>1</v>
      </c>
    </row>
    <row r="22" customFormat="false" ht="15" hidden="false" customHeight="false" outlineLevel="0" collapsed="false">
      <c r="A22" s="8" t="s">
        <v>159</v>
      </c>
      <c r="C22" s="10" t="n">
        <f aca="false">IF(C13=0,$B$9,0)+IF(C20=0,$B$16,0)</f>
        <v>50000</v>
      </c>
      <c r="D22" s="10" t="n">
        <f aca="false">IF(D13=0,$B$9,0)+IF(D20=0,$B$16,0)</f>
        <v>0</v>
      </c>
      <c r="E22" s="10" t="n">
        <f aca="false">IF(E13=0,$B$9,0)+IF(E20=0,$B$16,0)</f>
        <v>0</v>
      </c>
      <c r="F22" s="10" t="n">
        <f aca="false">IF(F13=0,$B$9,0)+IF(F20=0,$B$16,0)</f>
        <v>0</v>
      </c>
      <c r="G22" s="10" t="n">
        <f aca="false">IF(G13=0,$B$9,0)+IF(G20=0,$B$16,0)</f>
        <v>0</v>
      </c>
    </row>
    <row r="23" customFormat="false" ht="15" hidden="false" customHeight="false" outlineLevel="0" collapsed="false">
      <c r="A23" s="8" t="s">
        <v>160</v>
      </c>
      <c r="C23" s="10" t="n">
        <f aca="false">MIN(C6,C22)</f>
        <v>50000</v>
      </c>
      <c r="D23" s="10" t="n">
        <f aca="false">MIN(D6,D22)</f>
        <v>0</v>
      </c>
      <c r="E23" s="10" t="n">
        <f aca="false">MIN(E6,E22)</f>
        <v>0</v>
      </c>
      <c r="F23" s="10" t="n">
        <f aca="false">MIN(F6,F22)</f>
        <v>0</v>
      </c>
      <c r="G23" s="10" t="n">
        <f aca="false">MIN(G6,G22)</f>
        <v>0</v>
      </c>
    </row>
    <row r="24" customFormat="false" ht="15" hidden="false" customHeight="false" outlineLevel="0" collapsed="false">
      <c r="A24" s="8" t="s">
        <v>161</v>
      </c>
      <c r="C24" s="10" t="n">
        <f aca="false">IF(C22=0,0,IF(C13=0,$B$9/C22*C23,0))</f>
        <v>0</v>
      </c>
      <c r="D24" s="10" t="n">
        <f aca="false">IF(D22=0,0,IF(D13=0,$B$9/D22*D23,0))</f>
        <v>0</v>
      </c>
      <c r="E24" s="10" t="n">
        <f aca="false">IF(E22=0,0,IF(E13=0,$B$9/E22*E23,0))</f>
        <v>0</v>
      </c>
      <c r="F24" s="10" t="n">
        <f aca="false">IF(F22=0,0,IF(F13=0,$B$9/F22*F23,0))</f>
        <v>0</v>
      </c>
      <c r="G24" s="10" t="n">
        <f aca="false">IF(G22=0,0,IF(G13=0,$B$9/G22*G23,0))</f>
        <v>0</v>
      </c>
    </row>
    <row r="25" customFormat="false" ht="15" hidden="false" customHeight="false" outlineLevel="0" collapsed="false">
      <c r="A25" s="8" t="s">
        <v>162</v>
      </c>
      <c r="C25" s="10" t="n">
        <f aca="false">IF(C22=0,0,IF(C20=0,$B$16/C22*C23,0))</f>
        <v>50000</v>
      </c>
      <c r="D25" s="10" t="n">
        <f aca="false">IF(D22=0,0,IF(D20=0,$B$16/D22*D23,0))</f>
        <v>0</v>
      </c>
      <c r="E25" s="10" t="n">
        <f aca="false">IF(E22=0,0,IF(E20=0,$B$16/E22*E23,0))</f>
        <v>0</v>
      </c>
      <c r="F25" s="10" t="n">
        <f aca="false">IF(F22=0,0,IF(F20=0,$B$16/F22*F23,0))</f>
        <v>0</v>
      </c>
      <c r="G25" s="10" t="n">
        <f aca="false">IF(G22=0,0,IF(G20=0,$B$16/G22*G23,0))</f>
        <v>0</v>
      </c>
    </row>
    <row r="26" customFormat="false" ht="15" hidden="false" customHeight="false" outlineLevel="0" collapsed="false">
      <c r="A26" s="15" t="s">
        <v>163</v>
      </c>
      <c r="C26" s="17" t="n">
        <f aca="false">MAX(0,C6-C23)</f>
        <v>50000</v>
      </c>
      <c r="D26" s="17" t="n">
        <f aca="false">MAX(0,D6-D23)</f>
        <v>250000</v>
      </c>
      <c r="E26" s="17" t="n">
        <f aca="false">MAX(0,E6-E23)</f>
        <v>500000</v>
      </c>
      <c r="F26" s="17" t="n">
        <f aca="false">MAX(0,F6-F23)</f>
        <v>1000000</v>
      </c>
      <c r="G26" s="17" t="n">
        <f aca="false">MAX(0,G6-G23)</f>
        <v>2500000</v>
      </c>
    </row>
    <row r="27" customFormat="false" ht="15" hidden="false" customHeight="false" outlineLevel="0" collapsed="false">
      <c r="A27" s="8" t="s">
        <v>164</v>
      </c>
      <c r="C27" s="10" t="n">
        <f aca="false">Cap_Table!$J$36-IF(C13=0,$B$10,0)-IF(C20=0,$B$17,0)</f>
        <v>346894</v>
      </c>
      <c r="D27" s="10" t="n">
        <f aca="false">Cap_Table!$J$36-IF(D13=0,$B$10,0)-IF(D20=0,$B$17,0)</f>
        <v>462525</v>
      </c>
      <c r="E27" s="10" t="n">
        <f aca="false">Cap_Table!$J$36-IF(E13=0,$B$10,0)-IF(E20=0,$B$17,0)</f>
        <v>462525</v>
      </c>
      <c r="F27" s="10" t="n">
        <f aca="false">Cap_Table!$J$36-IF(F13=0,$B$10,0)-IF(F20=0,$B$17,0)</f>
        <v>462525</v>
      </c>
      <c r="G27" s="10" t="n">
        <f aca="false">Cap_Table!$J$36-IF(G13=0,$B$10,0)-IF(G20=0,$B$17,0)</f>
        <v>462525</v>
      </c>
    </row>
    <row r="29" customFormat="false" ht="15" hidden="false" customHeight="false" outlineLevel="0" collapsed="false">
      <c r="A29" s="5" t="s">
        <v>165</v>
      </c>
      <c r="B29" s="6"/>
      <c r="C29" s="6"/>
      <c r="D29" s="6"/>
      <c r="E29" s="6"/>
      <c r="F29" s="6"/>
      <c r="G29" s="6"/>
    </row>
    <row r="30" customFormat="false" ht="15" hidden="false" customHeight="false" outlineLevel="0" collapsed="false">
      <c r="A30" s="35" t="str">
        <f aca="false">Inputs!B11</f>
        <v>Founder A</v>
      </c>
      <c r="C30" s="21" t="n">
        <f aca="false">IF(C$27=0,0,Cap_Table!$J$27/C$27*C$26)</f>
        <v>14413.6249113562</v>
      </c>
      <c r="D30" s="21" t="n">
        <f aca="false">IF(D$27=0,0,Cap_Table!$J$27/D$27*D$26)</f>
        <v>54051.1323712232</v>
      </c>
      <c r="E30" s="21" t="n">
        <f aca="false">IF(E$27=0,0,Cap_Table!$J$27/E$27*E$26)</f>
        <v>108102.264742446</v>
      </c>
      <c r="F30" s="21" t="n">
        <f aca="false">IF(F$27=0,0,Cap_Table!$J$27/F$27*F$26)</f>
        <v>216204.529484893</v>
      </c>
      <c r="G30" s="21" t="n">
        <f aca="false">IF(G$27=0,0,Cap_Table!$J$27/G$27*G$26)</f>
        <v>540511.323712232</v>
      </c>
    </row>
    <row r="31" customFormat="false" ht="15" hidden="false" customHeight="false" outlineLevel="0" collapsed="false">
      <c r="A31" s="35" t="str">
        <f aca="false">Inputs!B12</f>
        <v>Founder B</v>
      </c>
      <c r="C31" s="21" t="n">
        <f aca="false">IF(C$27=0,0,Cap_Table!$J$28/C$27*C$26)</f>
        <v>8648.17494681372</v>
      </c>
      <c r="D31" s="21" t="n">
        <f aca="false">IF(D$27=0,0,Cap_Table!$J$28/D$27*D$26)</f>
        <v>32430.6794227339</v>
      </c>
      <c r="E31" s="21" t="n">
        <f aca="false">IF(E$27=0,0,Cap_Table!$J$28/E$27*E$26)</f>
        <v>64861.3588454678</v>
      </c>
      <c r="F31" s="21" t="n">
        <f aca="false">IF(F$27=0,0,Cap_Table!$J$28/F$27*F$26)</f>
        <v>129722.717690936</v>
      </c>
      <c r="G31" s="21" t="n">
        <f aca="false">IF(G$27=0,0,Cap_Table!$J$28/G$27*G$26)</f>
        <v>324306.794227339</v>
      </c>
    </row>
    <row r="32" customFormat="false" ht="15" hidden="false" customHeight="false" outlineLevel="0" collapsed="false">
      <c r="A32" s="35" t="str">
        <f aca="false">Inputs!B13</f>
        <v>Founder C</v>
      </c>
      <c r="C32" s="21" t="n">
        <f aca="false">IF(C$27=0,0,Cap_Table!$J$29/C$27*C$26)</f>
        <v>5765.44996454248</v>
      </c>
      <c r="D32" s="21" t="n">
        <f aca="false">IF(D$27=0,0,Cap_Table!$J$29/D$27*D$26)</f>
        <v>21620.4529484893</v>
      </c>
      <c r="E32" s="21" t="n">
        <f aca="false">IF(E$27=0,0,Cap_Table!$J$29/E$27*E$26)</f>
        <v>43240.9058969785</v>
      </c>
      <c r="F32" s="21" t="n">
        <f aca="false">IF(F$27=0,0,Cap_Table!$J$29/F$27*F$26)</f>
        <v>86481.8117939571</v>
      </c>
      <c r="G32" s="21" t="n">
        <f aca="false">IF(G$27=0,0,Cap_Table!$J$29/G$27*G$26)</f>
        <v>216204.529484893</v>
      </c>
    </row>
    <row r="33" customFormat="false" ht="15" hidden="false" customHeight="false" outlineLevel="0" collapsed="false">
      <c r="A33" s="8" t="s">
        <v>144</v>
      </c>
      <c r="C33" s="21" t="n">
        <f aca="false">IF(C$27=0,0,Cap_Table!$J$30/C$27*C$26)</f>
        <v>7999.99423455004</v>
      </c>
      <c r="D33" s="21" t="n">
        <f aca="false">IF(D$27=0,0,Cap_Table!$J$30/D$27*D$26)</f>
        <v>30000</v>
      </c>
      <c r="E33" s="21" t="n">
        <f aca="false">IF(E$27=0,0,Cap_Table!$J$30/E$27*E$26)</f>
        <v>60000</v>
      </c>
      <c r="F33" s="21" t="n">
        <f aca="false">IF(F$27=0,0,Cap_Table!$J$30/F$27*F$26)</f>
        <v>120000</v>
      </c>
      <c r="G33" s="21" t="n">
        <f aca="false">IF(G$27=0,0,Cap_Table!$J$30/G$27*G$26)</f>
        <v>300000</v>
      </c>
    </row>
    <row r="34" customFormat="false" ht="15" hidden="false" customHeight="false" outlineLevel="0" collapsed="false">
      <c r="A34" s="8" t="s">
        <v>166</v>
      </c>
      <c r="C34" s="10" t="n">
        <f aca="false">C24+IF(C13=1,IF(C27=0,0,$B$10/C27*C26),0)</f>
        <v>13172.7559427376</v>
      </c>
      <c r="D34" s="10" t="n">
        <f aca="false">D24+IF(D13=1,IF(D27=0,0,$B$10/D27*D26),0)</f>
        <v>49397.8703853846</v>
      </c>
      <c r="E34" s="10" t="n">
        <f aca="false">E24+IF(E13=1,IF(E27=0,0,$B$10/E27*E26),0)</f>
        <v>98795.7407707692</v>
      </c>
      <c r="F34" s="10" t="n">
        <f aca="false">F24+IF(F13=1,IF(F27=0,0,$B$10/F27*F26),0)</f>
        <v>197591.481541538</v>
      </c>
      <c r="G34" s="10" t="n">
        <f aca="false">G24+IF(G13=1,IF(G27=0,0,$B$10/G27*G26),0)</f>
        <v>493978.703853846</v>
      </c>
    </row>
    <row r="35" customFormat="false" ht="15" hidden="false" customHeight="false" outlineLevel="0" collapsed="false">
      <c r="A35" s="8" t="s">
        <v>112</v>
      </c>
      <c r="C35" s="10" t="n">
        <f aca="false">C25+IF(C20=1,IF(C27=0,0,$B$17/C27*C26),0)</f>
        <v>50000</v>
      </c>
      <c r="D35" s="10" t="n">
        <f aca="false">D25+IF(D20=1,IF(D27=0,0,$B$17/D27*D26),0)</f>
        <v>62499.8648721691</v>
      </c>
      <c r="E35" s="10" t="n">
        <f aca="false">E25+IF(E20=1,IF(E27=0,0,$B$17/E27*E26),0)</f>
        <v>124999.729744338</v>
      </c>
      <c r="F35" s="10" t="n">
        <f aca="false">F25+IF(F20=1,IF(F27=0,0,$B$17/F27*F26),0)</f>
        <v>249999.459488676</v>
      </c>
      <c r="G35" s="10" t="n">
        <f aca="false">G25+IF(G20=1,IF(G27=0,0,$B$17/G27*G26),0)</f>
        <v>624998.648721691</v>
      </c>
    </row>
    <row r="36" customFormat="false" ht="15" hidden="false" customHeight="false" outlineLevel="0" collapsed="false">
      <c r="A36" s="15" t="s">
        <v>167</v>
      </c>
      <c r="C36" s="17" t="n">
        <f aca="false">SUM(C30:C35)</f>
        <v>100000</v>
      </c>
      <c r="D36" s="17" t="n">
        <f aca="false">SUM(D30:D35)</f>
        <v>250000</v>
      </c>
      <c r="E36" s="17" t="n">
        <f aca="false">SUM(E30:E35)</f>
        <v>500000</v>
      </c>
      <c r="F36" s="17" t="n">
        <f aca="false">SUM(F30:F35)</f>
        <v>1000000</v>
      </c>
      <c r="G36" s="17" t="n">
        <f aca="false">SUM(G30:G35)</f>
        <v>2500000</v>
      </c>
    </row>
    <row r="37" customFormat="false" ht="15" hidden="false" customHeight="false" outlineLevel="0" collapsed="false">
      <c r="A37" s="8" t="s">
        <v>168</v>
      </c>
      <c r="C37" s="10" t="n">
        <f aca="false">ROUND(C36-C6,0)</f>
        <v>0</v>
      </c>
      <c r="D37" s="10" t="n">
        <f aca="false">ROUND(D36-D6,0)</f>
        <v>0</v>
      </c>
      <c r="E37" s="10" t="n">
        <f aca="false">ROUND(E36-E6,0)</f>
        <v>0</v>
      </c>
      <c r="F37" s="10" t="n">
        <f aca="false">ROUND(F36-F6,0)</f>
        <v>0</v>
      </c>
      <c r="G37" s="10" t="n">
        <f aca="false">ROUND(G36-G6,0)</f>
        <v>0</v>
      </c>
    </row>
    <row r="38" customFormat="false" ht="15" hidden="false" customHeight="false" outlineLevel="0" collapsed="false">
      <c r="A38" s="15" t="s">
        <v>169</v>
      </c>
      <c r="C38" s="17" t="n">
        <f aca="false">SUM(C30:C32)</f>
        <v>28827.2498227124</v>
      </c>
      <c r="D38" s="17" t="n">
        <f aca="false">SUM(D30:D32)</f>
        <v>108102.264742446</v>
      </c>
      <c r="E38" s="17" t="n">
        <f aca="false">SUM(E30:E32)</f>
        <v>216204.529484893</v>
      </c>
      <c r="F38" s="17" t="n">
        <f aca="false">SUM(F30:F32)</f>
        <v>432409.058969785</v>
      </c>
      <c r="G38" s="17" t="n">
        <f aca="false">SUM(G30:G32)</f>
        <v>1081022.64742446</v>
      </c>
    </row>
    <row r="39" customFormat="false" ht="15" hidden="false" customHeight="false" outlineLevel="0" collapsed="false">
      <c r="B39" s="44" t="s">
        <v>170</v>
      </c>
    </row>
    <row r="40" customFormat="false" ht="15" hidden="false" customHeight="false" outlineLevel="0" collapsed="false">
      <c r="A40" s="8" t="s">
        <v>171</v>
      </c>
      <c r="B40" s="21" t="n">
        <f aca="false">Inputs!C26+Inputs!B29</f>
        <v>12000</v>
      </c>
      <c r="C40" s="45" t="n">
        <f aca="false">IF($B$40=0,0,C34/$B$40)</f>
        <v>1.0977296618948</v>
      </c>
      <c r="D40" s="45" t="n">
        <f aca="false">IF($B$40=0,0,D34/$B$40)</f>
        <v>4.11648919878205</v>
      </c>
      <c r="E40" s="45" t="n">
        <f aca="false">IF($B$40=0,0,E34/$B$40)</f>
        <v>8.2329783975641</v>
      </c>
      <c r="F40" s="45" t="n">
        <f aca="false">IF($B$40=0,0,F34/$B$40)</f>
        <v>16.4659567951282</v>
      </c>
      <c r="G40" s="45" t="n">
        <f aca="false">IF($B$40=0,0,G34/$B$40)</f>
        <v>41.1648919878205</v>
      </c>
    </row>
    <row r="41" customFormat="false" ht="15" hidden="false" customHeight="false" outlineLevel="0" collapsed="false">
      <c r="A41" s="8" t="s">
        <v>172</v>
      </c>
      <c r="B41" s="21" t="n">
        <f aca="false">IF(Inputs!B36=1,Inputs!B37,0)</f>
        <v>50000</v>
      </c>
      <c r="C41" s="45" t="n">
        <f aca="false">IF($B$41=0,0,C35/$B$41)</f>
        <v>1</v>
      </c>
      <c r="D41" s="45" t="n">
        <f aca="false">IF($B$41=0,0,D35/$B$41)</f>
        <v>1.24999729744338</v>
      </c>
      <c r="E41" s="45" t="n">
        <f aca="false">IF($B$41=0,0,E35/$B$41)</f>
        <v>2.49999459488676</v>
      </c>
      <c r="F41" s="45" t="n">
        <f aca="false">IF($B$41=0,0,F35/$B$41)</f>
        <v>4.99998918977353</v>
      </c>
      <c r="G41" s="45" t="n">
        <f aca="false">IF($B$41=0,0,G35/$B$41)</f>
        <v>12.4999729744338</v>
      </c>
    </row>
  </sheetData>
  <mergeCells count="1"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7" min="3" style="0" width="18"/>
  </cols>
  <sheetData>
    <row r="1" customFormat="false" ht="21.75" hidden="false" customHeight="true" outlineLevel="0" collapsed="false">
      <c r="A1" s="1" t="s">
        <v>173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7" t="s">
        <v>1</v>
      </c>
    </row>
    <row r="4" customFormat="false" ht="15" hidden="false" customHeight="false" outlineLevel="0" collapsed="false">
      <c r="A4" s="5" t="s">
        <v>174</v>
      </c>
      <c r="B4" s="6"/>
      <c r="C4" s="6"/>
      <c r="D4" s="6"/>
      <c r="E4" s="6"/>
      <c r="F4" s="6"/>
      <c r="G4" s="6"/>
    </row>
    <row r="5" customFormat="false" ht="15" hidden="false" customHeight="false" outlineLevel="0" collapsed="false">
      <c r="A5" s="8" t="s">
        <v>175</v>
      </c>
      <c r="B5" s="25" t="n">
        <f aca="false">Inputs!C26+Inputs!B29+IF(Inputs!B36=1,Inputs!B37,0)</f>
        <v>62000</v>
      </c>
    </row>
    <row r="6" customFormat="false" ht="15" hidden="false" customHeight="false" outlineLevel="0" collapsed="false">
      <c r="A6" s="8" t="s">
        <v>176</v>
      </c>
      <c r="B6" s="25" t="n">
        <f aca="false">IF(Inputs!B36=1,Inputs!B39,Inputs!B31)</f>
        <v>200000</v>
      </c>
    </row>
    <row r="7" customFormat="false" ht="15" hidden="false" customHeight="false" outlineLevel="0" collapsed="false">
      <c r="A7" s="8" t="s">
        <v>177</v>
      </c>
      <c r="B7" s="39" t="n">
        <f aca="false">SUM(Cap_Table!E27:E29)</f>
        <v>1</v>
      </c>
    </row>
    <row r="8" customFormat="false" ht="15" hidden="false" customHeight="false" outlineLevel="0" collapsed="false">
      <c r="A8" s="8" t="s">
        <v>178</v>
      </c>
      <c r="B8" s="39" t="n">
        <f aca="false">SUM(Cap_Table!I27:I29)</f>
        <v>0.603999685920163</v>
      </c>
    </row>
    <row r="9" customFormat="false" ht="15" hidden="false" customHeight="false" outlineLevel="0" collapsed="false">
      <c r="A9" s="8" t="s">
        <v>179</v>
      </c>
      <c r="B9" s="39" t="n">
        <f aca="false">SUM(Cap_Table!K27:K29)</f>
        <v>0.432409058969785</v>
      </c>
    </row>
    <row r="10" customFormat="false" ht="15" hidden="false" customHeight="false" outlineLevel="0" collapsed="false">
      <c r="A10" s="8" t="s">
        <v>180</v>
      </c>
      <c r="B10" s="39" t="n">
        <f aca="false">Cap_Table!K30</f>
        <v>0.12</v>
      </c>
    </row>
    <row r="11" customFormat="false" ht="15" hidden="false" customHeight="false" outlineLevel="0" collapsed="false">
      <c r="A11" s="8" t="s">
        <v>181</v>
      </c>
      <c r="B11" s="39" t="n">
        <f aca="false">SUM(Cap_Table!I31:I33)</f>
        <v>0.0760012804793342</v>
      </c>
    </row>
    <row r="12" customFormat="false" ht="15" hidden="false" customHeight="false" outlineLevel="0" collapsed="false">
      <c r="A12" s="8" t="s">
        <v>182</v>
      </c>
      <c r="B12" s="25" t="n">
        <f aca="false">Cap_Table!J36</f>
        <v>462525</v>
      </c>
    </row>
    <row r="13" customFormat="false" ht="15" hidden="false" customHeight="false" outlineLevel="0" collapsed="false">
      <c r="A13" s="8" t="s">
        <v>183</v>
      </c>
      <c r="B13" s="46" t="n">
        <f aca="false">IF(Cap_Table!B16=0,0,IF(Cap_Table!B23=0,0,Cap_Table!B23/Cap_Table!B16))</f>
        <v>2.86363518433638</v>
      </c>
    </row>
    <row r="15" customFormat="false" ht="15" hidden="false" customHeight="false" outlineLevel="0" collapsed="false">
      <c r="A15" s="5" t="s">
        <v>184</v>
      </c>
      <c r="B15" s="6"/>
      <c r="C15" s="6"/>
      <c r="D15" s="6"/>
      <c r="E15" s="6"/>
      <c r="F15" s="6"/>
      <c r="G15" s="6"/>
    </row>
    <row r="16" customFormat="false" ht="15" hidden="false" customHeight="false" outlineLevel="0" collapsed="false">
      <c r="A16" s="8" t="s">
        <v>185</v>
      </c>
      <c r="B16" s="39" t="n">
        <f aca="false">B8</f>
        <v>0.603999685920163</v>
      </c>
      <c r="C16" s="47" t="str">
        <f aca="false">IF(B8&gt;=0.6,"At or above 60%. Reasonable for a Seed round.","Below 60%. Later investors often worry that founders lose motivation.")</f>
        <v>At or above 60%. Reasonable for a Seed round.</v>
      </c>
      <c r="D16" s="47"/>
      <c r="E16" s="47"/>
      <c r="F16" s="47"/>
      <c r="G16" s="47"/>
    </row>
    <row r="17" customFormat="false" ht="15" hidden="false" customHeight="false" outlineLevel="0" collapsed="false">
      <c r="A17" s="8" t="s">
        <v>186</v>
      </c>
      <c r="B17" s="39" t="n">
        <f aca="false">Cap_Table!I30</f>
        <v>0.119999637600188</v>
      </c>
      <c r="C17" s="47" t="str">
        <f aca="false">IF(Cap_Table!I30&gt;=0.1,"At or above 10%.","Below 10%. Probably too small to hire key people.")</f>
        <v>At or above 10%.</v>
      </c>
      <c r="D17" s="47"/>
      <c r="E17" s="47"/>
      <c r="F17" s="47"/>
      <c r="G17" s="47"/>
    </row>
    <row r="18" customFormat="false" ht="15" hidden="false" customHeight="false" outlineLevel="0" collapsed="false">
      <c r="A18" s="8" t="s">
        <v>187</v>
      </c>
      <c r="B18" s="39" t="n">
        <f aca="false">B11</f>
        <v>0.0760012804793342</v>
      </c>
      <c r="C18" s="47" t="str">
        <f aca="false">IF(B11&lt;=0.25,"At or below 25%.","Above 25%. The SAFEs dilute too much; revisit the valuation caps.")</f>
        <v>At or below 25%.</v>
      </c>
      <c r="D18" s="47"/>
      <c r="E18" s="47"/>
      <c r="F18" s="47"/>
      <c r="G18" s="47"/>
    </row>
    <row r="19" customFormat="false" ht="15" hidden="false" customHeight="false" outlineLevel="0" collapsed="false">
      <c r="A19" s="8" t="s">
        <v>88</v>
      </c>
      <c r="B19" s="24" t="n">
        <f aca="false">Cap_Table!B12</f>
        <v>0.604</v>
      </c>
      <c r="C19" s="47" t="str">
        <f aca="false">IF(Cap_Table!B12&gt;0,"Above zero.","Zero or negative. The assumptions have no solution; lower the pool or raise the caps.")</f>
        <v>Above zero.</v>
      </c>
      <c r="D19" s="47"/>
      <c r="E19" s="47"/>
      <c r="F19" s="47"/>
      <c r="G19" s="47"/>
    </row>
    <row r="21" customFormat="false" ht="15" hidden="false" customHeight="false" outlineLevel="0" collapsed="false">
      <c r="A21" s="5" t="s">
        <v>188</v>
      </c>
      <c r="B21" s="6"/>
      <c r="C21" s="6"/>
      <c r="D21" s="6"/>
      <c r="E21" s="6"/>
      <c r="F21" s="6"/>
      <c r="G21" s="6"/>
    </row>
    <row r="22" customFormat="false" ht="30" hidden="false" customHeight="true" outlineLevel="0" collapsed="false">
      <c r="A22" s="11" t="s">
        <v>189</v>
      </c>
      <c r="B22" s="11" t="s">
        <v>136</v>
      </c>
      <c r="C22" s="11" t="s">
        <v>137</v>
      </c>
      <c r="D22" s="11" t="s">
        <v>138</v>
      </c>
      <c r="E22" s="11" t="s">
        <v>139</v>
      </c>
    </row>
    <row r="23" customFormat="false" ht="15" hidden="false" customHeight="false" outlineLevel="0" collapsed="false">
      <c r="A23" s="35" t="str">
        <f aca="false">Dilution!A9</f>
        <v>Founders</v>
      </c>
      <c r="B23" s="36" t="n">
        <f aca="false">Dilution!B9</f>
        <v>1</v>
      </c>
      <c r="C23" s="36" t="n">
        <f aca="false">Dilution!C9</f>
        <v>0.9000009000009</v>
      </c>
      <c r="D23" s="36" t="n">
        <f aca="false">Dilution!D9</f>
        <v>0.603999685920163</v>
      </c>
      <c r="E23" s="36" t="n">
        <f aca="false">Dilution!E9</f>
        <v>0.432409058969785</v>
      </c>
    </row>
    <row r="24" customFormat="false" ht="15" hidden="false" customHeight="false" outlineLevel="0" collapsed="false">
      <c r="A24" s="35" t="str">
        <f aca="false">Dilution!A10</f>
        <v>Option pool</v>
      </c>
      <c r="B24" s="36" t="n">
        <f aca="false">Dilution!B10</f>
        <v>0</v>
      </c>
      <c r="C24" s="36" t="n">
        <f aca="false">Dilution!C10</f>
        <v>0.0999990999991</v>
      </c>
      <c r="D24" s="36" t="n">
        <f aca="false">Dilution!D10</f>
        <v>0.119999637600188</v>
      </c>
      <c r="E24" s="36" t="n">
        <f aca="false">Dilution!E10</f>
        <v>0.12</v>
      </c>
    </row>
    <row r="25" customFormat="false" ht="15" hidden="false" customHeight="false" outlineLevel="0" collapsed="false">
      <c r="A25" s="35" t="str">
        <f aca="false">Dilution!A11</f>
        <v>SAFE holders</v>
      </c>
      <c r="B25" s="36" t="n">
        <f aca="false">Dilution!B11</f>
        <v>0</v>
      </c>
      <c r="C25" s="36" t="n">
        <f aca="false">Dilution!C11</f>
        <v>0</v>
      </c>
      <c r="D25" s="36" t="n">
        <f aca="false">Dilution!D11</f>
        <v>0.0760012804793342</v>
      </c>
      <c r="E25" s="36" t="n">
        <f aca="false">Dilution!E11</f>
        <v>0.0544100318901681</v>
      </c>
    </row>
    <row r="26" customFormat="false" ht="15" hidden="false" customHeight="false" outlineLevel="0" collapsed="false">
      <c r="A26" s="35" t="str">
        <f aca="false">Dilution!A12</f>
        <v>Seed investors</v>
      </c>
      <c r="B26" s="36" t="n">
        <f aca="false">Dilution!B12</f>
        <v>0</v>
      </c>
      <c r="C26" s="36" t="n">
        <f aca="false">Dilution!C12</f>
        <v>0</v>
      </c>
      <c r="D26" s="36" t="n">
        <f aca="false">Dilution!D12</f>
        <v>0.199999396000314</v>
      </c>
      <c r="E26" s="36" t="n">
        <f aca="false">Dilution!E12</f>
        <v>0.14318144965137</v>
      </c>
    </row>
    <row r="27" customFormat="false" ht="15" hidden="false" customHeight="false" outlineLevel="0" collapsed="false">
      <c r="A27" s="35" t="str">
        <f aca="false">Dilution!A13</f>
        <v>Series A investors</v>
      </c>
      <c r="B27" s="36" t="n">
        <f aca="false">Dilution!B13</f>
        <v>0</v>
      </c>
      <c r="C27" s="36" t="n">
        <f aca="false">Dilution!C13</f>
        <v>0</v>
      </c>
      <c r="D27" s="36" t="n">
        <f aca="false">Dilution!D13</f>
        <v>0</v>
      </c>
      <c r="E27" s="36" t="n">
        <f aca="false">Dilution!E13</f>
        <v>0.249999459488676</v>
      </c>
    </row>
    <row r="29" customFormat="false" ht="30" hidden="false" customHeight="true" outlineLevel="0" collapsed="false">
      <c r="A29" s="11" t="s">
        <v>77</v>
      </c>
      <c r="B29" s="11" t="s">
        <v>190</v>
      </c>
      <c r="C29" s="11" t="s">
        <v>191</v>
      </c>
      <c r="D29" s="11" t="s">
        <v>192</v>
      </c>
      <c r="E29" s="11" t="s">
        <v>193</v>
      </c>
      <c r="F29" s="11" t="s">
        <v>194</v>
      </c>
    </row>
    <row r="30" customFormat="false" ht="15" hidden="false" customHeight="false" outlineLevel="0" collapsed="false">
      <c r="A30" s="8" t="s">
        <v>169</v>
      </c>
      <c r="B30" s="21" t="n">
        <f aca="false">Exit_Waterfall!C38</f>
        <v>28827.2498227124</v>
      </c>
      <c r="C30" s="21" t="n">
        <f aca="false">Exit_Waterfall!D38</f>
        <v>108102.264742446</v>
      </c>
      <c r="D30" s="21" t="n">
        <f aca="false">Exit_Waterfall!E38</f>
        <v>216204.529484893</v>
      </c>
      <c r="E30" s="21" t="n">
        <f aca="false">Exit_Waterfall!F38</f>
        <v>432409.058969785</v>
      </c>
      <c r="F30" s="21" t="n">
        <f aca="false">Exit_Waterfall!G38</f>
        <v>1081022.64742446</v>
      </c>
    </row>
    <row r="31" customFormat="false" ht="15" hidden="false" customHeight="false" outlineLevel="0" collapsed="false">
      <c r="A31" s="8" t="s">
        <v>77</v>
      </c>
      <c r="B31" s="21" t="n">
        <f aca="false">Exit_Waterfall!C6</f>
        <v>100000</v>
      </c>
      <c r="C31" s="21" t="n">
        <f aca="false">Exit_Waterfall!D6</f>
        <v>250000</v>
      </c>
      <c r="D31" s="21" t="n">
        <f aca="false">Exit_Waterfall!E6</f>
        <v>500000</v>
      </c>
      <c r="E31" s="21" t="n">
        <f aca="false">Exit_Waterfall!F6</f>
        <v>1000000</v>
      </c>
      <c r="F31" s="21" t="n">
        <f aca="false">Exit_Waterfall!G6</f>
        <v>2500000</v>
      </c>
    </row>
  </sheetData>
  <mergeCells count="4">
    <mergeCell ref="C16:G16"/>
    <mergeCell ref="C17:G17"/>
    <mergeCell ref="C18:G18"/>
    <mergeCell ref="C19:G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0"/>
    <col collapsed="false" customWidth="true" hidden="false" outlineLevel="0" max="3" min="3" style="0" width="14"/>
  </cols>
  <sheetData>
    <row r="1" customFormat="false" ht="21.75" hidden="false" customHeight="true" outlineLevel="0" collapsed="false">
      <c r="A1" s="1" t="s">
        <v>195</v>
      </c>
      <c r="B1" s="2"/>
      <c r="C1" s="2"/>
    </row>
    <row r="3" customFormat="false" ht="30" hidden="false" customHeight="true" outlineLevel="0" collapsed="false">
      <c r="A3" s="11" t="s">
        <v>196</v>
      </c>
      <c r="B3" s="11" t="s">
        <v>197</v>
      </c>
      <c r="C3" s="11" t="s">
        <v>198</v>
      </c>
    </row>
    <row r="4" customFormat="false" ht="15" hidden="false" customHeight="false" outlineLevel="0" collapsed="false">
      <c r="A4" s="27" t="s">
        <v>199</v>
      </c>
      <c r="B4" s="41" t="n">
        <f aca="false">Inputs!D14</f>
        <v>1</v>
      </c>
      <c r="C4" s="48" t="str">
        <f aca="false">IF(ABS(B4-1)&lt;0.0001,"PASS","FAIL")</f>
        <v>PASS</v>
      </c>
    </row>
    <row r="5" customFormat="false" ht="15" hidden="false" customHeight="false" outlineLevel="0" collapsed="false">
      <c r="A5" s="27" t="s">
        <v>200</v>
      </c>
      <c r="B5" s="41" t="n">
        <f aca="false">Cap_Table!E36</f>
        <v>1</v>
      </c>
      <c r="C5" s="48" t="str">
        <f aca="false">IF(ABS(B5-1)&lt;0.0001,"PASS","FAIL")</f>
        <v>PASS</v>
      </c>
    </row>
    <row r="6" customFormat="false" ht="15" hidden="false" customHeight="false" outlineLevel="0" collapsed="false">
      <c r="A6" s="27" t="s">
        <v>201</v>
      </c>
      <c r="B6" s="41" t="n">
        <f aca="false">Cap_Table!I36</f>
        <v>1</v>
      </c>
      <c r="C6" s="48" t="str">
        <f aca="false">IF(ABS(B6-1)&lt;0.0001,"PASS","FAIL")</f>
        <v>PASS</v>
      </c>
    </row>
    <row r="7" customFormat="false" ht="15" hidden="false" customHeight="false" outlineLevel="0" collapsed="false">
      <c r="A7" s="27" t="s">
        <v>202</v>
      </c>
      <c r="B7" s="41" t="n">
        <f aca="false">Cap_Table!K36</f>
        <v>1</v>
      </c>
      <c r="C7" s="48" t="str">
        <f aca="false">IF(ABS(B7-1)&lt;0.0001,"PASS","FAIL")</f>
        <v>PASS</v>
      </c>
    </row>
    <row r="8" customFormat="false" ht="15" hidden="false" customHeight="false" outlineLevel="0" collapsed="false">
      <c r="A8" s="27" t="s">
        <v>203</v>
      </c>
      <c r="B8" s="49" t="n">
        <f aca="false">Cap_Table!B12</f>
        <v>0.604</v>
      </c>
      <c r="C8" s="48" t="str">
        <f aca="false">IF(B8&gt;0,"PASS","FAIL")</f>
        <v>PASS</v>
      </c>
    </row>
    <row r="9" customFormat="false" ht="15" hidden="false" customHeight="false" outlineLevel="0" collapsed="false">
      <c r="A9" s="27" t="s">
        <v>204</v>
      </c>
      <c r="B9" s="28" t="n">
        <f aca="false">Cap_Table!B14-Cap_Table!B5</f>
        <v>17513</v>
      </c>
      <c r="C9" s="48" t="str">
        <f aca="false">IF(B9&gt;=0,"PASS","FAIL")</f>
        <v>PASS</v>
      </c>
    </row>
    <row r="10" customFormat="false" ht="15" hidden="false" customHeight="false" outlineLevel="0" collapsed="false">
      <c r="A10" s="27" t="s">
        <v>205</v>
      </c>
      <c r="B10" s="50" t="n">
        <f aca="false">SUMPRODUCT((Inputs!C23:C25&gt;0)*(Inputs!D23:D25=0))</f>
        <v>0</v>
      </c>
      <c r="C10" s="48" t="str">
        <f aca="false">IF(B10=0,"PASS","FAIL")</f>
        <v>PASS</v>
      </c>
    </row>
    <row r="11" customFormat="false" ht="15" hidden="false" customHeight="false" outlineLevel="0" collapsed="false">
      <c r="A11" s="27" t="s">
        <v>206</v>
      </c>
      <c r="B11" s="28" t="n">
        <f aca="false">MIN(Cap_Table!D27:D35,Cap_Table!F27:F35,Cap_Table!H27:H35,Cap_Table!J27:J35)</f>
        <v>0</v>
      </c>
      <c r="C11" s="48" t="str">
        <f aca="false">IF(B11&gt;=0,"PASS","FAIL")</f>
        <v>PASS</v>
      </c>
    </row>
    <row r="12" customFormat="false" ht="15" hidden="false" customHeight="false" outlineLevel="0" collapsed="false">
      <c r="A12" s="27" t="s">
        <v>207</v>
      </c>
      <c r="B12" s="28" t="n">
        <f aca="false">SUM(Exit_Waterfall!C37:G37)</f>
        <v>0</v>
      </c>
      <c r="C12" s="48" t="str">
        <f aca="false">IF(ABS(B12)&lt;1,"PASS","FAIL")</f>
        <v>PASS</v>
      </c>
    </row>
    <row r="13" customFormat="false" ht="15" hidden="false" customHeight="false" outlineLevel="0" collapsed="false">
      <c r="A13" s="27" t="s">
        <v>208</v>
      </c>
      <c r="B13" s="50" t="n">
        <f aca="false">Inputs!B43-Inputs!B44</f>
        <v>36</v>
      </c>
      <c r="C13" s="48" t="str">
        <f aca="false">IF(B13&gt;=0,"PASS","FAIL")</f>
        <v>PASS</v>
      </c>
    </row>
    <row r="15" customFormat="false" ht="15" hidden="false" customHeight="false" outlineLevel="0" collapsed="false">
      <c r="A15" s="15" t="s">
        <v>209</v>
      </c>
      <c r="C15" s="15" t="str">
        <f aca="false">IF(COUNTIF(C4:C13,"FAIL")=0,"PASS","FAIL")</f>
        <v>PASS</v>
      </c>
    </row>
    <row r="16" customFormat="false" ht="15" hidden="false" customHeight="false" outlineLevel="0" collapsed="false">
      <c r="A16" s="19" t="str">
        <f aca="false">IF(C15="PASS","Every check passes.","Something failed; see the lines above.")</f>
        <v>Every check passes.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2026-09-21T02:02:23Z</dcterms:created>
  <dc:creator>openpyxl</dc:creator>
  <dc:description/>
  <dc:language>en-US</dc:language>
  <cp:lastModifiedBy/>
  <dcterms:modified xsi:type="dcterms:W3CDTF">2026-09-21T02:02:26Z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