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G:\Drives compartilhados\i4Brasil   Projetos\01. Clientes\PR 016 - POLO CUESTA\3. ECONÔMICO\ETAPA 03. RELATÓRIOS DE VIABILIDADE\Versão 2\"/>
    </mc:Choice>
  </mc:AlternateContent>
  <xr:revisionPtr revIDLastSave="0" documentId="13_ncr:1_{00398372-50EC-486F-9D7C-1A4B3D0515C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ainel" sheetId="18" r:id="rId1"/>
    <sheet name="Consolidado" sheetId="33" r:id="rId2"/>
    <sheet name="AR" sheetId="20" r:id="rId3"/>
    <sheet name="BT" sheetId="24" r:id="rId4"/>
    <sheet name="PA" sheetId="27" r:id="rId5"/>
    <sheet name="PR" sheetId="31" r:id="rId6"/>
    <sheet name="SM" sheetId="32" r:id="rId7"/>
    <sheet name="Fluxo Rateio" sheetId="5" r:id="rId8"/>
    <sheet name="ramp-up" sheetId="4" r:id="rId9"/>
    <sheet name="WACC" sheetId="2" r:id="rId10"/>
    <sheet name="Cronograma Físico-Financeiro" sheetId="3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_______NEW2">{"'RATEIO RECEITA BRUTA'!$B$77:$C$106"}</definedName>
    <definedName name="____adm1">{"'Índice'!$A$1:$K$49"}</definedName>
    <definedName name="____adm2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adm1">{"'Índice'!$A$1:$K$49"}</definedName>
    <definedName name="___adm2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xlfn.IFERROR">#NAME?</definedName>
    <definedName name="___xlfn.RTD">#NAME?</definedName>
    <definedName name="__1__123Graph_ACHART_1">[1]Sum!#REF!</definedName>
    <definedName name="__123Graph_A">[2]Assum!$B$12:$B$19</definedName>
    <definedName name="__123Graph_ASIDECO">#REF!</definedName>
    <definedName name="__123Graph_B">[2]Assum!$C$12:$C$19</definedName>
    <definedName name="__123Graph_BGAS">[3]Detail!#REF!</definedName>
    <definedName name="__123Graph_BSIDECO">#REF!</definedName>
    <definedName name="__123Graph_C">[2]Assum!$D$12:$D$19</definedName>
    <definedName name="__123Graph_CSIDECO">#REF!</definedName>
    <definedName name="__123Graph_D">[2]Assum!$E$12:$E$19</definedName>
    <definedName name="__123Graph_E">[2]Assum!$F$12:$F$19</definedName>
    <definedName name="__123Graph_XSIDECO">#REF!</definedName>
    <definedName name="__2__123Graph_ACHART_2">[1]Sum!#REF!</definedName>
    <definedName name="__3__123Graph_LBL_ACHART_1">[1]Sum!#REF!</definedName>
    <definedName name="__4__123Graph_LBL_ACHART_2">[1]Sum!#REF!</definedName>
    <definedName name="__5__123Graph_XCHART_1">[1]Sum!#REF!</definedName>
    <definedName name="__6__123Graph_XCHART_2">[1]Sum!#REF!</definedName>
    <definedName name="__adm1">{"'Índice'!$A$1:$K$49"}</definedName>
    <definedName name="__adm2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FDS_HYPERLINK_TOGGLE_STATE__">"ON"</definedName>
    <definedName name="__xlfn.IFERROR">#NAME?</definedName>
    <definedName name="__xlfn.RTD">#NAME?</definedName>
    <definedName name="_1___123Graph_ACHART_1">[1]Sum!#REF!</definedName>
    <definedName name="_1__123Graph_ACHART_1">[1]Sum!#REF!</definedName>
    <definedName name="_10__123Graph_LBL_ACHART_2">[1]Sum!#REF!</definedName>
    <definedName name="_11__123Graph_XCHART_1">[1]Sum!#REF!</definedName>
    <definedName name="_12___123Graph_LBL_ACHART_2">[1]Sum!#REF!</definedName>
    <definedName name="_12__123Graph_XCHART_2">[1]Sum!#REF!</definedName>
    <definedName name="_15___123Graph_XCHART_1">[1]Sum!#REF!</definedName>
    <definedName name="_18___123Graph_XCHART_2">[1]Sum!#REF!</definedName>
    <definedName name="_2___123Graph_ACHART_2">[1]Sum!#REF!</definedName>
    <definedName name="_2__123Graph_ACHART_2">[1]Sum!#REF!</definedName>
    <definedName name="_21__123Graph_ACHART_1">[1]Sum!#REF!</definedName>
    <definedName name="_24__123Graph_ACHART_2">[1]Sum!#REF!</definedName>
    <definedName name="_27__123Graph_LBL_ACHART_1">[1]Sum!#REF!</definedName>
    <definedName name="_3___123Graph_ACHART_1">[1]Sum!#REF!</definedName>
    <definedName name="_3___123Graph_LBL_ACHART_1">[1]Sum!#REF!</definedName>
    <definedName name="_3__123Graph_LBL_ACHART_1">[1]Sum!#REF!</definedName>
    <definedName name="_30__123Graph_LBL_ACHART_2">[1]Sum!#REF!</definedName>
    <definedName name="_33__123Graph_XCHART_1">[1]Sum!#REF!</definedName>
    <definedName name="_36__123Graph_XCHART_2">[1]Sum!#REF!</definedName>
    <definedName name="_4___123Graph_LBL_ACHART_2">[1]Sum!#REF!</definedName>
    <definedName name="_4__123Graph_LBL_ACHART_2">[1]Sum!#REF!</definedName>
    <definedName name="_4Excel_BuiltIn_Print_Titles_17_1">'[4]rev int TP'!$A$1:$B$65536,'[4]rev int TP'!$A$1:$IV$6</definedName>
    <definedName name="_5___123Graph_XCHART_1">[1]Sum!#REF!</definedName>
    <definedName name="_5__123Graph_XCHART_1">[1]Sum!#REF!</definedName>
    <definedName name="_6___123Graph_ACHART_2">[1]Sum!#REF!</definedName>
    <definedName name="_6___123Graph_XCHART_2">[1]Sum!#REF!</definedName>
    <definedName name="_6__123Graph_XCHART_2">[1]Sum!#REF!</definedName>
    <definedName name="_7__123Graph_ACHART_1">[1]Sum!#REF!</definedName>
    <definedName name="_72__123Graph_ACHART_1">[1]Sum!#REF!</definedName>
    <definedName name="_73__123Graph_ACHART_2">[1]Sum!#REF!</definedName>
    <definedName name="_76__123Graph_LBL_ACHART_1">[1]Sum!#REF!</definedName>
    <definedName name="_77__123Graph_LBL_ACHART_2">[1]Sum!#REF!</definedName>
    <definedName name="_8__123Graph_ACHART_2">[1]Sum!#REF!</definedName>
    <definedName name="_80__123Graph_XCHART_1">[1]Sum!#REF!</definedName>
    <definedName name="_81__123Graph_XCHART_2">[1]Sum!#REF!</definedName>
    <definedName name="_9___123Graph_LBL_ACHART_1">[1]Sum!#REF!</definedName>
    <definedName name="_9__123Graph_LBL_ACHART_1">[1]Sum!#REF!</definedName>
    <definedName name="_adm1">{"'Índice'!$A$1:$K$49"}</definedName>
    <definedName name="_adm2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bdm.3F011716051B4FEEAD434DAF7429A66C.edm">#REF!</definedName>
    <definedName name="_bdm.88CC4E1D12694638BB763E7B3B3E920B.edm">[5]Cover!$A$1:$IV$65536</definedName>
    <definedName name="_bdm.E8CF0219824446BFB78BED17CACAE78D.edm">'[5]Output PPT'!$A$1:$IV$65536</definedName>
    <definedName name="_Dist_Bin">#REF!</definedName>
    <definedName name="_Dist_Values">#REF!</definedName>
    <definedName name="_Fill">[6]九九年各月!$A$37:$A$49</definedName>
    <definedName name="_fill1">#REF!</definedName>
    <definedName name="_Key1">#REF!</definedName>
    <definedName name="_Key2">[7]Sales!$B$5</definedName>
    <definedName name="_MA0001">#REF!</definedName>
    <definedName name="_MatInverse_In">#REF!</definedName>
    <definedName name="_MatMult_A">#REF!</definedName>
    <definedName name="_MDO2">[8]INSUMOS!$C$6</definedName>
    <definedName name="_MO0001">#REF!</definedName>
    <definedName name="_MO0002">#REF!</definedName>
    <definedName name="_MO0003">#REF!</definedName>
    <definedName name="_MO0004">#REF!</definedName>
    <definedName name="_NEW2">{"'RATEIO RECEITA BRUTA'!$B$77:$C$106"}</definedName>
    <definedName name="_Order1">255</definedName>
    <definedName name="_Order2">255</definedName>
    <definedName name="_Regression_Int">1</definedName>
    <definedName name="_Regression_Out">#REF!</definedName>
    <definedName name="_Regression_X">#REF!</definedName>
    <definedName name="_Regression_Y">#REF!</definedName>
    <definedName name="_Sort">#REF!</definedName>
    <definedName name="_Table1_In1">#REF!</definedName>
    <definedName name="_Table1_Out">#REF!</definedName>
    <definedName name="_Table2_In1">#REF!</definedName>
    <definedName name="_Table2_In2">#REF!</definedName>
    <definedName name="_Table2_Out">#REF!</definedName>
    <definedName name="_Table3_In2">#REF!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bc">{"key inputs",#N/A,TRUE,"Key Inputs";"key outputs",#N/A,TRUE,"Outputs";"Other inputs",#N/A,TRUE,"Other Inputs";"Revenue",#N/A,TRUE,"Rev"}</definedName>
    <definedName name="AccessDatabase">"C:\Documents and Settings\JPMELLO\Meus documentos\ARQUIVOS 2004\MONITORAMENTO OAC\Monitoramento de OAC.mdb"</definedName>
    <definedName name="ADPOFJPDAFOK">{"'RATEIO RECEITA BRUTA'!$B$77:$C$106"}</definedName>
    <definedName name="amortizaciones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anscount">3</definedName>
    <definedName name="AS">#REF!</definedName>
    <definedName name="AS2DocOpenMode">"AS2DocumentEdit"</definedName>
    <definedName name="AS2ReportLS">1</definedName>
    <definedName name="AS2SyncStepLS">0</definedName>
    <definedName name="AS2VersionLS">300</definedName>
    <definedName name="asd">{"key inputs",#N/A,FALSE,"Key Inputs";"key outputs",#N/A,FALSE,"Outputs";"Other inputs",#N/A,FALSE,"Other Inputs";"cashflow",#N/A,FALSE,"Statemnts"}</definedName>
    <definedName name="Assumptios2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TI">[9]April!$C$70:$C$81</definedName>
    <definedName name="balance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BG_Del">15</definedName>
    <definedName name="BG_Ins">4</definedName>
    <definedName name="BG_Mod">6</definedName>
    <definedName name="BLANK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PH1">#REF!</definedName>
    <definedName name="BLPH10">#REF!</definedName>
    <definedName name="BLPH100">#REF!</definedName>
    <definedName name="BLPH101">#REF!</definedName>
    <definedName name="BLPH102">#REF!</definedName>
    <definedName name="BLPH103">#REF!</definedName>
    <definedName name="BLPH104">#REF!</definedName>
    <definedName name="BLPH105">#REF!</definedName>
    <definedName name="BLPH106">#REF!</definedName>
    <definedName name="BLPH107">#REF!</definedName>
    <definedName name="BLPH108">#REF!</definedName>
    <definedName name="BLPH109">#REF!</definedName>
    <definedName name="BLPH11">#REF!</definedName>
    <definedName name="BLPH110">#REF!</definedName>
    <definedName name="BLPH111">#REF!</definedName>
    <definedName name="BLPH112">#REF!</definedName>
    <definedName name="BLPH12">#REF!</definedName>
    <definedName name="BLPH13">#REF!</definedName>
    <definedName name="BLPH14">[10]market!$AI$12</definedName>
    <definedName name="BLPH15">#REF!</definedName>
    <definedName name="BLPH2">#REF!</definedName>
    <definedName name="BLPH3">#REF!</definedName>
    <definedName name="BLPH4">#REF!</definedName>
    <definedName name="BLPH5">#REF!</definedName>
    <definedName name="BLPH6">#REF!</definedName>
    <definedName name="BLPH7">[11]Performance!$T$6</definedName>
    <definedName name="BLPH74">#REF!</definedName>
    <definedName name="BLPH75">#REF!</definedName>
    <definedName name="BLPH76">#REF!</definedName>
    <definedName name="BLPH77">#REF!</definedName>
    <definedName name="BLPH78">#REF!</definedName>
    <definedName name="BLPH79">#REF!</definedName>
    <definedName name="BLPH8">[11]Performance!$AB$6</definedName>
    <definedName name="BLPH80">#REF!</definedName>
    <definedName name="BLPH81">#REF!</definedName>
    <definedName name="BLPH82">#REF!</definedName>
    <definedName name="BLPH83">#REF!</definedName>
    <definedName name="BLPH84">#REF!</definedName>
    <definedName name="BLPH85">#REF!</definedName>
    <definedName name="BLPH86">#REF!</definedName>
    <definedName name="BLPH87">#REF!</definedName>
    <definedName name="BLPH88">#REF!</definedName>
    <definedName name="BLPH89">#REF!</definedName>
    <definedName name="BLPH9">[11]Performance!$X$6</definedName>
    <definedName name="BLPH90">#REF!</definedName>
    <definedName name="BLPH91">#REF!</definedName>
    <definedName name="BLPH92">#REF!</definedName>
    <definedName name="BLPH93">#REF!</definedName>
    <definedName name="BLPH94">#REF!</definedName>
    <definedName name="BLPH95">#REF!</definedName>
    <definedName name="BLPH96">#REF!</definedName>
    <definedName name="BLPH97">#REF!</definedName>
    <definedName name="BLPH98">#REF!</definedName>
    <definedName name="BLPH99">#REF!</definedName>
    <definedName name="BLPI1">[11]Performance!$B$8</definedName>
    <definedName name="BLPI3">[11]Performance!$F$8</definedName>
    <definedName name="BLPI4">#REF!</definedName>
    <definedName name="BLPI5">#REF!</definedName>
    <definedName name="BROWN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BWorkbookPriority">-471789682</definedName>
    <definedName name="cc">{"'CONS'!$A$10:$N$62"}</definedName>
    <definedName name="Change">#REF!</definedName>
    <definedName name="Change2">#REF!</definedName>
    <definedName name="Change3">#REF!</definedName>
    <definedName name="Change4">#REF!</definedName>
    <definedName name="ChangeRange">#REF!</definedName>
    <definedName name="ChangeRange2">#REF!</definedName>
    <definedName name="CIQWBGuid">"48cc5e84-8b8e-4259-b5a3-aac546284311"</definedName>
    <definedName name="Current">[0]!Header1-1 &amp; "." &amp; MAX(1,COUNTA(INDEX(#REF!,MATCH([0]!Header1-1,#REF!,FALSE)):#REF!))</definedName>
    <definedName name="d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depreciaciones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eudasmes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dfdfdfd">#REF!</definedName>
    <definedName name="ds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Encargos">[12]INFOR!$C$5</definedName>
    <definedName name="EPI">[12]INFOR!$C$4</definedName>
    <definedName name="ev.Calculation">-4135</definedName>
    <definedName name="ev.Initialized">FALSE</definedName>
    <definedName name="Excel_BuiltIn_Print_Titles_17_1_1_1">'[4]rev int TP'!$A$1:$B$65510,'[4]rev int TP'!$A$1:$IV$6</definedName>
    <definedName name="Excel_BuiltIn_Print_Titles_18_1">'[4]rev int TP'!$A$1:$B$65536,'[4]rev int TP'!$A$1:$IV$6</definedName>
    <definedName name="f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ATOR_K">[13]Manutenção!$O$2</definedName>
    <definedName name="FDD_0_0">"A30681"</definedName>
    <definedName name="FDD_0_1">"A31047"</definedName>
    <definedName name="FDD_0_10">"A34334"</definedName>
    <definedName name="FDD_0_11">"A34699"</definedName>
    <definedName name="FDD_0_12">"A35064"</definedName>
    <definedName name="FDD_0_13">"A35430"</definedName>
    <definedName name="FDD_0_14">"A35795"</definedName>
    <definedName name="FDD_0_2">"A31412"</definedName>
    <definedName name="FDD_0_3">"A31777"</definedName>
    <definedName name="FDD_0_4">"A32142"</definedName>
    <definedName name="FDD_0_5">"A32508"</definedName>
    <definedName name="FDD_0_6">"A32873"</definedName>
    <definedName name="FDD_0_7">"A33238"</definedName>
    <definedName name="FDD_0_8">"A33603"</definedName>
    <definedName name="FDD_0_9">"A33969"</definedName>
    <definedName name="FDD_1_0">"U25569"</definedName>
    <definedName name="FDD_10_0">"A25569"</definedName>
    <definedName name="FDD_100_0">"A25569"</definedName>
    <definedName name="FDD_101_0">"A25569"</definedName>
    <definedName name="FDD_102_0">"A25569"</definedName>
    <definedName name="FDD_103_0">"A25569"</definedName>
    <definedName name="FDD_104_0">"A25569"</definedName>
    <definedName name="FDD_105_0">"A25569"</definedName>
    <definedName name="FDD_106_0">"A25569"</definedName>
    <definedName name="FDD_107_0">"A25569"</definedName>
    <definedName name="FDD_108_0">"A25569"</definedName>
    <definedName name="FDD_109_0">"A25569"</definedName>
    <definedName name="FDD_11_0">"A25569"</definedName>
    <definedName name="FDD_110_0">"A25569"</definedName>
    <definedName name="FDD_111_0">"A25569"</definedName>
    <definedName name="FDD_112_0">"A25569"</definedName>
    <definedName name="FDD_113_0">"A25569"</definedName>
    <definedName name="FDD_114_0">"A25569"</definedName>
    <definedName name="FDD_115_0">"A25569"</definedName>
    <definedName name="FDD_116_0">"A25569"</definedName>
    <definedName name="FDD_117_0">"A30681"</definedName>
    <definedName name="FDD_117_1">"A31047"</definedName>
    <definedName name="FDD_117_10">"A34334"</definedName>
    <definedName name="FDD_117_11">"A34699"</definedName>
    <definedName name="FDD_117_12">"A35064"</definedName>
    <definedName name="FDD_117_13">"A35430"</definedName>
    <definedName name="FDD_117_14">"A35795"</definedName>
    <definedName name="FDD_117_2">"A31412"</definedName>
    <definedName name="FDD_117_3">"A31777"</definedName>
    <definedName name="FDD_117_4">"A32142"</definedName>
    <definedName name="FDD_117_5">"A32508"</definedName>
    <definedName name="FDD_117_6">"A32873"</definedName>
    <definedName name="FDD_117_7">"A33238"</definedName>
    <definedName name="FDD_117_8">"A33603"</definedName>
    <definedName name="FDD_117_9">"A33969"</definedName>
    <definedName name="FDD_118_0">"A30681"</definedName>
    <definedName name="FDD_118_1">"A31047"</definedName>
    <definedName name="FDD_118_10">"A34334"</definedName>
    <definedName name="FDD_118_11">"A34699"</definedName>
    <definedName name="FDD_118_12">"A35064"</definedName>
    <definedName name="FDD_118_13">"A35430"</definedName>
    <definedName name="FDD_118_14">"A35795"</definedName>
    <definedName name="FDD_118_2">"A31412"</definedName>
    <definedName name="FDD_118_3">"A31777"</definedName>
    <definedName name="FDD_118_4">"A32142"</definedName>
    <definedName name="FDD_118_5">"A32508"</definedName>
    <definedName name="FDD_118_6">"A32873"</definedName>
    <definedName name="FDD_118_7">"A33238"</definedName>
    <definedName name="FDD_118_8">"A33603"</definedName>
    <definedName name="FDD_118_9">"A33969"</definedName>
    <definedName name="FDD_119_0">"A30681"</definedName>
    <definedName name="FDD_119_1">"A31047"</definedName>
    <definedName name="FDD_119_10">"A34334"</definedName>
    <definedName name="FDD_119_11">"A34699"</definedName>
    <definedName name="FDD_119_12">"A35064"</definedName>
    <definedName name="FDD_119_13">"A35430"</definedName>
    <definedName name="FDD_119_14">"A35795"</definedName>
    <definedName name="FDD_119_2">"A31412"</definedName>
    <definedName name="FDD_119_3">"A31777"</definedName>
    <definedName name="FDD_119_4">"A32142"</definedName>
    <definedName name="FDD_119_5">"A32508"</definedName>
    <definedName name="FDD_119_6">"A32873"</definedName>
    <definedName name="FDD_119_7">"A33238"</definedName>
    <definedName name="FDD_119_8">"A33603"</definedName>
    <definedName name="FDD_119_9">"A33969"</definedName>
    <definedName name="FDD_12_0">"A25569"</definedName>
    <definedName name="FDD_120_0">"A30681"</definedName>
    <definedName name="FDD_120_1">"A31047"</definedName>
    <definedName name="FDD_120_10">"A34334"</definedName>
    <definedName name="FDD_120_11">"A34699"</definedName>
    <definedName name="FDD_120_12">"A35064"</definedName>
    <definedName name="FDD_120_13">"A35430"</definedName>
    <definedName name="FDD_120_14">"A35795"</definedName>
    <definedName name="FDD_120_2">"A31412"</definedName>
    <definedName name="FDD_120_3">"A31777"</definedName>
    <definedName name="FDD_120_4">"A32142"</definedName>
    <definedName name="FDD_120_5">"A32508"</definedName>
    <definedName name="FDD_120_6">"A32873"</definedName>
    <definedName name="FDD_120_7">"A33238"</definedName>
    <definedName name="FDD_120_8">"A33603"</definedName>
    <definedName name="FDD_120_9">"A33969"</definedName>
    <definedName name="FDD_121_0">"A30681"</definedName>
    <definedName name="FDD_121_1">"A31047"</definedName>
    <definedName name="FDD_121_10">"A34334"</definedName>
    <definedName name="FDD_121_11">"A34699"</definedName>
    <definedName name="FDD_121_12">"A35064"</definedName>
    <definedName name="FDD_121_13">"A35430"</definedName>
    <definedName name="FDD_121_14">"A35795"</definedName>
    <definedName name="FDD_121_2">"A31412"</definedName>
    <definedName name="FDD_121_3">"A31777"</definedName>
    <definedName name="FDD_121_4">"A32142"</definedName>
    <definedName name="FDD_121_5">"A32508"</definedName>
    <definedName name="FDD_121_6">"A32873"</definedName>
    <definedName name="FDD_121_7">"A33238"</definedName>
    <definedName name="FDD_121_8">"A33603"</definedName>
    <definedName name="FDD_121_9">"A33969"</definedName>
    <definedName name="FDD_122_0">"A30681"</definedName>
    <definedName name="FDD_122_1">"A31047"</definedName>
    <definedName name="FDD_122_10">"A34334"</definedName>
    <definedName name="FDD_122_11">"A34699"</definedName>
    <definedName name="FDD_122_12">"A35064"</definedName>
    <definedName name="FDD_122_13">"A35430"</definedName>
    <definedName name="FDD_122_14">"A35795"</definedName>
    <definedName name="FDD_122_2">"A31412"</definedName>
    <definedName name="FDD_122_3">"A31777"</definedName>
    <definedName name="FDD_122_4">"A32142"</definedName>
    <definedName name="FDD_122_5">"A32508"</definedName>
    <definedName name="FDD_122_6">"A32873"</definedName>
    <definedName name="FDD_122_7">"A33238"</definedName>
    <definedName name="FDD_122_8">"A33603"</definedName>
    <definedName name="FDD_122_9">"A33969"</definedName>
    <definedName name="FDD_123_0">"A30681"</definedName>
    <definedName name="FDD_123_1">"A31047"</definedName>
    <definedName name="FDD_123_10">"A34334"</definedName>
    <definedName name="FDD_123_11">"A34699"</definedName>
    <definedName name="FDD_123_12">"A35064"</definedName>
    <definedName name="FDD_123_13">"A35430"</definedName>
    <definedName name="FDD_123_14">"A35795"</definedName>
    <definedName name="FDD_123_2">"A31412"</definedName>
    <definedName name="FDD_123_3">"A31777"</definedName>
    <definedName name="FDD_123_4">"A32142"</definedName>
    <definedName name="FDD_123_5">"A32508"</definedName>
    <definedName name="FDD_123_6">"A32873"</definedName>
    <definedName name="FDD_123_7">"A33238"</definedName>
    <definedName name="FDD_123_8">"A33603"</definedName>
    <definedName name="FDD_123_9">"A33969"</definedName>
    <definedName name="FDD_124_0">"A30681"</definedName>
    <definedName name="FDD_124_1">"A31047"</definedName>
    <definedName name="FDD_124_10">"A34334"</definedName>
    <definedName name="FDD_124_11">"A34699"</definedName>
    <definedName name="FDD_124_12">"A35064"</definedName>
    <definedName name="FDD_124_13">"A35430"</definedName>
    <definedName name="FDD_124_14">"A35795"</definedName>
    <definedName name="FDD_124_2">"A31412"</definedName>
    <definedName name="FDD_124_3">"A31777"</definedName>
    <definedName name="FDD_124_4">"A32142"</definedName>
    <definedName name="FDD_124_5">"A32508"</definedName>
    <definedName name="FDD_124_6">"A32873"</definedName>
    <definedName name="FDD_124_7">"A33238"</definedName>
    <definedName name="FDD_124_8">"A33603"</definedName>
    <definedName name="FDD_124_9">"A33969"</definedName>
    <definedName name="FDD_125_0">"A30681"</definedName>
    <definedName name="FDD_125_1">"A31047"</definedName>
    <definedName name="FDD_125_10">"A34334"</definedName>
    <definedName name="FDD_125_11">"A34699"</definedName>
    <definedName name="FDD_125_12">"A35064"</definedName>
    <definedName name="FDD_125_13">"A35430"</definedName>
    <definedName name="FDD_125_14">"A35795"</definedName>
    <definedName name="FDD_125_2">"A31412"</definedName>
    <definedName name="FDD_125_3">"A31777"</definedName>
    <definedName name="FDD_125_4">"A32142"</definedName>
    <definedName name="FDD_125_5">"A32508"</definedName>
    <definedName name="FDD_125_6">"A32873"</definedName>
    <definedName name="FDD_125_7">"A33238"</definedName>
    <definedName name="FDD_125_8">"A33603"</definedName>
    <definedName name="FDD_125_9">"A33969"</definedName>
    <definedName name="FDD_126_0">"A30681"</definedName>
    <definedName name="FDD_126_1">"A31047"</definedName>
    <definedName name="FDD_126_10">"A34334"</definedName>
    <definedName name="FDD_126_11">"A34699"</definedName>
    <definedName name="FDD_126_12">"A35064"</definedName>
    <definedName name="FDD_126_13">"A35430"</definedName>
    <definedName name="FDD_126_14">"A35795"</definedName>
    <definedName name="FDD_126_2">"A31412"</definedName>
    <definedName name="FDD_126_3">"A31777"</definedName>
    <definedName name="FDD_126_4">"A32142"</definedName>
    <definedName name="FDD_126_5">"A32508"</definedName>
    <definedName name="FDD_126_6">"A32873"</definedName>
    <definedName name="FDD_126_7">"A33238"</definedName>
    <definedName name="FDD_126_8">"A33603"</definedName>
    <definedName name="FDD_126_9">"A33969"</definedName>
    <definedName name="FDD_127_0">"A30681"</definedName>
    <definedName name="FDD_127_1">"A31047"</definedName>
    <definedName name="FDD_127_10">"A34334"</definedName>
    <definedName name="FDD_127_11">"A34699"</definedName>
    <definedName name="FDD_127_12">"A35064"</definedName>
    <definedName name="FDD_127_13">"A35430"</definedName>
    <definedName name="FDD_127_14">"A35795"</definedName>
    <definedName name="FDD_127_2">"A31412"</definedName>
    <definedName name="FDD_127_3">"A31777"</definedName>
    <definedName name="FDD_127_4">"A32142"</definedName>
    <definedName name="FDD_127_5">"A32508"</definedName>
    <definedName name="FDD_127_6">"A32873"</definedName>
    <definedName name="FDD_127_7">"A33238"</definedName>
    <definedName name="FDD_127_8">"A33603"</definedName>
    <definedName name="FDD_127_9">"A33969"</definedName>
    <definedName name="FDD_128_0">"A30681"</definedName>
    <definedName name="FDD_128_1">"A31047"</definedName>
    <definedName name="FDD_128_10">"A34334"</definedName>
    <definedName name="FDD_128_11">"A34699"</definedName>
    <definedName name="FDD_128_12">"A35064"</definedName>
    <definedName name="FDD_128_13">"A35430"</definedName>
    <definedName name="FDD_128_14">"A35795"</definedName>
    <definedName name="FDD_128_2">"A31412"</definedName>
    <definedName name="FDD_128_3">"A31777"</definedName>
    <definedName name="FDD_128_4">"A32142"</definedName>
    <definedName name="FDD_128_5">"A32508"</definedName>
    <definedName name="FDD_128_6">"A32873"</definedName>
    <definedName name="FDD_128_7">"A33238"</definedName>
    <definedName name="FDD_128_8">"A33603"</definedName>
    <definedName name="FDD_128_9">"A33969"</definedName>
    <definedName name="FDD_129_0">"A30681"</definedName>
    <definedName name="FDD_129_1">"A31047"</definedName>
    <definedName name="FDD_129_10">"A34334"</definedName>
    <definedName name="FDD_129_11">"A34699"</definedName>
    <definedName name="FDD_129_12">"A35064"</definedName>
    <definedName name="FDD_129_13">"A35430"</definedName>
    <definedName name="FDD_129_14">"A35795"</definedName>
    <definedName name="FDD_129_2">"A31412"</definedName>
    <definedName name="FDD_129_3">"A31777"</definedName>
    <definedName name="FDD_129_4">"A32142"</definedName>
    <definedName name="FDD_129_5">"A32508"</definedName>
    <definedName name="FDD_129_6">"A32873"</definedName>
    <definedName name="FDD_129_7">"A33238"</definedName>
    <definedName name="FDD_129_8">"A33603"</definedName>
    <definedName name="FDD_129_9">"A33969"</definedName>
    <definedName name="FDD_13_0">"A25569"</definedName>
    <definedName name="FDD_130_0">"A30681"</definedName>
    <definedName name="FDD_130_1">"A31047"</definedName>
    <definedName name="FDD_130_10">"A34334"</definedName>
    <definedName name="FDD_130_11">"A34699"</definedName>
    <definedName name="FDD_130_12">"A35064"</definedName>
    <definedName name="FDD_130_13">"A35430"</definedName>
    <definedName name="FDD_130_14">"A35795"</definedName>
    <definedName name="FDD_130_2">"A31412"</definedName>
    <definedName name="FDD_130_3">"A31777"</definedName>
    <definedName name="FDD_130_4">"A32142"</definedName>
    <definedName name="FDD_130_5">"A32508"</definedName>
    <definedName name="FDD_130_6">"A32873"</definedName>
    <definedName name="FDD_130_7">"A33238"</definedName>
    <definedName name="FDD_130_8">"A33603"</definedName>
    <definedName name="FDD_130_9">"A33969"</definedName>
    <definedName name="FDD_131_0">"A30681"</definedName>
    <definedName name="FDD_131_1">"A31047"</definedName>
    <definedName name="FDD_131_10">"A34334"</definedName>
    <definedName name="FDD_131_11">"A34699"</definedName>
    <definedName name="FDD_131_12">"A35064"</definedName>
    <definedName name="FDD_131_13">"A35430"</definedName>
    <definedName name="FDD_131_14">"A35795"</definedName>
    <definedName name="FDD_131_2">"A31412"</definedName>
    <definedName name="FDD_131_3">"A31777"</definedName>
    <definedName name="FDD_131_4">"A32142"</definedName>
    <definedName name="FDD_131_5">"A32508"</definedName>
    <definedName name="FDD_131_6">"A32873"</definedName>
    <definedName name="FDD_131_7">"A33238"</definedName>
    <definedName name="FDD_131_8">"A33603"</definedName>
    <definedName name="FDD_131_9">"A33969"</definedName>
    <definedName name="FDD_132_0">"U30681"</definedName>
    <definedName name="FDD_132_1">"U31047"</definedName>
    <definedName name="FDD_132_10">"U34334"</definedName>
    <definedName name="FDD_132_11">"U34699"</definedName>
    <definedName name="FDD_132_12">"U35064"</definedName>
    <definedName name="FDD_132_13">"U35430"</definedName>
    <definedName name="FDD_132_14">"U35795"</definedName>
    <definedName name="FDD_132_2">"U31412"</definedName>
    <definedName name="FDD_132_3">"U31777"</definedName>
    <definedName name="FDD_132_4">"U32142"</definedName>
    <definedName name="FDD_132_5">"U32508"</definedName>
    <definedName name="FDD_132_6">"U32873"</definedName>
    <definedName name="FDD_132_7">"U33238"</definedName>
    <definedName name="FDD_132_8">"U33603"</definedName>
    <definedName name="FDD_132_9">"U33969"</definedName>
    <definedName name="FDD_133_0">"A30681"</definedName>
    <definedName name="FDD_133_1">"A31047"</definedName>
    <definedName name="FDD_133_10">"A34334"</definedName>
    <definedName name="FDD_133_11">"A34699"</definedName>
    <definedName name="FDD_133_12">"A35064"</definedName>
    <definedName name="FDD_133_13">"A35430"</definedName>
    <definedName name="FDD_133_14">"A35795"</definedName>
    <definedName name="FDD_133_2">"A31412"</definedName>
    <definedName name="FDD_133_3">"A31777"</definedName>
    <definedName name="FDD_133_4">"A32142"</definedName>
    <definedName name="FDD_133_5">"A32508"</definedName>
    <definedName name="FDD_133_6">"A32873"</definedName>
    <definedName name="FDD_133_7">"A33238"</definedName>
    <definedName name="FDD_133_8">"A33603"</definedName>
    <definedName name="FDD_133_9">"A33969"</definedName>
    <definedName name="FDD_134_0">"A30681"</definedName>
    <definedName name="FDD_134_1">"A31047"</definedName>
    <definedName name="FDD_134_10">"A34334"</definedName>
    <definedName name="FDD_134_11">"A34699"</definedName>
    <definedName name="FDD_134_12">"A35064"</definedName>
    <definedName name="FDD_134_13">"A35430"</definedName>
    <definedName name="FDD_134_14">"A35795"</definedName>
    <definedName name="FDD_134_2">"A31412"</definedName>
    <definedName name="FDD_134_3">"A31777"</definedName>
    <definedName name="FDD_134_4">"A32142"</definedName>
    <definedName name="FDD_134_5">"A32508"</definedName>
    <definedName name="FDD_134_6">"A32873"</definedName>
    <definedName name="FDD_134_7">"A33238"</definedName>
    <definedName name="FDD_134_8">"A33603"</definedName>
    <definedName name="FDD_134_9">"A33969"</definedName>
    <definedName name="FDD_135_0">"A30681"</definedName>
    <definedName name="FDD_135_1">"A31047"</definedName>
    <definedName name="FDD_135_10">"A34334"</definedName>
    <definedName name="FDD_135_11">"A34699"</definedName>
    <definedName name="FDD_135_12">"A35064"</definedName>
    <definedName name="FDD_135_13">"A35430"</definedName>
    <definedName name="FDD_135_14">"A35795"</definedName>
    <definedName name="FDD_135_2">"A31412"</definedName>
    <definedName name="FDD_135_3">"A31777"</definedName>
    <definedName name="FDD_135_4">"A32142"</definedName>
    <definedName name="FDD_135_5">"A32508"</definedName>
    <definedName name="FDD_135_6">"A32873"</definedName>
    <definedName name="FDD_135_7">"A33238"</definedName>
    <definedName name="FDD_135_8">"A33603"</definedName>
    <definedName name="FDD_135_9">"A33969"</definedName>
    <definedName name="FDD_136_0">"A30681"</definedName>
    <definedName name="FDD_136_1">"A31047"</definedName>
    <definedName name="FDD_136_10">"A34334"</definedName>
    <definedName name="FDD_136_11">"A34699"</definedName>
    <definedName name="FDD_136_12">"A35064"</definedName>
    <definedName name="FDD_136_13">"A35430"</definedName>
    <definedName name="FDD_136_14">"A35795"</definedName>
    <definedName name="FDD_136_2">"A31412"</definedName>
    <definedName name="FDD_136_3">"A31777"</definedName>
    <definedName name="FDD_136_4">"A32142"</definedName>
    <definedName name="FDD_136_5">"A32508"</definedName>
    <definedName name="FDD_136_6">"A32873"</definedName>
    <definedName name="FDD_136_7">"A33238"</definedName>
    <definedName name="FDD_136_8">"A33603"</definedName>
    <definedName name="FDD_136_9">"A33969"</definedName>
    <definedName name="FDD_137_0">"A30681"</definedName>
    <definedName name="FDD_137_1">"A31047"</definedName>
    <definedName name="FDD_137_10">"A34334"</definedName>
    <definedName name="FDD_137_11">"A34699"</definedName>
    <definedName name="FDD_137_12">"A35064"</definedName>
    <definedName name="FDD_137_13">"A35430"</definedName>
    <definedName name="FDD_137_14">"A35795"</definedName>
    <definedName name="FDD_137_2">"A31412"</definedName>
    <definedName name="FDD_137_3">"A31777"</definedName>
    <definedName name="FDD_137_4">"A32142"</definedName>
    <definedName name="FDD_137_5">"A32508"</definedName>
    <definedName name="FDD_137_6">"A32873"</definedName>
    <definedName name="FDD_137_7">"A33238"</definedName>
    <definedName name="FDD_137_8">"A33603"</definedName>
    <definedName name="FDD_137_9">"A33969"</definedName>
    <definedName name="FDD_138_0">"A30681"</definedName>
    <definedName name="FDD_138_1">"A31047"</definedName>
    <definedName name="FDD_138_10">"A34334"</definedName>
    <definedName name="FDD_138_11">"A34699"</definedName>
    <definedName name="FDD_138_12">"A35064"</definedName>
    <definedName name="FDD_138_13">"A35430"</definedName>
    <definedName name="FDD_138_14">"A35795"</definedName>
    <definedName name="FDD_138_2">"A31412"</definedName>
    <definedName name="FDD_138_3">"A31777"</definedName>
    <definedName name="FDD_138_4">"A32142"</definedName>
    <definedName name="FDD_138_5">"A32508"</definedName>
    <definedName name="FDD_138_6">"A32873"</definedName>
    <definedName name="FDD_138_7">"A33238"</definedName>
    <definedName name="FDD_138_8">"A33603"</definedName>
    <definedName name="FDD_138_9">"A33969"</definedName>
    <definedName name="FDD_139_0">"A30681"</definedName>
    <definedName name="FDD_139_1">"A31047"</definedName>
    <definedName name="FDD_139_10">"U34334"</definedName>
    <definedName name="FDD_139_11">"U34699"</definedName>
    <definedName name="FDD_139_12">"U35064"</definedName>
    <definedName name="FDD_139_13">"U35430"</definedName>
    <definedName name="FDD_139_14">"U35795"</definedName>
    <definedName name="FDD_139_2">"A31412"</definedName>
    <definedName name="FDD_139_3">"U31777"</definedName>
    <definedName name="FDD_139_4">"U32142"</definedName>
    <definedName name="FDD_139_5">"U32508"</definedName>
    <definedName name="FDD_139_6">"U32873"</definedName>
    <definedName name="FDD_139_7">"U33238"</definedName>
    <definedName name="FDD_139_8">"U33603"</definedName>
    <definedName name="FDD_139_9">"U33969"</definedName>
    <definedName name="FDD_14_0">"A25569"</definedName>
    <definedName name="FDD_140_0">"A25569"</definedName>
    <definedName name="FDD_141_0">"A30681"</definedName>
    <definedName name="FDD_141_1">"A31047"</definedName>
    <definedName name="FDD_141_10">"A34334"</definedName>
    <definedName name="FDD_141_11">"A34699"</definedName>
    <definedName name="FDD_141_12">"A35064"</definedName>
    <definedName name="FDD_141_13">"A35430"</definedName>
    <definedName name="FDD_141_14">"A35795"</definedName>
    <definedName name="FDD_141_2">"A31412"</definedName>
    <definedName name="FDD_141_3">"A31777"</definedName>
    <definedName name="FDD_141_4">"A32142"</definedName>
    <definedName name="FDD_141_5">"A32508"</definedName>
    <definedName name="FDD_141_6">"A32873"</definedName>
    <definedName name="FDD_141_7">"A33238"</definedName>
    <definedName name="FDD_141_8">"A33603"</definedName>
    <definedName name="FDD_141_9">"A33969"</definedName>
    <definedName name="FDD_142_0">"A30681"</definedName>
    <definedName name="FDD_142_1">"A31047"</definedName>
    <definedName name="FDD_142_10">"A34334"</definedName>
    <definedName name="FDD_142_11">"A34699"</definedName>
    <definedName name="FDD_142_12">"A35064"</definedName>
    <definedName name="FDD_142_13">"A35430"</definedName>
    <definedName name="FDD_142_14">"A35795"</definedName>
    <definedName name="FDD_142_2">"A31412"</definedName>
    <definedName name="FDD_142_3">"A31777"</definedName>
    <definedName name="FDD_142_4">"A32142"</definedName>
    <definedName name="FDD_142_5">"A32508"</definedName>
    <definedName name="FDD_142_6">"A32873"</definedName>
    <definedName name="FDD_142_7">"A33238"</definedName>
    <definedName name="FDD_142_8">"A33603"</definedName>
    <definedName name="FDD_142_9">"A33969"</definedName>
    <definedName name="FDD_143_0">"A30681"</definedName>
    <definedName name="FDD_143_1">"A31047"</definedName>
    <definedName name="FDD_143_10">"A34334"</definedName>
    <definedName name="FDD_143_11">"A34699"</definedName>
    <definedName name="FDD_143_12">"A35064"</definedName>
    <definedName name="FDD_143_13">"A35430"</definedName>
    <definedName name="FDD_143_14">"A35795"</definedName>
    <definedName name="FDD_143_2">"A31412"</definedName>
    <definedName name="FDD_143_3">"A31777"</definedName>
    <definedName name="FDD_143_4">"A32142"</definedName>
    <definedName name="FDD_143_5">"A32508"</definedName>
    <definedName name="FDD_143_6">"A32873"</definedName>
    <definedName name="FDD_143_7">"A33238"</definedName>
    <definedName name="FDD_143_8">"A33603"</definedName>
    <definedName name="FDD_143_9">"A33969"</definedName>
    <definedName name="FDD_144_0">"A30681"</definedName>
    <definedName name="FDD_144_1">"A31047"</definedName>
    <definedName name="FDD_144_10">"A34334"</definedName>
    <definedName name="FDD_144_11">"A34699"</definedName>
    <definedName name="FDD_144_12">"A35064"</definedName>
    <definedName name="FDD_144_13">"A35430"</definedName>
    <definedName name="FDD_144_14">"A35795"</definedName>
    <definedName name="FDD_144_2">"A31412"</definedName>
    <definedName name="FDD_144_3">"A31777"</definedName>
    <definedName name="FDD_144_4">"A32142"</definedName>
    <definedName name="FDD_144_5">"A32508"</definedName>
    <definedName name="FDD_144_6">"A32873"</definedName>
    <definedName name="FDD_144_7">"A33238"</definedName>
    <definedName name="FDD_144_8">"A33603"</definedName>
    <definedName name="FDD_144_9">"A33969"</definedName>
    <definedName name="FDD_145_0">"A30681"</definedName>
    <definedName name="FDD_145_1">"A31047"</definedName>
    <definedName name="FDD_145_10">"A34334"</definedName>
    <definedName name="FDD_145_11">"A34699"</definedName>
    <definedName name="FDD_145_12">"A35064"</definedName>
    <definedName name="FDD_145_13">"A35430"</definedName>
    <definedName name="FDD_145_14">"A35795"</definedName>
    <definedName name="FDD_145_2">"A31412"</definedName>
    <definedName name="FDD_145_3">"A31777"</definedName>
    <definedName name="FDD_145_4">"A32142"</definedName>
    <definedName name="FDD_145_5">"A32508"</definedName>
    <definedName name="FDD_145_6">"A32873"</definedName>
    <definedName name="FDD_145_7">"A33238"</definedName>
    <definedName name="FDD_145_8">"A33603"</definedName>
    <definedName name="FDD_145_9">"A33969"</definedName>
    <definedName name="FDD_146_0">"A30681"</definedName>
    <definedName name="FDD_146_1">"A31047"</definedName>
    <definedName name="FDD_146_10">"A34334"</definedName>
    <definedName name="FDD_146_11">"A34699"</definedName>
    <definedName name="FDD_146_12">"A35064"</definedName>
    <definedName name="FDD_146_13">"A35430"</definedName>
    <definedName name="FDD_146_14">"A35795"</definedName>
    <definedName name="FDD_146_2">"A31412"</definedName>
    <definedName name="FDD_146_3">"A31777"</definedName>
    <definedName name="FDD_146_4">"A32142"</definedName>
    <definedName name="FDD_146_5">"A32508"</definedName>
    <definedName name="FDD_146_6">"A32873"</definedName>
    <definedName name="FDD_146_7">"A33238"</definedName>
    <definedName name="FDD_146_8">"A33603"</definedName>
    <definedName name="FDD_146_9">"A33969"</definedName>
    <definedName name="FDD_147_0">"U30681"</definedName>
    <definedName name="FDD_147_1">"U31047"</definedName>
    <definedName name="FDD_147_10">"U34334"</definedName>
    <definedName name="FDD_147_11">"U34699"</definedName>
    <definedName name="FDD_147_12">"U35064"</definedName>
    <definedName name="FDD_147_13">"U35430"</definedName>
    <definedName name="FDD_147_14">"U35795"</definedName>
    <definedName name="FDD_147_2">"U31412"</definedName>
    <definedName name="FDD_147_3">"U31777"</definedName>
    <definedName name="FDD_147_4">"U32142"</definedName>
    <definedName name="FDD_147_5">"U32508"</definedName>
    <definedName name="FDD_147_6">"U32873"</definedName>
    <definedName name="FDD_147_7">"U33238"</definedName>
    <definedName name="FDD_147_8">"U33603"</definedName>
    <definedName name="FDD_147_9">"U33969"</definedName>
    <definedName name="FDD_148_0">"A30681"</definedName>
    <definedName name="FDD_148_1">"A31047"</definedName>
    <definedName name="FDD_148_10">"A34334"</definedName>
    <definedName name="FDD_148_11">"A34699"</definedName>
    <definedName name="FDD_148_12">"A35064"</definedName>
    <definedName name="FDD_148_13">"A35430"</definedName>
    <definedName name="FDD_148_14">"A35795"</definedName>
    <definedName name="FDD_148_2">"A31412"</definedName>
    <definedName name="FDD_148_3">"A31777"</definedName>
    <definedName name="FDD_148_4">"A32142"</definedName>
    <definedName name="FDD_148_5">"A32508"</definedName>
    <definedName name="FDD_148_6">"A32873"</definedName>
    <definedName name="FDD_148_7">"A33238"</definedName>
    <definedName name="FDD_148_8">"A33603"</definedName>
    <definedName name="FDD_148_9">"A33969"</definedName>
    <definedName name="FDD_149_0">"U30681"</definedName>
    <definedName name="FDD_149_1">"U31047"</definedName>
    <definedName name="FDD_149_10">"U34334"</definedName>
    <definedName name="FDD_149_11">"U34699"</definedName>
    <definedName name="FDD_149_12">"U35064"</definedName>
    <definedName name="FDD_149_13">"U35430"</definedName>
    <definedName name="FDD_149_14">"A35795"</definedName>
    <definedName name="FDD_149_2">"U31412"</definedName>
    <definedName name="FDD_149_3">"U31777"</definedName>
    <definedName name="FDD_149_4">"U32142"</definedName>
    <definedName name="FDD_149_5">"U32508"</definedName>
    <definedName name="FDD_149_6">"U32873"</definedName>
    <definedName name="FDD_149_7">"U33238"</definedName>
    <definedName name="FDD_149_8">"U33603"</definedName>
    <definedName name="FDD_149_9">"U33969"</definedName>
    <definedName name="FDD_15_0">"A25569"</definedName>
    <definedName name="FDD_151_0">"A30681"</definedName>
    <definedName name="FDD_151_1">"A31047"</definedName>
    <definedName name="FDD_151_10">"A34334"</definedName>
    <definedName name="FDD_151_11">"A34699"</definedName>
    <definedName name="FDD_151_12">"A35064"</definedName>
    <definedName name="FDD_151_13">"A35430"</definedName>
    <definedName name="FDD_151_14">"A35795"</definedName>
    <definedName name="FDD_151_2">"A31412"</definedName>
    <definedName name="FDD_151_3">"A31777"</definedName>
    <definedName name="FDD_151_4">"A32142"</definedName>
    <definedName name="FDD_151_5">"A32508"</definedName>
    <definedName name="FDD_151_6">"A32873"</definedName>
    <definedName name="FDD_151_7">"A33238"</definedName>
    <definedName name="FDD_151_8">"A33603"</definedName>
    <definedName name="FDD_151_9">"A33969"</definedName>
    <definedName name="FDD_152_0">"A30681"</definedName>
    <definedName name="FDD_152_1">"A31047"</definedName>
    <definedName name="FDD_152_10">"A34334"</definedName>
    <definedName name="FDD_152_11">"A34699"</definedName>
    <definedName name="FDD_152_12">"A35064"</definedName>
    <definedName name="FDD_152_13">"A35430"</definedName>
    <definedName name="FDD_152_14">"A35795"</definedName>
    <definedName name="FDD_152_15">"E36160"</definedName>
    <definedName name="FDD_152_2">"A31412"</definedName>
    <definedName name="FDD_152_3">"A31777"</definedName>
    <definedName name="FDD_152_4">"A32142"</definedName>
    <definedName name="FDD_152_5">"A32508"</definedName>
    <definedName name="FDD_152_6">"A32873"</definedName>
    <definedName name="FDD_152_7">"A33238"</definedName>
    <definedName name="FDD_152_8">"A33603"</definedName>
    <definedName name="FDD_152_9">"A33969"</definedName>
    <definedName name="FDD_153_0">"A30681"</definedName>
    <definedName name="FDD_153_1">"A31047"</definedName>
    <definedName name="FDD_153_10">"A34334"</definedName>
    <definedName name="FDD_153_11">"A34699"</definedName>
    <definedName name="FDD_153_12">"A35064"</definedName>
    <definedName name="FDD_153_13">"A35430"</definedName>
    <definedName name="FDD_153_14">"A35795"</definedName>
    <definedName name="FDD_153_2">"A31412"</definedName>
    <definedName name="FDD_153_3">"A31777"</definedName>
    <definedName name="FDD_153_4">"A32142"</definedName>
    <definedName name="FDD_153_5">"A32508"</definedName>
    <definedName name="FDD_153_6">"A32873"</definedName>
    <definedName name="FDD_153_7">"A33238"</definedName>
    <definedName name="FDD_153_8">"A33603"</definedName>
    <definedName name="FDD_153_9">"A33969"</definedName>
    <definedName name="FDD_154_0">"A30681"</definedName>
    <definedName name="FDD_154_1">"A31047"</definedName>
    <definedName name="FDD_154_10">"A34334"</definedName>
    <definedName name="FDD_154_11">"A34699"</definedName>
    <definedName name="FDD_154_12">"A35064"</definedName>
    <definedName name="FDD_154_13">"A35430"</definedName>
    <definedName name="FDD_154_14">"A35795"</definedName>
    <definedName name="FDD_154_2">"A31412"</definedName>
    <definedName name="FDD_154_3">"A31777"</definedName>
    <definedName name="FDD_154_4">"A32142"</definedName>
    <definedName name="FDD_154_5">"A32508"</definedName>
    <definedName name="FDD_154_6">"A32873"</definedName>
    <definedName name="FDD_154_7">"A33238"</definedName>
    <definedName name="FDD_154_8">"A33603"</definedName>
    <definedName name="FDD_154_9">"A33969"</definedName>
    <definedName name="FDD_155_0">"A25569"</definedName>
    <definedName name="FDD_156_0">"A30681"</definedName>
    <definedName name="FDD_156_1">"A31047"</definedName>
    <definedName name="FDD_156_10">"A34334"</definedName>
    <definedName name="FDD_156_11">"A34699"</definedName>
    <definedName name="FDD_156_12">"A35064"</definedName>
    <definedName name="FDD_156_13">"A35430"</definedName>
    <definedName name="FDD_156_14">"A35795"</definedName>
    <definedName name="FDD_156_15">"E36160"</definedName>
    <definedName name="FDD_156_2">"A31412"</definedName>
    <definedName name="FDD_156_3">"A31777"</definedName>
    <definedName name="FDD_156_4">"A32142"</definedName>
    <definedName name="FDD_156_5">"A32508"</definedName>
    <definedName name="FDD_156_6">"A32873"</definedName>
    <definedName name="FDD_156_7">"A33238"</definedName>
    <definedName name="FDD_156_8">"A33603"</definedName>
    <definedName name="FDD_156_9">"A33969"</definedName>
    <definedName name="FDD_157_0">"A30681"</definedName>
    <definedName name="FDD_157_1">"A31047"</definedName>
    <definedName name="FDD_157_10">"A34334"</definedName>
    <definedName name="FDD_157_11">"A34699"</definedName>
    <definedName name="FDD_157_12">"A35064"</definedName>
    <definedName name="FDD_157_13">"A35430"</definedName>
    <definedName name="FDD_157_14">"A35795"</definedName>
    <definedName name="FDD_157_2">"A31412"</definedName>
    <definedName name="FDD_157_3">"A31777"</definedName>
    <definedName name="FDD_157_4">"A32142"</definedName>
    <definedName name="FDD_157_5">"A32508"</definedName>
    <definedName name="FDD_157_6">"A32873"</definedName>
    <definedName name="FDD_157_7">"A33238"</definedName>
    <definedName name="FDD_157_8">"A33603"</definedName>
    <definedName name="FDD_157_9">"A33969"</definedName>
    <definedName name="FDD_158_0">"A30681"</definedName>
    <definedName name="FDD_158_1">"A31047"</definedName>
    <definedName name="FDD_158_10">"A34334"</definedName>
    <definedName name="FDD_158_11">"A34699"</definedName>
    <definedName name="FDD_158_12">"A35064"</definedName>
    <definedName name="FDD_158_13">"A35430"</definedName>
    <definedName name="FDD_158_14">"A35795"</definedName>
    <definedName name="FDD_158_15">"E36160"</definedName>
    <definedName name="FDD_158_2">"A31412"</definedName>
    <definedName name="FDD_158_3">"A31777"</definedName>
    <definedName name="FDD_158_4">"A32142"</definedName>
    <definedName name="FDD_158_5">"A32508"</definedName>
    <definedName name="FDD_158_6">"A32873"</definedName>
    <definedName name="FDD_158_7">"A33238"</definedName>
    <definedName name="FDD_158_8">"A33603"</definedName>
    <definedName name="FDD_158_9">"A33969"</definedName>
    <definedName name="FDD_159_0">"A30681"</definedName>
    <definedName name="FDD_159_1">"A31047"</definedName>
    <definedName name="FDD_159_10">"A34334"</definedName>
    <definedName name="FDD_159_11">"A34699"</definedName>
    <definedName name="FDD_159_12">"A35064"</definedName>
    <definedName name="FDD_159_13">"A35430"</definedName>
    <definedName name="FDD_159_14">"A35795"</definedName>
    <definedName name="FDD_159_2">"A31412"</definedName>
    <definedName name="FDD_159_3">"A31777"</definedName>
    <definedName name="FDD_159_4">"A32142"</definedName>
    <definedName name="FDD_159_5">"A32508"</definedName>
    <definedName name="FDD_159_6">"A32873"</definedName>
    <definedName name="FDD_159_7">"A33238"</definedName>
    <definedName name="FDD_159_8">"A33603"</definedName>
    <definedName name="FDD_159_9">"A33969"</definedName>
    <definedName name="FDD_16_0">"A25569"</definedName>
    <definedName name="FDD_160_0">"A30681"</definedName>
    <definedName name="FDD_160_1">"A31047"</definedName>
    <definedName name="FDD_160_10">"A34334"</definedName>
    <definedName name="FDD_160_11">"A34699"</definedName>
    <definedName name="FDD_160_12">"A35064"</definedName>
    <definedName name="FDD_160_13">"A35430"</definedName>
    <definedName name="FDD_160_14">"A35795"</definedName>
    <definedName name="FDD_160_15">"E36160"</definedName>
    <definedName name="FDD_160_2">"A31412"</definedName>
    <definedName name="FDD_160_3">"A31777"</definedName>
    <definedName name="FDD_160_4">"A32142"</definedName>
    <definedName name="FDD_160_5">"A32508"</definedName>
    <definedName name="FDD_160_6">"A32873"</definedName>
    <definedName name="FDD_160_7">"A33238"</definedName>
    <definedName name="FDD_160_8">"A33603"</definedName>
    <definedName name="FDD_160_9">"A33969"</definedName>
    <definedName name="FDD_161_0">"A30681"</definedName>
    <definedName name="FDD_161_1">"A31047"</definedName>
    <definedName name="FDD_161_10">"A34334"</definedName>
    <definedName name="FDD_161_11">"A34699"</definedName>
    <definedName name="FDD_161_12">"A35064"</definedName>
    <definedName name="FDD_161_13">"A35430"</definedName>
    <definedName name="FDD_161_14">"A35795"</definedName>
    <definedName name="FDD_161_2">"A31412"</definedName>
    <definedName name="FDD_161_3">"A31777"</definedName>
    <definedName name="FDD_161_4">"A32142"</definedName>
    <definedName name="FDD_161_5">"A32508"</definedName>
    <definedName name="FDD_161_6">"A32873"</definedName>
    <definedName name="FDD_161_7">"A33238"</definedName>
    <definedName name="FDD_161_8">"A33603"</definedName>
    <definedName name="FDD_161_9">"A33969"</definedName>
    <definedName name="FDD_162_0">"A30681"</definedName>
    <definedName name="FDD_162_1">"A31047"</definedName>
    <definedName name="FDD_162_10">"A34334"</definedName>
    <definedName name="FDD_162_11">"A34699"</definedName>
    <definedName name="FDD_162_12">"A35064"</definedName>
    <definedName name="FDD_162_13">"A35430"</definedName>
    <definedName name="FDD_162_14">"A35795"</definedName>
    <definedName name="FDD_162_2">"A31412"</definedName>
    <definedName name="FDD_162_3">"A31777"</definedName>
    <definedName name="FDD_162_4">"A32142"</definedName>
    <definedName name="FDD_162_5">"A32508"</definedName>
    <definedName name="FDD_162_6">"A32873"</definedName>
    <definedName name="FDD_162_7">"A33238"</definedName>
    <definedName name="FDD_162_8">"A33603"</definedName>
    <definedName name="FDD_162_9">"A33969"</definedName>
    <definedName name="FDD_163_0">"A30681"</definedName>
    <definedName name="FDD_163_1">"A31047"</definedName>
    <definedName name="FDD_163_10">"A34334"</definedName>
    <definedName name="FDD_163_11">"A34699"</definedName>
    <definedName name="FDD_163_12">"A35064"</definedName>
    <definedName name="FDD_163_13">"A35430"</definedName>
    <definedName name="FDD_163_14">"A35795"</definedName>
    <definedName name="FDD_163_2">"A31412"</definedName>
    <definedName name="FDD_163_3">"A31777"</definedName>
    <definedName name="FDD_163_4">"A32142"</definedName>
    <definedName name="FDD_163_5">"A32508"</definedName>
    <definedName name="FDD_163_6">"A32873"</definedName>
    <definedName name="FDD_163_7">"A33238"</definedName>
    <definedName name="FDD_163_8">"A33603"</definedName>
    <definedName name="FDD_163_9">"A33969"</definedName>
    <definedName name="FDD_164_0">"A25569"</definedName>
    <definedName name="FDD_165_0">"A30681"</definedName>
    <definedName name="FDD_165_1">"A31047"</definedName>
    <definedName name="FDD_165_10">"A34334"</definedName>
    <definedName name="FDD_165_11">"A34699"</definedName>
    <definedName name="FDD_165_12">"A35064"</definedName>
    <definedName name="FDD_165_13">"A35430"</definedName>
    <definedName name="FDD_165_14">"A35795"</definedName>
    <definedName name="FDD_165_2">"A31412"</definedName>
    <definedName name="FDD_165_3">"A31777"</definedName>
    <definedName name="FDD_165_4">"A32142"</definedName>
    <definedName name="FDD_165_5">"A32508"</definedName>
    <definedName name="FDD_165_6">"A32873"</definedName>
    <definedName name="FDD_165_7">"A33238"</definedName>
    <definedName name="FDD_165_8">"A33603"</definedName>
    <definedName name="FDD_165_9">"A33969"</definedName>
    <definedName name="FDD_166_0">"A30681"</definedName>
    <definedName name="FDD_166_1">"A31047"</definedName>
    <definedName name="FDD_166_10">"A34334"</definedName>
    <definedName name="FDD_166_11">"A34699"</definedName>
    <definedName name="FDD_166_12">"A35064"</definedName>
    <definedName name="FDD_166_13">"A35430"</definedName>
    <definedName name="FDD_166_14">"A35795"</definedName>
    <definedName name="FDD_166_2">"A31412"</definedName>
    <definedName name="FDD_166_3">"A31777"</definedName>
    <definedName name="FDD_166_4">"A32142"</definedName>
    <definedName name="FDD_166_5">"A32508"</definedName>
    <definedName name="FDD_166_6">"A32873"</definedName>
    <definedName name="FDD_166_7">"A33238"</definedName>
    <definedName name="FDD_166_8">"A33603"</definedName>
    <definedName name="FDD_166_9">"A33969"</definedName>
    <definedName name="FDD_167_0">"A30681"</definedName>
    <definedName name="FDD_167_1">"A31047"</definedName>
    <definedName name="FDD_167_10">"A34334"</definedName>
    <definedName name="FDD_167_11">"A34699"</definedName>
    <definedName name="FDD_167_12">"A35064"</definedName>
    <definedName name="FDD_167_13">"A35430"</definedName>
    <definedName name="FDD_167_14">"A35795"</definedName>
    <definedName name="FDD_167_2">"A31412"</definedName>
    <definedName name="FDD_167_3">"A31777"</definedName>
    <definedName name="FDD_167_4">"A32142"</definedName>
    <definedName name="FDD_167_5">"A32508"</definedName>
    <definedName name="FDD_167_6">"A32873"</definedName>
    <definedName name="FDD_167_7">"A33238"</definedName>
    <definedName name="FDD_167_8">"A33603"</definedName>
    <definedName name="FDD_167_9">"A33969"</definedName>
    <definedName name="FDD_168_0">"E36160"</definedName>
    <definedName name="FDD_168_1">"E36525"</definedName>
    <definedName name="FDD_168_2">"E36891"</definedName>
    <definedName name="FDD_169_0">"A30681"</definedName>
    <definedName name="FDD_169_1">"A31047"</definedName>
    <definedName name="FDD_169_10">"A34334"</definedName>
    <definedName name="FDD_169_11">"A34699"</definedName>
    <definedName name="FDD_169_12">"A35064"</definedName>
    <definedName name="FDD_169_13">"A35430"</definedName>
    <definedName name="FDD_169_14">"A35795"</definedName>
    <definedName name="FDD_169_2">"A31412"</definedName>
    <definedName name="FDD_169_3">"A31777"</definedName>
    <definedName name="FDD_169_4">"A32142"</definedName>
    <definedName name="FDD_169_5">"A32508"</definedName>
    <definedName name="FDD_169_6">"A32873"</definedName>
    <definedName name="FDD_169_7">"A33238"</definedName>
    <definedName name="FDD_169_8">"A33603"</definedName>
    <definedName name="FDD_169_9">"A33969"</definedName>
    <definedName name="FDD_17_0">"A25569"</definedName>
    <definedName name="FDD_170_0">"A30681"</definedName>
    <definedName name="FDD_170_1">"A31047"</definedName>
    <definedName name="FDD_170_10">"A34334"</definedName>
    <definedName name="FDD_170_11">"A34699"</definedName>
    <definedName name="FDD_170_12">"A35064"</definedName>
    <definedName name="FDD_170_13">"A35430"</definedName>
    <definedName name="FDD_170_14">"A35795"</definedName>
    <definedName name="FDD_170_2">"A31412"</definedName>
    <definedName name="FDD_170_3">"A31777"</definedName>
    <definedName name="FDD_170_4">"A32142"</definedName>
    <definedName name="FDD_170_5">"A32508"</definedName>
    <definedName name="FDD_170_6">"A32873"</definedName>
    <definedName name="FDD_170_7">"A33238"</definedName>
    <definedName name="FDD_170_8">"A33603"</definedName>
    <definedName name="FDD_170_9">"A33969"</definedName>
    <definedName name="FDD_171_0">"A30681"</definedName>
    <definedName name="FDD_171_1">"A31047"</definedName>
    <definedName name="FDD_171_10">"A34334"</definedName>
    <definedName name="FDD_171_11">"A34699"</definedName>
    <definedName name="FDD_171_12">"A35064"</definedName>
    <definedName name="FDD_171_13">"A35430"</definedName>
    <definedName name="FDD_171_14">"A35795"</definedName>
    <definedName name="FDD_171_2">"A31412"</definedName>
    <definedName name="FDD_171_3">"A31777"</definedName>
    <definedName name="FDD_171_4">"A32142"</definedName>
    <definedName name="FDD_171_5">"A32508"</definedName>
    <definedName name="FDD_171_6">"A32873"</definedName>
    <definedName name="FDD_171_7">"A33238"</definedName>
    <definedName name="FDD_171_8">"A33603"</definedName>
    <definedName name="FDD_171_9">"A33969"</definedName>
    <definedName name="FDD_172_0">"A30681"</definedName>
    <definedName name="FDD_172_1">"A31047"</definedName>
    <definedName name="FDD_172_10">"A34334"</definedName>
    <definedName name="FDD_172_11">"A34699"</definedName>
    <definedName name="FDD_172_12">"A35064"</definedName>
    <definedName name="FDD_172_13">"A35430"</definedName>
    <definedName name="FDD_172_14">"A35795"</definedName>
    <definedName name="FDD_172_2">"A31412"</definedName>
    <definedName name="FDD_172_3">"A31777"</definedName>
    <definedName name="FDD_172_4">"A32142"</definedName>
    <definedName name="FDD_172_5">"A32508"</definedName>
    <definedName name="FDD_172_6">"A32873"</definedName>
    <definedName name="FDD_172_7">"A33238"</definedName>
    <definedName name="FDD_172_8">"A33603"</definedName>
    <definedName name="FDD_172_9">"A33969"</definedName>
    <definedName name="FDD_173_0">"A30681"</definedName>
    <definedName name="FDD_173_1">"A31047"</definedName>
    <definedName name="FDD_173_10">"A34334"</definedName>
    <definedName name="FDD_173_11">"A34699"</definedName>
    <definedName name="FDD_173_12">"A35064"</definedName>
    <definedName name="FDD_173_13">"A35430"</definedName>
    <definedName name="FDD_173_14">"A35795"</definedName>
    <definedName name="FDD_173_2">"A31412"</definedName>
    <definedName name="FDD_173_3">"A31777"</definedName>
    <definedName name="FDD_173_4">"A32142"</definedName>
    <definedName name="FDD_173_5">"A32508"</definedName>
    <definedName name="FDD_173_6">"A32873"</definedName>
    <definedName name="FDD_173_7">"A33238"</definedName>
    <definedName name="FDD_173_8">"A33603"</definedName>
    <definedName name="FDD_173_9">"A33969"</definedName>
    <definedName name="FDD_174_0">"A30681"</definedName>
    <definedName name="FDD_174_1">"A31047"</definedName>
    <definedName name="FDD_174_10">"A34334"</definedName>
    <definedName name="FDD_174_11">"A34699"</definedName>
    <definedName name="FDD_174_12">"A35064"</definedName>
    <definedName name="FDD_174_13">"A35430"</definedName>
    <definedName name="FDD_174_14">"A35795"</definedName>
    <definedName name="FDD_174_2">"A31412"</definedName>
    <definedName name="FDD_174_3">"A31777"</definedName>
    <definedName name="FDD_174_4">"A32142"</definedName>
    <definedName name="FDD_174_5">"A32508"</definedName>
    <definedName name="FDD_174_6">"A32873"</definedName>
    <definedName name="FDD_174_7">"A33238"</definedName>
    <definedName name="FDD_174_8">"A33603"</definedName>
    <definedName name="FDD_174_9">"A33969"</definedName>
    <definedName name="FDD_175_0">"E36160"</definedName>
    <definedName name="FDD_175_1">"E36525"</definedName>
    <definedName name="FDD_175_2">"E36891"</definedName>
    <definedName name="FDD_176_0">"E36160"</definedName>
    <definedName name="FDD_176_1">"E36525"</definedName>
    <definedName name="FDD_176_2">"E36891"</definedName>
    <definedName name="FDD_177_0">"E36160"</definedName>
    <definedName name="FDD_177_1">"E36525"</definedName>
    <definedName name="FDD_177_2">"E36891"</definedName>
    <definedName name="FDD_178_0">"E36160"</definedName>
    <definedName name="FDD_178_1">"E36525"</definedName>
    <definedName name="FDD_178_2">"E36891"</definedName>
    <definedName name="FDD_179_0">"E36160"</definedName>
    <definedName name="FDD_179_1">"E36525"</definedName>
    <definedName name="FDD_179_2">"E36891"</definedName>
    <definedName name="FDD_18_0">"A25569"</definedName>
    <definedName name="FDD_180_0">"E36160"</definedName>
    <definedName name="FDD_180_1">"E36525"</definedName>
    <definedName name="FDD_180_2">"E36891"</definedName>
    <definedName name="FDD_181_0">"E36160"</definedName>
    <definedName name="FDD_181_1">"E36525"</definedName>
    <definedName name="FDD_181_2">"E36891"</definedName>
    <definedName name="FDD_182_0">"E36160"</definedName>
    <definedName name="FDD_182_1">"E36525"</definedName>
    <definedName name="FDD_182_2">"E36891"</definedName>
    <definedName name="FDD_183_0">"E36160"</definedName>
    <definedName name="FDD_183_1">"E36525"</definedName>
    <definedName name="FDD_183_2">"E36891"</definedName>
    <definedName name="FDD_184_0">"E36160"</definedName>
    <definedName name="FDD_184_1">"E36525"</definedName>
    <definedName name="FDD_184_2">"E36891"</definedName>
    <definedName name="FDD_185_0">"E36160"</definedName>
    <definedName name="FDD_185_1">"E36525"</definedName>
    <definedName name="FDD_185_2">"E36891"</definedName>
    <definedName name="FDD_186_0">"E36160"</definedName>
    <definedName name="FDD_186_1">"E36525"</definedName>
    <definedName name="FDD_186_2">"E36891"</definedName>
    <definedName name="FDD_187_0">"E36160"</definedName>
    <definedName name="FDD_187_1">"E36525"</definedName>
    <definedName name="FDD_187_2">"E36891"</definedName>
    <definedName name="FDD_188_0">"A30681"</definedName>
    <definedName name="FDD_188_1">"A31047"</definedName>
    <definedName name="FDD_188_10">"A34334"</definedName>
    <definedName name="FDD_188_11">"A34699"</definedName>
    <definedName name="FDD_188_12">"A35064"</definedName>
    <definedName name="FDD_188_13">"A35430"</definedName>
    <definedName name="FDD_188_14">"A35795"</definedName>
    <definedName name="FDD_188_2">"A31412"</definedName>
    <definedName name="FDD_188_3">"A31777"</definedName>
    <definedName name="FDD_188_4">"A32142"</definedName>
    <definedName name="FDD_188_5">"A32508"</definedName>
    <definedName name="FDD_188_6">"A32873"</definedName>
    <definedName name="FDD_188_7">"A33238"</definedName>
    <definedName name="FDD_188_8">"A33603"</definedName>
    <definedName name="FDD_188_9">"A33969"</definedName>
    <definedName name="FDD_189_0">"A30681"</definedName>
    <definedName name="FDD_189_1">"A31047"</definedName>
    <definedName name="FDD_189_10">"A34334"</definedName>
    <definedName name="FDD_189_11">"A34699"</definedName>
    <definedName name="FDD_189_12">"A35064"</definedName>
    <definedName name="FDD_189_13">"A35430"</definedName>
    <definedName name="FDD_189_14">"A35795"</definedName>
    <definedName name="FDD_189_2">"A31412"</definedName>
    <definedName name="FDD_189_3">"A31777"</definedName>
    <definedName name="FDD_189_4">"A32142"</definedName>
    <definedName name="FDD_189_5">"A32508"</definedName>
    <definedName name="FDD_189_6">"A32873"</definedName>
    <definedName name="FDD_189_7">"A33238"</definedName>
    <definedName name="FDD_189_8">"A33603"</definedName>
    <definedName name="FDD_189_9">"A33969"</definedName>
    <definedName name="FDD_19_0">"A25569"</definedName>
    <definedName name="FDD_190_0">"A30681"</definedName>
    <definedName name="FDD_190_1">"A31047"</definedName>
    <definedName name="FDD_190_10">"A34334"</definedName>
    <definedName name="FDD_190_11">"A34699"</definedName>
    <definedName name="FDD_190_12">"A35064"</definedName>
    <definedName name="FDD_190_13">"A35430"</definedName>
    <definedName name="FDD_190_14">"A35795"</definedName>
    <definedName name="FDD_190_2">"A31412"</definedName>
    <definedName name="FDD_190_3">"A31777"</definedName>
    <definedName name="FDD_190_4">"A32142"</definedName>
    <definedName name="FDD_190_5">"A32508"</definedName>
    <definedName name="FDD_190_6">"A32873"</definedName>
    <definedName name="FDD_190_7">"A33238"</definedName>
    <definedName name="FDD_190_8">"A33603"</definedName>
    <definedName name="FDD_190_9">"A33969"</definedName>
    <definedName name="FDD_191_0">"A30681"</definedName>
    <definedName name="FDD_191_1">"A31047"</definedName>
    <definedName name="FDD_191_10">"A34334"</definedName>
    <definedName name="FDD_191_11">"A34699"</definedName>
    <definedName name="FDD_191_12">"A35064"</definedName>
    <definedName name="FDD_191_13">"A35430"</definedName>
    <definedName name="FDD_191_14">"A35795"</definedName>
    <definedName name="FDD_191_2">"A31412"</definedName>
    <definedName name="FDD_191_3">"A31777"</definedName>
    <definedName name="FDD_191_4">"A32142"</definedName>
    <definedName name="FDD_191_5">"A32508"</definedName>
    <definedName name="FDD_191_6">"A32873"</definedName>
    <definedName name="FDD_191_7">"A33238"</definedName>
    <definedName name="FDD_191_8">"A33603"</definedName>
    <definedName name="FDD_191_9">"A33969"</definedName>
    <definedName name="FDD_192_0">"E36160"</definedName>
    <definedName name="FDD_192_1">"E36525"</definedName>
    <definedName name="FDD_192_2">"E36891"</definedName>
    <definedName name="FDD_193_0">"A30681"</definedName>
    <definedName name="FDD_193_1">"A31047"</definedName>
    <definedName name="FDD_193_10">"A34334"</definedName>
    <definedName name="FDD_193_11">"A34699"</definedName>
    <definedName name="FDD_193_12">"A35064"</definedName>
    <definedName name="FDD_193_13">"A35430"</definedName>
    <definedName name="FDD_193_14">"A35795"</definedName>
    <definedName name="FDD_193_2">"A31412"</definedName>
    <definedName name="FDD_193_3">"A31777"</definedName>
    <definedName name="FDD_193_4">"A32142"</definedName>
    <definedName name="FDD_193_5">"A32508"</definedName>
    <definedName name="FDD_193_6">"A32873"</definedName>
    <definedName name="FDD_193_7">"A33238"</definedName>
    <definedName name="FDD_193_8">"A33603"</definedName>
    <definedName name="FDD_193_9">"A33969"</definedName>
    <definedName name="FDD_194_0">"A30681"</definedName>
    <definedName name="FDD_194_1">"A31047"</definedName>
    <definedName name="FDD_194_10">"A34334"</definedName>
    <definedName name="FDD_194_11">"A34699"</definedName>
    <definedName name="FDD_194_12">"A35064"</definedName>
    <definedName name="FDD_194_13">"A35430"</definedName>
    <definedName name="FDD_194_14">"A35795"</definedName>
    <definedName name="FDD_194_2">"A31412"</definedName>
    <definedName name="FDD_194_3">"A31777"</definedName>
    <definedName name="FDD_194_4">"A32142"</definedName>
    <definedName name="FDD_194_5">"A32508"</definedName>
    <definedName name="FDD_194_6">"A32873"</definedName>
    <definedName name="FDD_194_7">"A33238"</definedName>
    <definedName name="FDD_194_8">"A33603"</definedName>
    <definedName name="FDD_194_9">"A33969"</definedName>
    <definedName name="FDD_195_0">"A30681"</definedName>
    <definedName name="FDD_195_1">"A31047"</definedName>
    <definedName name="FDD_195_10">"A34334"</definedName>
    <definedName name="FDD_195_11">"A34699"</definedName>
    <definedName name="FDD_195_12">"A35064"</definedName>
    <definedName name="FDD_195_13">"A35430"</definedName>
    <definedName name="FDD_195_14">"A35795"</definedName>
    <definedName name="FDD_195_2">"A31412"</definedName>
    <definedName name="FDD_195_3">"A31777"</definedName>
    <definedName name="FDD_195_4">"A32142"</definedName>
    <definedName name="FDD_195_5">"A32508"</definedName>
    <definedName name="FDD_195_6">"A32873"</definedName>
    <definedName name="FDD_195_7">"A33238"</definedName>
    <definedName name="FDD_195_8">"A33603"</definedName>
    <definedName name="FDD_195_9">"A33969"</definedName>
    <definedName name="FDD_196_0">"E36160"</definedName>
    <definedName name="FDD_196_1">"E36525"</definedName>
    <definedName name="FDD_196_2">"E36891"</definedName>
    <definedName name="FDD_197_0">"A30681"</definedName>
    <definedName name="FDD_197_1">"A31047"</definedName>
    <definedName name="FDD_197_10">"A34334"</definedName>
    <definedName name="FDD_197_11">"A34699"</definedName>
    <definedName name="FDD_197_12">"A35064"</definedName>
    <definedName name="FDD_197_13">"A35430"</definedName>
    <definedName name="FDD_197_14">"A35795"</definedName>
    <definedName name="FDD_197_2">"A31412"</definedName>
    <definedName name="FDD_197_3">"A31777"</definedName>
    <definedName name="FDD_197_4">"A32142"</definedName>
    <definedName name="FDD_197_5">"A32508"</definedName>
    <definedName name="FDD_197_6">"A32873"</definedName>
    <definedName name="FDD_197_7">"A33238"</definedName>
    <definedName name="FDD_197_8">"A33603"</definedName>
    <definedName name="FDD_197_9">"A33969"</definedName>
    <definedName name="FDD_198_0">"A30681"</definedName>
    <definedName name="FDD_198_1">"A31047"</definedName>
    <definedName name="FDD_198_10">"U34334"</definedName>
    <definedName name="FDD_198_11">"U34699"</definedName>
    <definedName name="FDD_198_12">"U35064"</definedName>
    <definedName name="FDD_198_13">"U35430"</definedName>
    <definedName name="FDD_198_14">"U35795"</definedName>
    <definedName name="FDD_198_2">"A31412"</definedName>
    <definedName name="FDD_198_3">"U31777"</definedName>
    <definedName name="FDD_198_4">"U32142"</definedName>
    <definedName name="FDD_198_5">"U32508"</definedName>
    <definedName name="FDD_198_6">"U32873"</definedName>
    <definedName name="FDD_198_7">"U33238"</definedName>
    <definedName name="FDD_198_8">"U33603"</definedName>
    <definedName name="FDD_198_9">"U33969"</definedName>
    <definedName name="FDD_199_0">"E36160"</definedName>
    <definedName name="FDD_199_1">"E36525"</definedName>
    <definedName name="FDD_199_2">"E36891"</definedName>
    <definedName name="FDD_2_0">"A25569"</definedName>
    <definedName name="FDD_20_0">"A25569"</definedName>
    <definedName name="FDD_200_0">"E36160"</definedName>
    <definedName name="FDD_200_1">"E36525"</definedName>
    <definedName name="FDD_200_2">"E36891"</definedName>
    <definedName name="FDD_201_0">"A30681"</definedName>
    <definedName name="FDD_201_1">"A31047"</definedName>
    <definedName name="FDD_201_10">"A34334"</definedName>
    <definedName name="FDD_201_11">"A34699"</definedName>
    <definedName name="FDD_201_12">"A35064"</definedName>
    <definedName name="FDD_201_13">"A35430"</definedName>
    <definedName name="FDD_201_14">"A35795"</definedName>
    <definedName name="FDD_201_2">"A31412"</definedName>
    <definedName name="FDD_201_3">"A31777"</definedName>
    <definedName name="FDD_201_4">"A32142"</definedName>
    <definedName name="FDD_201_5">"A32508"</definedName>
    <definedName name="FDD_201_6">"A32873"</definedName>
    <definedName name="FDD_201_7">"A33238"</definedName>
    <definedName name="FDD_201_8">"A33603"</definedName>
    <definedName name="FDD_201_9">"A33969"</definedName>
    <definedName name="FDD_202_0">"A30681"</definedName>
    <definedName name="FDD_202_1">"A31047"</definedName>
    <definedName name="FDD_202_10">"A34334"</definedName>
    <definedName name="FDD_202_11">"A34699"</definedName>
    <definedName name="FDD_202_12">"A35064"</definedName>
    <definedName name="FDD_202_13">"A35430"</definedName>
    <definedName name="FDD_202_14">"A35795"</definedName>
    <definedName name="FDD_202_2">"A31412"</definedName>
    <definedName name="FDD_202_3">"A31777"</definedName>
    <definedName name="FDD_202_4">"A32142"</definedName>
    <definedName name="FDD_202_5">"A32508"</definedName>
    <definedName name="FDD_202_6">"A32873"</definedName>
    <definedName name="FDD_202_7">"A33238"</definedName>
    <definedName name="FDD_202_8">"A33603"</definedName>
    <definedName name="FDD_202_9">"A33969"</definedName>
    <definedName name="FDD_203_0">"E36160"</definedName>
    <definedName name="FDD_203_1">"E36525"</definedName>
    <definedName name="FDD_203_2">"E36891"</definedName>
    <definedName name="FDD_204_0">"A25569"</definedName>
    <definedName name="FDD_205_0">"A25569"</definedName>
    <definedName name="FDD_206_0">"A25569"</definedName>
    <definedName name="FDD_207_0">"A25569"</definedName>
    <definedName name="FDD_208_0">"E36160"</definedName>
    <definedName name="FDD_208_1">"E36525"</definedName>
    <definedName name="FDD_208_2">"E36891"</definedName>
    <definedName name="FDD_209_0">"A25569"</definedName>
    <definedName name="FDD_21_0">"A25569"</definedName>
    <definedName name="FDD_210_0">"A25569"</definedName>
    <definedName name="FDD_211_0">"A25569"</definedName>
    <definedName name="FDD_212_0">"A25569"</definedName>
    <definedName name="FDD_213_0">"E36160"</definedName>
    <definedName name="FDD_213_1">"E36525"</definedName>
    <definedName name="FDD_213_2">"E36891"</definedName>
    <definedName name="FDD_214_0">"A25569"</definedName>
    <definedName name="FDD_215_0">"A25569"</definedName>
    <definedName name="FDD_216_0">"A25569"</definedName>
    <definedName name="FDD_217_0">"A25569"</definedName>
    <definedName name="FDD_218_0">"E36160"</definedName>
    <definedName name="FDD_218_1">"E36525"</definedName>
    <definedName name="FDD_218_2">"E36891"</definedName>
    <definedName name="FDD_219_0">"U25569"</definedName>
    <definedName name="FDD_22_0">"A25569"</definedName>
    <definedName name="FDD_220_0">"U25569"</definedName>
    <definedName name="FDD_221_0">"U25569"</definedName>
    <definedName name="FDD_222_0">"U25569"</definedName>
    <definedName name="FDD_223_0">"E36160"</definedName>
    <definedName name="FDD_223_1">"E36525"</definedName>
    <definedName name="FDD_223_2">"E36891"</definedName>
    <definedName name="FDD_224_0">"A25569"</definedName>
    <definedName name="FDD_225_0">"A25569"</definedName>
    <definedName name="FDD_226_0">"A25569"</definedName>
    <definedName name="FDD_227_0">"A25569"</definedName>
    <definedName name="FDD_228_0">"E36160"</definedName>
    <definedName name="FDD_228_1">"E36525"</definedName>
    <definedName name="FDD_228_2">"E36891"</definedName>
    <definedName name="FDD_229_0">"A25569"</definedName>
    <definedName name="FDD_23_0">"A25569"</definedName>
    <definedName name="FDD_230_0">"A25569"</definedName>
    <definedName name="FDD_231_0">"A25569"</definedName>
    <definedName name="FDD_232_0">"A25569"</definedName>
    <definedName name="FDD_233_0">"A25569"</definedName>
    <definedName name="FDD_234_0">"A25569"</definedName>
    <definedName name="FDD_235_0">"A25569"</definedName>
    <definedName name="FDD_236_0">"A25569"</definedName>
    <definedName name="FDD_237_0">"A25569"</definedName>
    <definedName name="FDD_238_0">"A30681"</definedName>
    <definedName name="FDD_238_1">"A31047"</definedName>
    <definedName name="FDD_238_10">"A34334"</definedName>
    <definedName name="FDD_238_11">"A34699"</definedName>
    <definedName name="FDD_238_12">"A35064"</definedName>
    <definedName name="FDD_238_13">"A35430"</definedName>
    <definedName name="FDD_238_14">"A35795"</definedName>
    <definedName name="FDD_238_2">"A31412"</definedName>
    <definedName name="FDD_238_3">"A31777"</definedName>
    <definedName name="FDD_238_4">"A32142"</definedName>
    <definedName name="FDD_238_5">"A32508"</definedName>
    <definedName name="FDD_238_6">"A32873"</definedName>
    <definedName name="FDD_238_7">"A33238"</definedName>
    <definedName name="FDD_238_8">"A33603"</definedName>
    <definedName name="FDD_238_9">"A33969"</definedName>
    <definedName name="FDD_24_0">"A25569"</definedName>
    <definedName name="FDD_243_0">"E36160"</definedName>
    <definedName name="FDD_243_1">"E36525"</definedName>
    <definedName name="FDD_243_2">"E36891"</definedName>
    <definedName name="FDD_244_0">"A25569"</definedName>
    <definedName name="FDD_245_0">"A25569"</definedName>
    <definedName name="FDD_246_0">"A25569"</definedName>
    <definedName name="FDD_247_0">"A25569"</definedName>
    <definedName name="FDD_248_0">"E36160"</definedName>
    <definedName name="FDD_248_1">"E36525"</definedName>
    <definedName name="FDD_248_2">"E36891"</definedName>
    <definedName name="FDD_249_0">"A25569"</definedName>
    <definedName name="FDD_25_0">"A25569"</definedName>
    <definedName name="FDD_250_0">"A25569"</definedName>
    <definedName name="FDD_251_0">"A25569"</definedName>
    <definedName name="FDD_252_0">"A25569"</definedName>
    <definedName name="FDD_253_0">"E36160"</definedName>
    <definedName name="FDD_253_1">"E36525"</definedName>
    <definedName name="FDD_253_2">"E36891"</definedName>
    <definedName name="FDD_254_0">"E36160"</definedName>
    <definedName name="FDD_254_1">"E36525"</definedName>
    <definedName name="FDD_254_2">"E36891"</definedName>
    <definedName name="FDD_255_0">"E36160"</definedName>
    <definedName name="FDD_255_1">"E36525"</definedName>
    <definedName name="FDD_255_2">"E36891"</definedName>
    <definedName name="FDD_256_0">"U36160"</definedName>
    <definedName name="FDD_256_1">"U36525"</definedName>
    <definedName name="FDD_256_2">"U36891"</definedName>
    <definedName name="FDD_257_0">"E36160"</definedName>
    <definedName name="FDD_257_1">"E36525"</definedName>
    <definedName name="FDD_257_2">"E36891"</definedName>
    <definedName name="FDD_258_0">"E36160"</definedName>
    <definedName name="FDD_258_1">"E36525"</definedName>
    <definedName name="FDD_258_2">"E36891"</definedName>
    <definedName name="FDD_259_0">"E36160"</definedName>
    <definedName name="FDD_259_1">"E36525"</definedName>
    <definedName name="FDD_259_2">"E36891"</definedName>
    <definedName name="FDD_26_0">"A25569"</definedName>
    <definedName name="FDD_260_0">"E36160"</definedName>
    <definedName name="FDD_260_1">"E36525"</definedName>
    <definedName name="FDD_260_2">"E36891"</definedName>
    <definedName name="FDD_261_0">"E36160"</definedName>
    <definedName name="FDD_261_1">"E36525"</definedName>
    <definedName name="FDD_261_2">"E36891"</definedName>
    <definedName name="FDD_264_0">"E36160"</definedName>
    <definedName name="FDD_264_1">"E36525"</definedName>
    <definedName name="FDD_264_2">"E36891"</definedName>
    <definedName name="FDD_265_0">"A25569"</definedName>
    <definedName name="FDD_266_0">"A25569"</definedName>
    <definedName name="FDD_267_0">"A25569"</definedName>
    <definedName name="FDD_268_0">"A25569"</definedName>
    <definedName name="FDD_269_0">"E36160"</definedName>
    <definedName name="FDD_269_1">"E36525"</definedName>
    <definedName name="FDD_269_2">"E36891"</definedName>
    <definedName name="FDD_27_0">"A25569"</definedName>
    <definedName name="FDD_270_0">"A25569"</definedName>
    <definedName name="FDD_271_0">"A25569"</definedName>
    <definedName name="FDD_272_0">"A25569"</definedName>
    <definedName name="FDD_273_0">"A25569"</definedName>
    <definedName name="FDD_274_0">"E36160"</definedName>
    <definedName name="FDD_274_1">"E36525"</definedName>
    <definedName name="FDD_274_2">"E36891"</definedName>
    <definedName name="FDD_275_0">"A25569"</definedName>
    <definedName name="FDD_276_0">"A25569"</definedName>
    <definedName name="FDD_277_0">"A25569"</definedName>
    <definedName name="FDD_278_0">"A25569"</definedName>
    <definedName name="FDD_279_0">"E36160"</definedName>
    <definedName name="FDD_279_1">"E36525"</definedName>
    <definedName name="FDD_279_2">"E36891"</definedName>
    <definedName name="FDD_28_0">"A25569"</definedName>
    <definedName name="FDD_280_0">"E36160"</definedName>
    <definedName name="FDD_280_1">"E36525"</definedName>
    <definedName name="FDD_280_2">"E36891"</definedName>
    <definedName name="FDD_281_0">"E36160"</definedName>
    <definedName name="FDD_281_1">"E36525"</definedName>
    <definedName name="FDD_281_2">"E36891"</definedName>
    <definedName name="FDD_282_0">"E36160"</definedName>
    <definedName name="FDD_282_1">"E36525"</definedName>
    <definedName name="FDD_282_2">"E36891"</definedName>
    <definedName name="FDD_283_0">"E36160"</definedName>
    <definedName name="FDD_283_1">"E36525"</definedName>
    <definedName name="FDD_283_2">"E36891"</definedName>
    <definedName name="FDD_284_0">"A30681"</definedName>
    <definedName name="FDD_284_1">"A31047"</definedName>
    <definedName name="FDD_284_10">"A34334"</definedName>
    <definedName name="FDD_284_11">"A34699"</definedName>
    <definedName name="FDD_284_12">"A35064"</definedName>
    <definedName name="FDD_284_13">"A35430"</definedName>
    <definedName name="FDD_284_14">"A35795"</definedName>
    <definedName name="FDD_284_2">"A31412"</definedName>
    <definedName name="FDD_284_3">"A31777"</definedName>
    <definedName name="FDD_284_4">"A32142"</definedName>
    <definedName name="FDD_284_5">"A32508"</definedName>
    <definedName name="FDD_284_6">"A32873"</definedName>
    <definedName name="FDD_284_7">"A33238"</definedName>
    <definedName name="FDD_284_8">"A33603"</definedName>
    <definedName name="FDD_284_9">"A33969"</definedName>
    <definedName name="FDD_285_0">"A35795"</definedName>
    <definedName name="FDD_285_1">"E36160"</definedName>
    <definedName name="FDD_285_10">"E39447"</definedName>
    <definedName name="FDD_285_11">"E39813"</definedName>
    <definedName name="FDD_285_12">"E40178"</definedName>
    <definedName name="FDD_285_13">"E40543"</definedName>
    <definedName name="FDD_285_14">"E40908"</definedName>
    <definedName name="FDD_285_15">"E41274"</definedName>
    <definedName name="FDD_285_16">"E41639"</definedName>
    <definedName name="FDD_285_17">"E42004"</definedName>
    <definedName name="FDD_285_18">"E42369"</definedName>
    <definedName name="FDD_285_19">"E42735"</definedName>
    <definedName name="FDD_285_2">"E36525"</definedName>
    <definedName name="FDD_285_20">"E43100"</definedName>
    <definedName name="FDD_285_21">"E43465"</definedName>
    <definedName name="FDD_285_22">"E43830"</definedName>
    <definedName name="FDD_285_23">"E44196"</definedName>
    <definedName name="FDD_285_24">"E44561"</definedName>
    <definedName name="FDD_285_25">"E44926"</definedName>
    <definedName name="FDD_285_3">"E36891"</definedName>
    <definedName name="FDD_285_4">"E37256"</definedName>
    <definedName name="FDD_285_5">"E37621"</definedName>
    <definedName name="FDD_285_6">"E37986"</definedName>
    <definedName name="FDD_285_7">"E38352"</definedName>
    <definedName name="FDD_285_8">"E38717"</definedName>
    <definedName name="FDD_285_9">"E39082"</definedName>
    <definedName name="FDD_286_0">"E36160"</definedName>
    <definedName name="FDD_286_1">"E36525"</definedName>
    <definedName name="FDD_286_10">"E39813"</definedName>
    <definedName name="FDD_286_11">"E40178"</definedName>
    <definedName name="FDD_286_12">"E40543"</definedName>
    <definedName name="FDD_286_13">"E40908"</definedName>
    <definedName name="FDD_286_14">"E41274"</definedName>
    <definedName name="FDD_286_15">"E41639"</definedName>
    <definedName name="FDD_286_16">"E42004"</definedName>
    <definedName name="FDD_286_17">"E42369"</definedName>
    <definedName name="FDD_286_18">"E42735"</definedName>
    <definedName name="FDD_286_19">"E43100"</definedName>
    <definedName name="FDD_286_2">"E36891"</definedName>
    <definedName name="FDD_286_20">"E43465"</definedName>
    <definedName name="FDD_286_21">"E43830"</definedName>
    <definedName name="FDD_286_22">"E44196"</definedName>
    <definedName name="FDD_286_23">"E44561"</definedName>
    <definedName name="FDD_286_24">"E44926"</definedName>
    <definedName name="FDD_286_3">"E37256"</definedName>
    <definedName name="FDD_286_4">"E37621"</definedName>
    <definedName name="FDD_286_5">"E37986"</definedName>
    <definedName name="FDD_286_6">"E38352"</definedName>
    <definedName name="FDD_286_7">"E38717"</definedName>
    <definedName name="FDD_286_8">"E39082"</definedName>
    <definedName name="FDD_286_9">"E39447"</definedName>
    <definedName name="FDD_287_0">"A25569"</definedName>
    <definedName name="FDD_288_0">"A25569"</definedName>
    <definedName name="FDD_289_0">"A36890"</definedName>
    <definedName name="FDD_29_0">"A25569"</definedName>
    <definedName name="FDD_290_0">"A36890"</definedName>
    <definedName name="FDD_291_0">"A25569"</definedName>
    <definedName name="FDD_295_0">"U25569"</definedName>
    <definedName name="FDD_296_0">"A25569"</definedName>
    <definedName name="FDD_297_0">"A25569"</definedName>
    <definedName name="FDD_298_0">"A25569"</definedName>
    <definedName name="FDD_299_0">"A25569"</definedName>
    <definedName name="FDD_3_0">"A25569"</definedName>
    <definedName name="FDD_30_0">"A25569"</definedName>
    <definedName name="FDD_300_0">"U25569"</definedName>
    <definedName name="FDD_301_0">"U35795"</definedName>
    <definedName name="FDD_301_1">"U36160"</definedName>
    <definedName name="FDD_301_2">"U36525"</definedName>
    <definedName name="FDD_302_0">"U35795"</definedName>
    <definedName name="FDD_302_1">"U36160"</definedName>
    <definedName name="FDD_302_2">"U36525"</definedName>
    <definedName name="FDD_303_0">"U35795"</definedName>
    <definedName name="FDD_303_1">"U36160"</definedName>
    <definedName name="FDD_303_2">"U36525"</definedName>
    <definedName name="FDD_304_0">"U35795"</definedName>
    <definedName name="FDD_304_1">"U36160"</definedName>
    <definedName name="FDD_304_2">"U36525"</definedName>
    <definedName name="FDD_305_0">"A30681"</definedName>
    <definedName name="FDD_305_1">"A31047"</definedName>
    <definedName name="FDD_305_10">"U34334"</definedName>
    <definedName name="FDD_305_11">"U34699"</definedName>
    <definedName name="FDD_305_12">"U35064"</definedName>
    <definedName name="FDD_305_13">"U35430"</definedName>
    <definedName name="FDD_305_14">"U35795"</definedName>
    <definedName name="FDD_305_2">"A31412"</definedName>
    <definedName name="FDD_305_3">"U31777"</definedName>
    <definedName name="FDD_305_4">"U32142"</definedName>
    <definedName name="FDD_305_5">"U32508"</definedName>
    <definedName name="FDD_305_6">"U32873"</definedName>
    <definedName name="FDD_305_7">"U33238"</definedName>
    <definedName name="FDD_305_8">"U33603"</definedName>
    <definedName name="FDD_305_9">"U33969"</definedName>
    <definedName name="FDD_306_0">"U35795"</definedName>
    <definedName name="FDD_306_1">"E36160"</definedName>
    <definedName name="FDD_306_2">"U36525"</definedName>
    <definedName name="FDD_307_0">"A35795"</definedName>
    <definedName name="FDD_307_1">"U36160"</definedName>
    <definedName name="FDD_307_2">"U36525"</definedName>
    <definedName name="FDD_31_0">"A25569"</definedName>
    <definedName name="FDD_32_0">"A25569"</definedName>
    <definedName name="FDD_33_0">"A25569"</definedName>
    <definedName name="FDD_34_0">"A25569"</definedName>
    <definedName name="FDD_35_0">"A25569"</definedName>
    <definedName name="FDD_36_0">"A25569"</definedName>
    <definedName name="FDD_37_0">"A25569"</definedName>
    <definedName name="FDD_38_0">"A25569"</definedName>
    <definedName name="FDD_39_0">"A25569"</definedName>
    <definedName name="FDD_4_0">"A25569"</definedName>
    <definedName name="FDD_40_0">"A25569"</definedName>
    <definedName name="FDD_41_0">"U25569"</definedName>
    <definedName name="FDD_42_0">"U25569"</definedName>
    <definedName name="FDD_43_0">"A25569"</definedName>
    <definedName name="FDD_44_0">"A30681"</definedName>
    <definedName name="FDD_44_1">"A31047"</definedName>
    <definedName name="FDD_44_10">"A34334"</definedName>
    <definedName name="FDD_44_11">"A34699"</definedName>
    <definedName name="FDD_44_12">"A35064"</definedName>
    <definedName name="FDD_44_13">"A35430"</definedName>
    <definedName name="FDD_44_14">"A35795"</definedName>
    <definedName name="FDD_44_2">"A31412"</definedName>
    <definedName name="FDD_44_3">"A31777"</definedName>
    <definedName name="FDD_44_4">"A32142"</definedName>
    <definedName name="FDD_44_5">"A32508"</definedName>
    <definedName name="FDD_44_6">"A32873"</definedName>
    <definedName name="FDD_44_7">"A33238"</definedName>
    <definedName name="FDD_44_8">"A33603"</definedName>
    <definedName name="FDD_44_9">"A33969"</definedName>
    <definedName name="FDD_45_0">"A30681"</definedName>
    <definedName name="FDD_45_1">"A31047"</definedName>
    <definedName name="FDD_45_10">"A34334"</definedName>
    <definedName name="FDD_45_11">"A34699"</definedName>
    <definedName name="FDD_45_12">"A35064"</definedName>
    <definedName name="FDD_45_13">"A35430"</definedName>
    <definedName name="FDD_45_14">"A35795"</definedName>
    <definedName name="FDD_45_2">"A31412"</definedName>
    <definedName name="FDD_45_3">"A31777"</definedName>
    <definedName name="FDD_45_4">"A32142"</definedName>
    <definedName name="FDD_45_5">"A32508"</definedName>
    <definedName name="FDD_45_6">"A32873"</definedName>
    <definedName name="FDD_45_7">"A33238"</definedName>
    <definedName name="FDD_45_8">"A33603"</definedName>
    <definedName name="FDD_45_9">"A33969"</definedName>
    <definedName name="FDD_46_0">"A30681"</definedName>
    <definedName name="FDD_46_1">"A31047"</definedName>
    <definedName name="FDD_46_10">"A34334"</definedName>
    <definedName name="FDD_46_11">"A34699"</definedName>
    <definedName name="FDD_46_12">"A35064"</definedName>
    <definedName name="FDD_46_13">"A35430"</definedName>
    <definedName name="FDD_46_14">"A35795"</definedName>
    <definedName name="FDD_46_2">"A31412"</definedName>
    <definedName name="FDD_46_3">"A31777"</definedName>
    <definedName name="FDD_46_4">"A32142"</definedName>
    <definedName name="FDD_46_5">"A32508"</definedName>
    <definedName name="FDD_46_6">"A32873"</definedName>
    <definedName name="FDD_46_7">"A33238"</definedName>
    <definedName name="FDD_46_8">"A33603"</definedName>
    <definedName name="FDD_46_9">"A33969"</definedName>
    <definedName name="FDD_47_0">"A30681"</definedName>
    <definedName name="FDD_47_1">"A31047"</definedName>
    <definedName name="FDD_47_10">"A34334"</definedName>
    <definedName name="FDD_47_11">"A34699"</definedName>
    <definedName name="FDD_47_12">"A35064"</definedName>
    <definedName name="FDD_47_13">"A35430"</definedName>
    <definedName name="FDD_47_14">"A35795"</definedName>
    <definedName name="FDD_47_2">"A31412"</definedName>
    <definedName name="FDD_47_3">"A31777"</definedName>
    <definedName name="FDD_47_4">"A32142"</definedName>
    <definedName name="FDD_47_5">"A32508"</definedName>
    <definedName name="FDD_47_6">"A32873"</definedName>
    <definedName name="FDD_47_7">"A33238"</definedName>
    <definedName name="FDD_47_8">"A33603"</definedName>
    <definedName name="FDD_47_9">"A33969"</definedName>
    <definedName name="FDD_48_0">"A30681"</definedName>
    <definedName name="FDD_48_1">"A31047"</definedName>
    <definedName name="FDD_48_10">"A34334"</definedName>
    <definedName name="FDD_48_11">"A34699"</definedName>
    <definedName name="FDD_48_12">"A35064"</definedName>
    <definedName name="FDD_48_13">"A35430"</definedName>
    <definedName name="FDD_48_14">"A35795"</definedName>
    <definedName name="FDD_48_2">"A31412"</definedName>
    <definedName name="FDD_48_3">"A31777"</definedName>
    <definedName name="FDD_48_4">"A32142"</definedName>
    <definedName name="FDD_48_5">"A32508"</definedName>
    <definedName name="FDD_48_6">"A32873"</definedName>
    <definedName name="FDD_48_7">"A33238"</definedName>
    <definedName name="FDD_48_8">"A33603"</definedName>
    <definedName name="FDD_48_9">"A33969"</definedName>
    <definedName name="FDD_49_0">"A30681"</definedName>
    <definedName name="FDD_49_1">"A31047"</definedName>
    <definedName name="FDD_49_10">"A34334"</definedName>
    <definedName name="FDD_49_11">"A34699"</definedName>
    <definedName name="FDD_49_12">"A35064"</definedName>
    <definedName name="FDD_49_13">"A35430"</definedName>
    <definedName name="FDD_49_14">"A35795"</definedName>
    <definedName name="FDD_49_2">"A31412"</definedName>
    <definedName name="FDD_49_3">"A31777"</definedName>
    <definedName name="FDD_49_4">"A32142"</definedName>
    <definedName name="FDD_49_5">"A32508"</definedName>
    <definedName name="FDD_49_6">"A32873"</definedName>
    <definedName name="FDD_49_7">"A33238"</definedName>
    <definedName name="FDD_49_8">"A33603"</definedName>
    <definedName name="FDD_49_9">"A33969"</definedName>
    <definedName name="FDD_5_0">"A25569"</definedName>
    <definedName name="FDD_50_0">"A30681"</definedName>
    <definedName name="FDD_50_1">"A31047"</definedName>
    <definedName name="FDD_50_10">"A34334"</definedName>
    <definedName name="FDD_50_11">"A34699"</definedName>
    <definedName name="FDD_50_12">"A35064"</definedName>
    <definedName name="FDD_50_13">"A35430"</definedName>
    <definedName name="FDD_50_14">"A35795"</definedName>
    <definedName name="FDD_50_2">"A31412"</definedName>
    <definedName name="FDD_50_3">"A31777"</definedName>
    <definedName name="FDD_50_4">"A32142"</definedName>
    <definedName name="FDD_50_5">"A32508"</definedName>
    <definedName name="FDD_50_6">"A32873"</definedName>
    <definedName name="FDD_50_7">"A33238"</definedName>
    <definedName name="FDD_50_8">"A33603"</definedName>
    <definedName name="FDD_50_9">"A33969"</definedName>
    <definedName name="FDD_51_0">"A30681"</definedName>
    <definedName name="FDD_51_1">"A31047"</definedName>
    <definedName name="FDD_51_10">"A34334"</definedName>
    <definedName name="FDD_51_11">"A34699"</definedName>
    <definedName name="FDD_51_12">"A35064"</definedName>
    <definedName name="FDD_51_13">"A35430"</definedName>
    <definedName name="FDD_51_14">"A35795"</definedName>
    <definedName name="FDD_51_2">"A31412"</definedName>
    <definedName name="FDD_51_3">"A31777"</definedName>
    <definedName name="FDD_51_4">"A32142"</definedName>
    <definedName name="FDD_51_5">"A32508"</definedName>
    <definedName name="FDD_51_6">"A32873"</definedName>
    <definedName name="FDD_51_7">"A33238"</definedName>
    <definedName name="FDD_51_8">"A33603"</definedName>
    <definedName name="FDD_51_9">"A33969"</definedName>
    <definedName name="FDD_52_0">"A30681"</definedName>
    <definedName name="FDD_52_1">"A31047"</definedName>
    <definedName name="FDD_52_10">"A34334"</definedName>
    <definedName name="FDD_52_11">"A34699"</definedName>
    <definedName name="FDD_52_12">"A35064"</definedName>
    <definedName name="FDD_52_13">"A35430"</definedName>
    <definedName name="FDD_52_14">"A35795"</definedName>
    <definedName name="FDD_52_2">"A31412"</definedName>
    <definedName name="FDD_52_3">"A31777"</definedName>
    <definedName name="FDD_52_4">"A32142"</definedName>
    <definedName name="FDD_52_5">"A32508"</definedName>
    <definedName name="FDD_52_6">"A32873"</definedName>
    <definedName name="FDD_52_7">"A33238"</definedName>
    <definedName name="FDD_52_8">"A33603"</definedName>
    <definedName name="FDD_52_9">"A33969"</definedName>
    <definedName name="FDD_53_0">"U30681"</definedName>
    <definedName name="FDD_53_1">"A31047"</definedName>
    <definedName name="FDD_53_10">"A34334"</definedName>
    <definedName name="FDD_53_11">"A34699"</definedName>
    <definedName name="FDD_53_12">"A35064"</definedName>
    <definedName name="FDD_53_13">"A35430"</definedName>
    <definedName name="FDD_53_14">"A35795"</definedName>
    <definedName name="FDD_53_2">"A31412"</definedName>
    <definedName name="FDD_53_3">"A31777"</definedName>
    <definedName name="FDD_53_4">"A32142"</definedName>
    <definedName name="FDD_53_5">"A32508"</definedName>
    <definedName name="FDD_53_6">"A32873"</definedName>
    <definedName name="FDD_53_7">"A33238"</definedName>
    <definedName name="FDD_53_8">"A33603"</definedName>
    <definedName name="FDD_53_9">"A33969"</definedName>
    <definedName name="FDD_54_0">"A30681"</definedName>
    <definedName name="FDD_54_1">"A31047"</definedName>
    <definedName name="FDD_54_10">"A34334"</definedName>
    <definedName name="FDD_54_11">"A34699"</definedName>
    <definedName name="FDD_54_12">"A35064"</definedName>
    <definedName name="FDD_54_13">"A35430"</definedName>
    <definedName name="FDD_54_14">"A35795"</definedName>
    <definedName name="FDD_54_2">"A31412"</definedName>
    <definedName name="FDD_54_3">"A31777"</definedName>
    <definedName name="FDD_54_4">"A32142"</definedName>
    <definedName name="FDD_54_5">"A32508"</definedName>
    <definedName name="FDD_54_6">"A32873"</definedName>
    <definedName name="FDD_54_7">"A33238"</definedName>
    <definedName name="FDD_54_8">"A33603"</definedName>
    <definedName name="FDD_54_9">"A33969"</definedName>
    <definedName name="FDD_55_0">"A30681"</definedName>
    <definedName name="FDD_55_1">"A31047"</definedName>
    <definedName name="FDD_55_10">"A34334"</definedName>
    <definedName name="FDD_55_11">"A34699"</definedName>
    <definedName name="FDD_55_12">"A35064"</definedName>
    <definedName name="FDD_55_13">"A35430"</definedName>
    <definedName name="FDD_55_14">"A35795"</definedName>
    <definedName name="FDD_55_2">"A31412"</definedName>
    <definedName name="FDD_55_3">"A31777"</definedName>
    <definedName name="FDD_55_4">"A32142"</definedName>
    <definedName name="FDD_55_5">"A32508"</definedName>
    <definedName name="FDD_55_6">"A32873"</definedName>
    <definedName name="FDD_55_7">"A33238"</definedName>
    <definedName name="FDD_55_8">"A33603"</definedName>
    <definedName name="FDD_55_9">"A33969"</definedName>
    <definedName name="FDD_56_0">"A30681"</definedName>
    <definedName name="FDD_56_1">"A31047"</definedName>
    <definedName name="FDD_56_10">"A34334"</definedName>
    <definedName name="FDD_56_11">"A34699"</definedName>
    <definedName name="FDD_56_12">"A35064"</definedName>
    <definedName name="FDD_56_13">"A35430"</definedName>
    <definedName name="FDD_56_14">"A35795"</definedName>
    <definedName name="FDD_56_2">"A31412"</definedName>
    <definedName name="FDD_56_3">"A31777"</definedName>
    <definedName name="FDD_56_4">"A32142"</definedName>
    <definedName name="FDD_56_5">"A32508"</definedName>
    <definedName name="FDD_56_6">"A32873"</definedName>
    <definedName name="FDD_56_7">"A33238"</definedName>
    <definedName name="FDD_56_8">"A33603"</definedName>
    <definedName name="FDD_56_9">"A33969"</definedName>
    <definedName name="FDD_57_0">"A30681"</definedName>
    <definedName name="FDD_57_1">"A31047"</definedName>
    <definedName name="FDD_57_10">"A34334"</definedName>
    <definedName name="FDD_57_11">"A34699"</definedName>
    <definedName name="FDD_57_12">"A35064"</definedName>
    <definedName name="FDD_57_13">"A35430"</definedName>
    <definedName name="FDD_57_14">"A35795"</definedName>
    <definedName name="FDD_57_2">"A31412"</definedName>
    <definedName name="FDD_57_3">"A31777"</definedName>
    <definedName name="FDD_57_4">"A32142"</definedName>
    <definedName name="FDD_57_5">"A32508"</definedName>
    <definedName name="FDD_57_6">"A32873"</definedName>
    <definedName name="FDD_57_7">"A33238"</definedName>
    <definedName name="FDD_57_8">"A33603"</definedName>
    <definedName name="FDD_57_9">"A33969"</definedName>
    <definedName name="FDD_58_0">"A30681"</definedName>
    <definedName name="FDD_58_1">"A31047"</definedName>
    <definedName name="FDD_58_10">"A34334"</definedName>
    <definedName name="FDD_58_11">"A34699"</definedName>
    <definedName name="FDD_58_12">"A35064"</definedName>
    <definedName name="FDD_58_13">"A35430"</definedName>
    <definedName name="FDD_58_14">"A35795"</definedName>
    <definedName name="FDD_58_2">"A31412"</definedName>
    <definedName name="FDD_58_3">"A31777"</definedName>
    <definedName name="FDD_58_4">"A32142"</definedName>
    <definedName name="FDD_58_5">"A32508"</definedName>
    <definedName name="FDD_58_6">"A32873"</definedName>
    <definedName name="FDD_58_7">"A33238"</definedName>
    <definedName name="FDD_58_8">"A33603"</definedName>
    <definedName name="FDD_58_9">"A33969"</definedName>
    <definedName name="FDD_59_0">"A30681"</definedName>
    <definedName name="FDD_59_1">"A31047"</definedName>
    <definedName name="FDD_59_10">"A34334"</definedName>
    <definedName name="FDD_59_11">"A34699"</definedName>
    <definedName name="FDD_59_12">"A35064"</definedName>
    <definedName name="FDD_59_13">"A35430"</definedName>
    <definedName name="FDD_59_14">"A35795"</definedName>
    <definedName name="FDD_59_2">"A31412"</definedName>
    <definedName name="FDD_59_3">"A31777"</definedName>
    <definedName name="FDD_59_4">"A32142"</definedName>
    <definedName name="FDD_59_5">"A32508"</definedName>
    <definedName name="FDD_59_6">"A32873"</definedName>
    <definedName name="FDD_59_7">"A33238"</definedName>
    <definedName name="FDD_59_8">"A33603"</definedName>
    <definedName name="FDD_59_9">"A33969"</definedName>
    <definedName name="FDD_6_0">"A25569"</definedName>
    <definedName name="FDD_60_0">"A30681"</definedName>
    <definedName name="FDD_60_1">"A31047"</definedName>
    <definedName name="FDD_60_10">"A34334"</definedName>
    <definedName name="FDD_60_11">"A34699"</definedName>
    <definedName name="FDD_60_12">"A35064"</definedName>
    <definedName name="FDD_60_13">"A35430"</definedName>
    <definedName name="FDD_60_14">"A35795"</definedName>
    <definedName name="FDD_60_2">"A31412"</definedName>
    <definedName name="FDD_60_3">"A31777"</definedName>
    <definedName name="FDD_60_4">"A32142"</definedName>
    <definedName name="FDD_60_5">"A32508"</definedName>
    <definedName name="FDD_60_6">"A32873"</definedName>
    <definedName name="FDD_60_7">"A33238"</definedName>
    <definedName name="FDD_60_8">"A33603"</definedName>
    <definedName name="FDD_60_9">"A33969"</definedName>
    <definedName name="FDD_61_0">"A30681"</definedName>
    <definedName name="FDD_61_1">"A31047"</definedName>
    <definedName name="FDD_61_10">"A34334"</definedName>
    <definedName name="FDD_61_11">"A34699"</definedName>
    <definedName name="FDD_61_12">"A35064"</definedName>
    <definedName name="FDD_61_13">"A35430"</definedName>
    <definedName name="FDD_61_14">"A35795"</definedName>
    <definedName name="FDD_61_2">"A31412"</definedName>
    <definedName name="FDD_61_3">"A31777"</definedName>
    <definedName name="FDD_61_4">"A32142"</definedName>
    <definedName name="FDD_61_5">"A32508"</definedName>
    <definedName name="FDD_61_6">"A32873"</definedName>
    <definedName name="FDD_61_7">"A33238"</definedName>
    <definedName name="FDD_61_8">"A33603"</definedName>
    <definedName name="FDD_61_9">"A33969"</definedName>
    <definedName name="FDD_62_0">"A30681"</definedName>
    <definedName name="FDD_62_1">"A31047"</definedName>
    <definedName name="FDD_62_10">"A34334"</definedName>
    <definedName name="FDD_62_11">"A34699"</definedName>
    <definedName name="FDD_62_12">"A35064"</definedName>
    <definedName name="FDD_62_13">"A35430"</definedName>
    <definedName name="FDD_62_14">"A35795"</definedName>
    <definedName name="FDD_62_2">"A31412"</definedName>
    <definedName name="FDD_62_3">"A31777"</definedName>
    <definedName name="FDD_62_4">"A32142"</definedName>
    <definedName name="FDD_62_5">"A32508"</definedName>
    <definedName name="FDD_62_6">"A32873"</definedName>
    <definedName name="FDD_62_7">"A33238"</definedName>
    <definedName name="FDD_62_8">"A33603"</definedName>
    <definedName name="FDD_62_9">"A33969"</definedName>
    <definedName name="FDD_63_0">"A30681"</definedName>
    <definedName name="FDD_63_1">"A31047"</definedName>
    <definedName name="FDD_63_10">"A34334"</definedName>
    <definedName name="FDD_63_11">"A34699"</definedName>
    <definedName name="FDD_63_12">"A35064"</definedName>
    <definedName name="FDD_63_13">"A35430"</definedName>
    <definedName name="FDD_63_14">"A35795"</definedName>
    <definedName name="FDD_63_2">"A31412"</definedName>
    <definedName name="FDD_63_3">"A31777"</definedName>
    <definedName name="FDD_63_4">"A32142"</definedName>
    <definedName name="FDD_63_5">"A32508"</definedName>
    <definedName name="FDD_63_6">"A32873"</definedName>
    <definedName name="FDD_63_7">"A33238"</definedName>
    <definedName name="FDD_63_8">"A33603"</definedName>
    <definedName name="FDD_63_9">"A33969"</definedName>
    <definedName name="FDD_64_0">"A30681"</definedName>
    <definedName name="FDD_64_1">"A31047"</definedName>
    <definedName name="FDD_64_10">"A34334"</definedName>
    <definedName name="FDD_64_11">"A34699"</definedName>
    <definedName name="FDD_64_12">"A35064"</definedName>
    <definedName name="FDD_64_13">"A35430"</definedName>
    <definedName name="FDD_64_14">"A35795"</definedName>
    <definedName name="FDD_64_2">"A31412"</definedName>
    <definedName name="FDD_64_3">"A31777"</definedName>
    <definedName name="FDD_64_4">"A32142"</definedName>
    <definedName name="FDD_64_5">"A32508"</definedName>
    <definedName name="FDD_64_6">"A32873"</definedName>
    <definedName name="FDD_64_7">"A33238"</definedName>
    <definedName name="FDD_64_8">"A33603"</definedName>
    <definedName name="FDD_64_9">"A33969"</definedName>
    <definedName name="FDD_65_0">"A30681"</definedName>
    <definedName name="FDD_65_1">"A31047"</definedName>
    <definedName name="FDD_65_10">"A34334"</definedName>
    <definedName name="FDD_65_11">"A34699"</definedName>
    <definedName name="FDD_65_12">"A35064"</definedName>
    <definedName name="FDD_65_13">"A35430"</definedName>
    <definedName name="FDD_65_14">"A35795"</definedName>
    <definedName name="FDD_65_2">"A31412"</definedName>
    <definedName name="FDD_65_3">"A31777"</definedName>
    <definedName name="FDD_65_4">"A32142"</definedName>
    <definedName name="FDD_65_5">"A32508"</definedName>
    <definedName name="FDD_65_6">"A32873"</definedName>
    <definedName name="FDD_65_7">"A33238"</definedName>
    <definedName name="FDD_65_8">"A33603"</definedName>
    <definedName name="FDD_65_9">"A33969"</definedName>
    <definedName name="FDD_66_0">"A30681"</definedName>
    <definedName name="FDD_66_1">"A31047"</definedName>
    <definedName name="FDD_66_10">"A34334"</definedName>
    <definedName name="FDD_66_11">"A34699"</definedName>
    <definedName name="FDD_66_12">"A35064"</definedName>
    <definedName name="FDD_66_13">"A35430"</definedName>
    <definedName name="FDD_66_14">"A35795"</definedName>
    <definedName name="FDD_66_2">"A31412"</definedName>
    <definedName name="FDD_66_3">"A31777"</definedName>
    <definedName name="FDD_66_4">"A32142"</definedName>
    <definedName name="FDD_66_5">"A32508"</definedName>
    <definedName name="FDD_66_6">"A32873"</definedName>
    <definedName name="FDD_66_7">"A33238"</definedName>
    <definedName name="FDD_66_8">"A33603"</definedName>
    <definedName name="FDD_66_9">"A33969"</definedName>
    <definedName name="FDD_67_0">"A30681"</definedName>
    <definedName name="FDD_67_1">"A31047"</definedName>
    <definedName name="FDD_67_10">"A34334"</definedName>
    <definedName name="FDD_67_11">"A34699"</definedName>
    <definedName name="FDD_67_12">"A35064"</definedName>
    <definedName name="FDD_67_13">"A35430"</definedName>
    <definedName name="FDD_67_14">"A35795"</definedName>
    <definedName name="FDD_67_2">"A31412"</definedName>
    <definedName name="FDD_67_3">"A31777"</definedName>
    <definedName name="FDD_67_4">"A32142"</definedName>
    <definedName name="FDD_67_5">"A32508"</definedName>
    <definedName name="FDD_67_6">"A32873"</definedName>
    <definedName name="FDD_67_7">"A33238"</definedName>
    <definedName name="FDD_67_8">"A33603"</definedName>
    <definedName name="FDD_67_9">"A33969"</definedName>
    <definedName name="FDD_68_0">"A30681"</definedName>
    <definedName name="FDD_68_1">"A31047"</definedName>
    <definedName name="FDD_68_10">"A34334"</definedName>
    <definedName name="FDD_68_11">"A34699"</definedName>
    <definedName name="FDD_68_12">"A35064"</definedName>
    <definedName name="FDD_68_13">"A35430"</definedName>
    <definedName name="FDD_68_14">"A35795"</definedName>
    <definedName name="FDD_68_2">"A31412"</definedName>
    <definedName name="FDD_68_3">"A31777"</definedName>
    <definedName name="FDD_68_4">"A32142"</definedName>
    <definedName name="FDD_68_5">"A32508"</definedName>
    <definedName name="FDD_68_6">"A32873"</definedName>
    <definedName name="FDD_68_7">"A33238"</definedName>
    <definedName name="FDD_68_8">"A33603"</definedName>
    <definedName name="FDD_68_9">"A33969"</definedName>
    <definedName name="FDD_69_0">"U30681"</definedName>
    <definedName name="FDD_69_1">"A31047"</definedName>
    <definedName name="FDD_69_10">"A34334"</definedName>
    <definedName name="FDD_69_11">"A34699"</definedName>
    <definedName name="FDD_69_12">"A35064"</definedName>
    <definedName name="FDD_69_13">"A35430"</definedName>
    <definedName name="FDD_69_14">"A35795"</definedName>
    <definedName name="FDD_69_2">"A31412"</definedName>
    <definedName name="FDD_69_3">"A31777"</definedName>
    <definedName name="FDD_69_4">"A32142"</definedName>
    <definedName name="FDD_69_5">"A32508"</definedName>
    <definedName name="FDD_69_6">"A32873"</definedName>
    <definedName name="FDD_69_7">"A33238"</definedName>
    <definedName name="FDD_69_8">"A33603"</definedName>
    <definedName name="FDD_69_9">"A33969"</definedName>
    <definedName name="FDD_7_0">"A25569"</definedName>
    <definedName name="FDD_70_0">"A30681"</definedName>
    <definedName name="FDD_70_1">"A31047"</definedName>
    <definedName name="FDD_70_10">"A34334"</definedName>
    <definedName name="FDD_70_11">"A34699"</definedName>
    <definedName name="FDD_70_12">"A35064"</definedName>
    <definedName name="FDD_70_13">"A35430"</definedName>
    <definedName name="FDD_70_14">"A35795"</definedName>
    <definedName name="FDD_70_2">"A31412"</definedName>
    <definedName name="FDD_70_3">"A31777"</definedName>
    <definedName name="FDD_70_4">"A32142"</definedName>
    <definedName name="FDD_70_5">"A32508"</definedName>
    <definedName name="FDD_70_6">"A32873"</definedName>
    <definedName name="FDD_70_7">"A33238"</definedName>
    <definedName name="FDD_70_8">"A33603"</definedName>
    <definedName name="FDD_70_9">"A33969"</definedName>
    <definedName name="FDD_71_0">"A30681"</definedName>
    <definedName name="FDD_71_1">"A31047"</definedName>
    <definedName name="FDD_71_10">"A34334"</definedName>
    <definedName name="FDD_71_11">"A34699"</definedName>
    <definedName name="FDD_71_12">"A35064"</definedName>
    <definedName name="FDD_71_13">"A35430"</definedName>
    <definedName name="FDD_71_14">"A35795"</definedName>
    <definedName name="FDD_71_2">"A31412"</definedName>
    <definedName name="FDD_71_3">"A31777"</definedName>
    <definedName name="FDD_71_4">"A32142"</definedName>
    <definedName name="FDD_71_5">"A32508"</definedName>
    <definedName name="FDD_71_6">"A32873"</definedName>
    <definedName name="FDD_71_7">"A33238"</definedName>
    <definedName name="FDD_71_8">"A33603"</definedName>
    <definedName name="FDD_71_9">"A33969"</definedName>
    <definedName name="FDD_72_0">"A30681"</definedName>
    <definedName name="FDD_72_1">"A31047"</definedName>
    <definedName name="FDD_72_10">"A34334"</definedName>
    <definedName name="FDD_72_11">"A34699"</definedName>
    <definedName name="FDD_72_12">"A35064"</definedName>
    <definedName name="FDD_72_13">"A35430"</definedName>
    <definedName name="FDD_72_14">"A35795"</definedName>
    <definedName name="FDD_72_2">"A31412"</definedName>
    <definedName name="FDD_72_3">"A31777"</definedName>
    <definedName name="FDD_72_4">"A32142"</definedName>
    <definedName name="FDD_72_5">"A32508"</definedName>
    <definedName name="FDD_72_6">"A32873"</definedName>
    <definedName name="FDD_72_7">"A33238"</definedName>
    <definedName name="FDD_72_8">"A33603"</definedName>
    <definedName name="FDD_72_9">"A33969"</definedName>
    <definedName name="FDD_73_0">"A30681"</definedName>
    <definedName name="FDD_73_1">"A31047"</definedName>
    <definedName name="FDD_73_10">"A34334"</definedName>
    <definedName name="FDD_73_11">"A34699"</definedName>
    <definedName name="FDD_73_12">"A35064"</definedName>
    <definedName name="FDD_73_13">"A35430"</definedName>
    <definedName name="FDD_73_14">"A35795"</definedName>
    <definedName name="FDD_73_2">"A31412"</definedName>
    <definedName name="FDD_73_3">"A31777"</definedName>
    <definedName name="FDD_73_4">"A32142"</definedName>
    <definedName name="FDD_73_5">"A32508"</definedName>
    <definedName name="FDD_73_6">"A32873"</definedName>
    <definedName name="FDD_73_7">"A33238"</definedName>
    <definedName name="FDD_73_8">"A33603"</definedName>
    <definedName name="FDD_73_9">"A33969"</definedName>
    <definedName name="FDD_74_0">"A30681"</definedName>
    <definedName name="FDD_74_1">"A31047"</definedName>
    <definedName name="FDD_74_10">"A34334"</definedName>
    <definedName name="FDD_74_11">"A34699"</definedName>
    <definedName name="FDD_74_12">"A35064"</definedName>
    <definedName name="FDD_74_13">"A35430"</definedName>
    <definedName name="FDD_74_14">"A35795"</definedName>
    <definedName name="FDD_74_2">"A31412"</definedName>
    <definedName name="FDD_74_3">"A31777"</definedName>
    <definedName name="FDD_74_4">"A32142"</definedName>
    <definedName name="FDD_74_5">"A32508"</definedName>
    <definedName name="FDD_74_6">"A32873"</definedName>
    <definedName name="FDD_74_7">"A33238"</definedName>
    <definedName name="FDD_74_8">"A33603"</definedName>
    <definedName name="FDD_74_9">"A33969"</definedName>
    <definedName name="FDD_75_0">"A30681"</definedName>
    <definedName name="FDD_75_1">"A31047"</definedName>
    <definedName name="FDD_75_10">"A34334"</definedName>
    <definedName name="FDD_75_11">"A34699"</definedName>
    <definedName name="FDD_75_12">"A35064"</definedName>
    <definedName name="FDD_75_13">"A35430"</definedName>
    <definedName name="FDD_75_14">"A35795"</definedName>
    <definedName name="FDD_75_2">"A31412"</definedName>
    <definedName name="FDD_75_3">"A31777"</definedName>
    <definedName name="FDD_75_4">"A32142"</definedName>
    <definedName name="FDD_75_5">"A32508"</definedName>
    <definedName name="FDD_75_6">"A32873"</definedName>
    <definedName name="FDD_75_7">"A33238"</definedName>
    <definedName name="FDD_75_8">"A33603"</definedName>
    <definedName name="FDD_75_9">"A33969"</definedName>
    <definedName name="FDD_76_0">"A30681"</definedName>
    <definedName name="FDD_76_1">"A31047"</definedName>
    <definedName name="FDD_76_10">"A34334"</definedName>
    <definedName name="FDD_76_11">"A34699"</definedName>
    <definedName name="FDD_76_12">"A35064"</definedName>
    <definedName name="FDD_76_13">"A35430"</definedName>
    <definedName name="FDD_76_14">"A35795"</definedName>
    <definedName name="FDD_76_2">"A31412"</definedName>
    <definedName name="FDD_76_3">"A31777"</definedName>
    <definedName name="FDD_76_4">"A32142"</definedName>
    <definedName name="FDD_76_5">"A32508"</definedName>
    <definedName name="FDD_76_6">"A32873"</definedName>
    <definedName name="FDD_76_7">"A33238"</definedName>
    <definedName name="FDD_76_8">"A33603"</definedName>
    <definedName name="FDD_76_9">"A33969"</definedName>
    <definedName name="FDD_77_0">"A30681"</definedName>
    <definedName name="FDD_77_1">"A31047"</definedName>
    <definedName name="FDD_77_10">"A34334"</definedName>
    <definedName name="FDD_77_11">"A34699"</definedName>
    <definedName name="FDD_77_12">"A35064"</definedName>
    <definedName name="FDD_77_13">"A35430"</definedName>
    <definedName name="FDD_77_14">"A35795"</definedName>
    <definedName name="FDD_77_2">"A31412"</definedName>
    <definedName name="FDD_77_3">"A31777"</definedName>
    <definedName name="FDD_77_4">"A32142"</definedName>
    <definedName name="FDD_77_5">"A32508"</definedName>
    <definedName name="FDD_77_6">"A32873"</definedName>
    <definedName name="FDD_77_7">"A33238"</definedName>
    <definedName name="FDD_77_8">"A33603"</definedName>
    <definedName name="FDD_77_9">"A33969"</definedName>
    <definedName name="FDD_78_0">"A30681"</definedName>
    <definedName name="FDD_78_1">"A31047"</definedName>
    <definedName name="FDD_78_10">"A34334"</definedName>
    <definedName name="FDD_78_11">"A34699"</definedName>
    <definedName name="FDD_78_12">"A35064"</definedName>
    <definedName name="FDD_78_13">"A35430"</definedName>
    <definedName name="FDD_78_14">"A35795"</definedName>
    <definedName name="FDD_78_2">"A31412"</definedName>
    <definedName name="FDD_78_3">"A31777"</definedName>
    <definedName name="FDD_78_4">"A32142"</definedName>
    <definedName name="FDD_78_5">"A32508"</definedName>
    <definedName name="FDD_78_6">"A32873"</definedName>
    <definedName name="FDD_78_7">"A33238"</definedName>
    <definedName name="FDD_78_8">"A33603"</definedName>
    <definedName name="FDD_78_9">"A33969"</definedName>
    <definedName name="FDD_79_0">"A30681"</definedName>
    <definedName name="FDD_79_1">"A31047"</definedName>
    <definedName name="FDD_79_10">"A34334"</definedName>
    <definedName name="FDD_79_11">"A34699"</definedName>
    <definedName name="FDD_79_12">"A35064"</definedName>
    <definedName name="FDD_79_13">"A35430"</definedName>
    <definedName name="FDD_79_14">"A35795"</definedName>
    <definedName name="FDD_79_2">"A31412"</definedName>
    <definedName name="FDD_79_3">"A31777"</definedName>
    <definedName name="FDD_79_4">"A32142"</definedName>
    <definedName name="FDD_79_5">"A32508"</definedName>
    <definedName name="FDD_79_6">"A32873"</definedName>
    <definedName name="FDD_79_7">"A33238"</definedName>
    <definedName name="FDD_79_8">"A33603"</definedName>
    <definedName name="FDD_79_9">"A33969"</definedName>
    <definedName name="FDD_8_0">"A25569"</definedName>
    <definedName name="FDD_80_0">"A30681"</definedName>
    <definedName name="FDD_80_1">"A31047"</definedName>
    <definedName name="FDD_80_10">"A34334"</definedName>
    <definedName name="FDD_80_11">"A34699"</definedName>
    <definedName name="FDD_80_12">"A35064"</definedName>
    <definedName name="FDD_80_13">"A35430"</definedName>
    <definedName name="FDD_80_14">"A35795"</definedName>
    <definedName name="FDD_80_2">"A31412"</definedName>
    <definedName name="FDD_80_3">"A31777"</definedName>
    <definedName name="FDD_80_4">"A32142"</definedName>
    <definedName name="FDD_80_5">"A32508"</definedName>
    <definedName name="FDD_80_6">"A32873"</definedName>
    <definedName name="FDD_80_7">"A33238"</definedName>
    <definedName name="FDD_80_8">"A33603"</definedName>
    <definedName name="FDD_80_9">"A33969"</definedName>
    <definedName name="FDD_81_0">"A30681"</definedName>
    <definedName name="FDD_81_1">"A31047"</definedName>
    <definedName name="FDD_81_10">"A34334"</definedName>
    <definedName name="FDD_81_11">"A34699"</definedName>
    <definedName name="FDD_81_12">"A35064"</definedName>
    <definedName name="FDD_81_13">"A35430"</definedName>
    <definedName name="FDD_81_14">"A35795"</definedName>
    <definedName name="FDD_81_2">"A31412"</definedName>
    <definedName name="FDD_81_3">"A31777"</definedName>
    <definedName name="FDD_81_4">"A32142"</definedName>
    <definedName name="FDD_81_5">"A32508"</definedName>
    <definedName name="FDD_81_6">"A32873"</definedName>
    <definedName name="FDD_81_7">"A33238"</definedName>
    <definedName name="FDD_81_8">"A33603"</definedName>
    <definedName name="FDD_81_9">"A33969"</definedName>
    <definedName name="FDD_82_0">"A30681"</definedName>
    <definedName name="FDD_82_1">"A31047"</definedName>
    <definedName name="FDD_82_10">"A34334"</definedName>
    <definedName name="FDD_82_11">"A34699"</definedName>
    <definedName name="FDD_82_12">"A35064"</definedName>
    <definedName name="FDD_82_13">"A35430"</definedName>
    <definedName name="FDD_82_14">"A35795"</definedName>
    <definedName name="FDD_82_2">"A31412"</definedName>
    <definedName name="FDD_82_3">"A31777"</definedName>
    <definedName name="FDD_82_4">"A32142"</definedName>
    <definedName name="FDD_82_5">"A32508"</definedName>
    <definedName name="FDD_82_6">"A32873"</definedName>
    <definedName name="FDD_82_7">"A33238"</definedName>
    <definedName name="FDD_82_8">"A33603"</definedName>
    <definedName name="FDD_82_9">"A33969"</definedName>
    <definedName name="FDD_83_0">"A30681"</definedName>
    <definedName name="FDD_83_1">"A31047"</definedName>
    <definedName name="FDD_83_10">"A34334"</definedName>
    <definedName name="FDD_83_11">"A34699"</definedName>
    <definedName name="FDD_83_12">"A35064"</definedName>
    <definedName name="FDD_83_13">"A35430"</definedName>
    <definedName name="FDD_83_14">"A35795"</definedName>
    <definedName name="FDD_83_2">"A31412"</definedName>
    <definedName name="FDD_83_3">"A31777"</definedName>
    <definedName name="FDD_83_4">"A32142"</definedName>
    <definedName name="FDD_83_5">"A32508"</definedName>
    <definedName name="FDD_83_6">"A32873"</definedName>
    <definedName name="FDD_83_7">"A33238"</definedName>
    <definedName name="FDD_83_8">"A33603"</definedName>
    <definedName name="FDD_83_9">"A33969"</definedName>
    <definedName name="FDD_84_0">"A30681"</definedName>
    <definedName name="FDD_84_1">"A31047"</definedName>
    <definedName name="FDD_84_10">"A34334"</definedName>
    <definedName name="FDD_84_11">"A34699"</definedName>
    <definedName name="FDD_84_12">"A35064"</definedName>
    <definedName name="FDD_84_13">"A35430"</definedName>
    <definedName name="FDD_84_14">"A35795"</definedName>
    <definedName name="FDD_84_2">"A31412"</definedName>
    <definedName name="FDD_84_3">"A31777"</definedName>
    <definedName name="FDD_84_4">"A32142"</definedName>
    <definedName name="FDD_84_5">"A32508"</definedName>
    <definedName name="FDD_84_6">"A32873"</definedName>
    <definedName name="FDD_84_7">"A33238"</definedName>
    <definedName name="FDD_84_8">"A33603"</definedName>
    <definedName name="FDD_84_9">"A33969"</definedName>
    <definedName name="FDD_85_0">"A30681"</definedName>
    <definedName name="FDD_85_1">"A31047"</definedName>
    <definedName name="FDD_85_10">"A34334"</definedName>
    <definedName name="FDD_85_11">"A34699"</definedName>
    <definedName name="FDD_85_12">"A35064"</definedName>
    <definedName name="FDD_85_13">"A35430"</definedName>
    <definedName name="FDD_85_14">"A35795"</definedName>
    <definedName name="FDD_85_2">"A31412"</definedName>
    <definedName name="FDD_85_3">"A31777"</definedName>
    <definedName name="FDD_85_4">"A32142"</definedName>
    <definedName name="FDD_85_5">"A32508"</definedName>
    <definedName name="FDD_85_6">"A32873"</definedName>
    <definedName name="FDD_85_7">"A33238"</definedName>
    <definedName name="FDD_85_8">"A33603"</definedName>
    <definedName name="FDD_85_9">"A33969"</definedName>
    <definedName name="FDD_86_0">"A30681"</definedName>
    <definedName name="FDD_86_1">"A31047"</definedName>
    <definedName name="FDD_86_10">"A34334"</definedName>
    <definedName name="FDD_86_11">"A34699"</definedName>
    <definedName name="FDD_86_12">"A35064"</definedName>
    <definedName name="FDD_86_13">"A35430"</definedName>
    <definedName name="FDD_86_14">"A35795"</definedName>
    <definedName name="FDD_86_2">"A31412"</definedName>
    <definedName name="FDD_86_3">"A31777"</definedName>
    <definedName name="FDD_86_4">"A32142"</definedName>
    <definedName name="FDD_86_5">"A32508"</definedName>
    <definedName name="FDD_86_6">"A32873"</definedName>
    <definedName name="FDD_86_7">"A33238"</definedName>
    <definedName name="FDD_86_8">"A33603"</definedName>
    <definedName name="FDD_86_9">"A33969"</definedName>
    <definedName name="FDD_87_0">"A30681"</definedName>
    <definedName name="FDD_87_1">"A31047"</definedName>
    <definedName name="FDD_87_10">"A34334"</definedName>
    <definedName name="FDD_87_11">"A34699"</definedName>
    <definedName name="FDD_87_12">"A35064"</definedName>
    <definedName name="FDD_87_13">"A35430"</definedName>
    <definedName name="FDD_87_14">"A35795"</definedName>
    <definedName name="FDD_87_2">"A31412"</definedName>
    <definedName name="FDD_87_3">"A31777"</definedName>
    <definedName name="FDD_87_4">"A32142"</definedName>
    <definedName name="FDD_87_5">"A32508"</definedName>
    <definedName name="FDD_87_6">"A32873"</definedName>
    <definedName name="FDD_87_7">"A33238"</definedName>
    <definedName name="FDD_87_8">"A33603"</definedName>
    <definedName name="FDD_87_9">"A33969"</definedName>
    <definedName name="FDD_88_0">"A30681"</definedName>
    <definedName name="FDD_88_1">"A31047"</definedName>
    <definedName name="FDD_88_10">"A34334"</definedName>
    <definedName name="FDD_88_11">"A34699"</definedName>
    <definedName name="FDD_88_12">"A35064"</definedName>
    <definedName name="FDD_88_13">"A35430"</definedName>
    <definedName name="FDD_88_14">"A35795"</definedName>
    <definedName name="FDD_88_2">"A31412"</definedName>
    <definedName name="FDD_88_3">"A31777"</definedName>
    <definedName name="FDD_88_4">"A32142"</definedName>
    <definedName name="FDD_88_5">"A32508"</definedName>
    <definedName name="FDD_88_6">"A32873"</definedName>
    <definedName name="FDD_88_7">"A33238"</definedName>
    <definedName name="FDD_88_8">"A33603"</definedName>
    <definedName name="FDD_88_9">"A33969"</definedName>
    <definedName name="FDD_89_0">"A30681"</definedName>
    <definedName name="FDD_89_1">"A31047"</definedName>
    <definedName name="FDD_89_10">"A34334"</definedName>
    <definedName name="FDD_89_11">"A34699"</definedName>
    <definedName name="FDD_89_12">"A35064"</definedName>
    <definedName name="FDD_89_13">"A35430"</definedName>
    <definedName name="FDD_89_14">"A35795"</definedName>
    <definedName name="FDD_89_2">"A31412"</definedName>
    <definedName name="FDD_89_3">"A31777"</definedName>
    <definedName name="FDD_89_4">"A32142"</definedName>
    <definedName name="FDD_89_5">"A32508"</definedName>
    <definedName name="FDD_89_6">"A32873"</definedName>
    <definedName name="FDD_89_7">"A33238"</definedName>
    <definedName name="FDD_89_8">"A33603"</definedName>
    <definedName name="FDD_89_9">"A33969"</definedName>
    <definedName name="FDD_9_0">"A25569"</definedName>
    <definedName name="FDD_90_0">"A30681"</definedName>
    <definedName name="FDD_90_1">"A31047"</definedName>
    <definedName name="FDD_90_10">"A34334"</definedName>
    <definedName name="FDD_90_11">"A34699"</definedName>
    <definedName name="FDD_90_12">"A35064"</definedName>
    <definedName name="FDD_90_13">"A35430"</definedName>
    <definedName name="FDD_90_14">"A35795"</definedName>
    <definedName name="FDD_90_2">"A31412"</definedName>
    <definedName name="FDD_90_3">"A31777"</definedName>
    <definedName name="FDD_90_4">"A32142"</definedName>
    <definedName name="FDD_90_5">"A32508"</definedName>
    <definedName name="FDD_90_6">"A32873"</definedName>
    <definedName name="FDD_90_7">"A33238"</definedName>
    <definedName name="FDD_90_8">"A33603"</definedName>
    <definedName name="FDD_90_9">"A33969"</definedName>
    <definedName name="FDD_91_0">"A30681"</definedName>
    <definedName name="FDD_91_1">"A31047"</definedName>
    <definedName name="FDD_91_10">"A34334"</definedName>
    <definedName name="FDD_91_11">"A34699"</definedName>
    <definedName name="FDD_91_12">"A35064"</definedName>
    <definedName name="FDD_91_13">"A35430"</definedName>
    <definedName name="FDD_91_14">"A35795"</definedName>
    <definedName name="FDD_91_2">"A31412"</definedName>
    <definedName name="FDD_91_3">"A31777"</definedName>
    <definedName name="FDD_91_4">"A32142"</definedName>
    <definedName name="FDD_91_5">"A32508"</definedName>
    <definedName name="FDD_91_6">"A32873"</definedName>
    <definedName name="FDD_91_7">"A33238"</definedName>
    <definedName name="FDD_91_8">"A33603"</definedName>
    <definedName name="FDD_91_9">"A33969"</definedName>
    <definedName name="FDD_92_0">"A30681"</definedName>
    <definedName name="FDD_92_1">"A31047"</definedName>
    <definedName name="FDD_92_10">"A34334"</definedName>
    <definedName name="FDD_92_11">"A34699"</definedName>
    <definedName name="FDD_92_12">"A35064"</definedName>
    <definedName name="FDD_92_13">"A35430"</definedName>
    <definedName name="FDD_92_14">"A35795"</definedName>
    <definedName name="FDD_92_2">"A31412"</definedName>
    <definedName name="FDD_92_3">"A31777"</definedName>
    <definedName name="FDD_92_4">"A32142"</definedName>
    <definedName name="FDD_92_5">"A32508"</definedName>
    <definedName name="FDD_92_6">"A32873"</definedName>
    <definedName name="FDD_92_7">"A33238"</definedName>
    <definedName name="FDD_92_8">"A33603"</definedName>
    <definedName name="FDD_92_9">"A33969"</definedName>
    <definedName name="FDD_93_0">"A30681"</definedName>
    <definedName name="FDD_93_1">"A31047"</definedName>
    <definedName name="FDD_93_10">"A34334"</definedName>
    <definedName name="FDD_93_11">"A34699"</definedName>
    <definedName name="FDD_93_12">"A35064"</definedName>
    <definedName name="FDD_93_13">"A35430"</definedName>
    <definedName name="FDD_93_14">"A35795"</definedName>
    <definedName name="FDD_93_2">"A31412"</definedName>
    <definedName name="FDD_93_3">"A31777"</definedName>
    <definedName name="FDD_93_4">"A32142"</definedName>
    <definedName name="FDD_93_5">"A32508"</definedName>
    <definedName name="FDD_93_6">"A32873"</definedName>
    <definedName name="FDD_93_7">"A33238"</definedName>
    <definedName name="FDD_93_8">"A33603"</definedName>
    <definedName name="FDD_93_9">"A33969"</definedName>
    <definedName name="FDD_94_0">"A30681"</definedName>
    <definedName name="FDD_94_1">"A31047"</definedName>
    <definedName name="FDD_94_10">"A34334"</definedName>
    <definedName name="FDD_94_11">"A34699"</definedName>
    <definedName name="FDD_94_12">"A35064"</definedName>
    <definedName name="FDD_94_13">"A35430"</definedName>
    <definedName name="FDD_94_14">"A35795"</definedName>
    <definedName name="FDD_94_2">"A31412"</definedName>
    <definedName name="FDD_94_3">"A31777"</definedName>
    <definedName name="FDD_94_4">"A32142"</definedName>
    <definedName name="FDD_94_5">"A32508"</definedName>
    <definedName name="FDD_94_6">"A32873"</definedName>
    <definedName name="FDD_94_7">"A33238"</definedName>
    <definedName name="FDD_94_8">"A33603"</definedName>
    <definedName name="FDD_94_9">"A33969"</definedName>
    <definedName name="FDD_95_0">"A30681"</definedName>
    <definedName name="FDD_95_1">"A31047"</definedName>
    <definedName name="FDD_95_10">"A34334"</definedName>
    <definedName name="FDD_95_11">"A34699"</definedName>
    <definedName name="FDD_95_12">"A35064"</definedName>
    <definedName name="FDD_95_13">"A35430"</definedName>
    <definedName name="FDD_95_14">"A35795"</definedName>
    <definedName name="FDD_95_2">"A31412"</definedName>
    <definedName name="FDD_95_3">"A31777"</definedName>
    <definedName name="FDD_95_4">"A32142"</definedName>
    <definedName name="FDD_95_5">"A32508"</definedName>
    <definedName name="FDD_95_6">"A32873"</definedName>
    <definedName name="FDD_95_7">"A33238"</definedName>
    <definedName name="FDD_95_8">"A33603"</definedName>
    <definedName name="FDD_95_9">"A33969"</definedName>
    <definedName name="FDD_96_0">"U30681"</definedName>
    <definedName name="FDD_96_1">"A31047"</definedName>
    <definedName name="FDD_96_10">"A34334"</definedName>
    <definedName name="FDD_96_11">"A34699"</definedName>
    <definedName name="FDD_96_12">"A35064"</definedName>
    <definedName name="FDD_96_13">"A35430"</definedName>
    <definedName name="FDD_96_14">"A35795"</definedName>
    <definedName name="FDD_96_2">"A31412"</definedName>
    <definedName name="FDD_96_3">"A31777"</definedName>
    <definedName name="FDD_96_4">"A32142"</definedName>
    <definedName name="FDD_96_5">"A32508"</definedName>
    <definedName name="FDD_96_6">"A32873"</definedName>
    <definedName name="FDD_96_7">"A33238"</definedName>
    <definedName name="FDD_96_8">"A33603"</definedName>
    <definedName name="FDD_96_9">"A33969"</definedName>
    <definedName name="FDD_97_0">"U30681"</definedName>
    <definedName name="FDD_97_1">"A31047"</definedName>
    <definedName name="FDD_97_10">"A34334"</definedName>
    <definedName name="FDD_97_11">"A34699"</definedName>
    <definedName name="FDD_97_12">"A35064"</definedName>
    <definedName name="FDD_97_13">"A35430"</definedName>
    <definedName name="FDD_97_14">"A35795"</definedName>
    <definedName name="FDD_97_2">"A31412"</definedName>
    <definedName name="FDD_97_3">"A31777"</definedName>
    <definedName name="FDD_97_4">"A32142"</definedName>
    <definedName name="FDD_97_5">"A32508"</definedName>
    <definedName name="FDD_97_6">"A32873"</definedName>
    <definedName name="FDD_97_7">"A33238"</definedName>
    <definedName name="FDD_97_8">"A33603"</definedName>
    <definedName name="FDD_97_9">"A33969"</definedName>
    <definedName name="FDD_98_0">"U30681"</definedName>
    <definedName name="FDD_98_1">"A31047"</definedName>
    <definedName name="FDD_98_10">"A34334"</definedName>
    <definedName name="FDD_98_11">"A34699"</definedName>
    <definedName name="FDD_98_12">"A35064"</definedName>
    <definedName name="FDD_98_13">"A35430"</definedName>
    <definedName name="FDD_98_14">"A35795"</definedName>
    <definedName name="FDD_98_2">"A31412"</definedName>
    <definedName name="FDD_98_3">"A31777"</definedName>
    <definedName name="FDD_98_4">"A32142"</definedName>
    <definedName name="FDD_98_5">"A32508"</definedName>
    <definedName name="FDD_98_6">"A32873"</definedName>
    <definedName name="FDD_98_7">"A33238"</definedName>
    <definedName name="FDD_98_8">"A33603"</definedName>
    <definedName name="FDD_98_9">"A33969"</definedName>
    <definedName name="FDD_99_0">"U30681"</definedName>
    <definedName name="FDD_99_1">"A31047"</definedName>
    <definedName name="FDD_99_10">"A34334"</definedName>
    <definedName name="FDD_99_11">"A34699"</definedName>
    <definedName name="FDD_99_12">"A35064"</definedName>
    <definedName name="FDD_99_13">"A35430"</definedName>
    <definedName name="FDD_99_14">"A35795"</definedName>
    <definedName name="FDD_99_2">"A31412"</definedName>
    <definedName name="FDD_99_3">"A31777"</definedName>
    <definedName name="FDD_99_4">"A32142"</definedName>
    <definedName name="FDD_99_5">"A32508"</definedName>
    <definedName name="FDD_99_6">"A32873"</definedName>
    <definedName name="FDD_99_7">"A33238"</definedName>
    <definedName name="FDD_99_8">"A33603"</definedName>
    <definedName name="FDD_99_9">"A33969"</definedName>
    <definedName name="FDP_0_1_aUrv">#REF!</definedName>
    <definedName name="FDP_10_1_aDrv">#REF!</definedName>
    <definedName name="FDP_107_1_aUrv">#REF!</definedName>
    <definedName name="FDP_11_1_aDrv">#REF!</definedName>
    <definedName name="FDP_111_1_aUrv">#REF!</definedName>
    <definedName name="FDP_112_1_aUrv">#REF!</definedName>
    <definedName name="FDP_113_1_aUrv">#REF!</definedName>
    <definedName name="FDP_114_1_aUrv">#REF!</definedName>
    <definedName name="FDP_115_1_aUrv">#REF!</definedName>
    <definedName name="FDP_12_1_aDrv">#REF!</definedName>
    <definedName name="FDP_126_1_aUrv">#REF!</definedName>
    <definedName name="FDP_127_1_aUrv">#REF!</definedName>
    <definedName name="FDP_128_1_aUrv">#REF!</definedName>
    <definedName name="FDP_129_1_aUrv">#REF!</definedName>
    <definedName name="FDP_13_1_aDrv">#REF!</definedName>
    <definedName name="FDP_131_1_aDrv">#REF!</definedName>
    <definedName name="FDP_134_1_aDrv">#REF!</definedName>
    <definedName name="FDP_135_1_aDrv">#REF!</definedName>
    <definedName name="FDP_137_1_aDdv">#REF!</definedName>
    <definedName name="FDP_139_1_aUrv">#REF!</definedName>
    <definedName name="FDP_14_1_aDrv">#REF!</definedName>
    <definedName name="FDP_140_1_aUrv">#REF!</definedName>
    <definedName name="FDP_141_1_aUrv">#REF!</definedName>
    <definedName name="FDP_143_1_aUrv">#REF!</definedName>
    <definedName name="FDP_144_1_aUrv">#REF!</definedName>
    <definedName name="FDP_15_1_aDrv">#REF!</definedName>
    <definedName name="FDP_16_1_aDrv">#REF!</definedName>
    <definedName name="FDP_17_1_aDrv">#REF!</definedName>
    <definedName name="FDP_18_1_aDrv">#REF!</definedName>
    <definedName name="FDP_19_1_aDrv">#REF!</definedName>
    <definedName name="FDP_20_1_aUrv">#REF!</definedName>
    <definedName name="FDP_21_1_aUrv">#REF!</definedName>
    <definedName name="FDP_22_1_aUrv">#REF!</definedName>
    <definedName name="FDP_23_1_aUrv">#REF!</definedName>
    <definedName name="FDP_24_1_aUrv">#REF!</definedName>
    <definedName name="FDP_25_1_aUrv">#REF!</definedName>
    <definedName name="FDP_26_1_aUrv">#REF!</definedName>
    <definedName name="FDP_27_1_aUrv">#REF!</definedName>
    <definedName name="FDP_28_1_aUrv">#REF!</definedName>
    <definedName name="FDP_280_1_aSrv">[14]Forecasts_VDF!#REF!</definedName>
    <definedName name="FDP_281_1_aSrv">[14]Forecasts_VDF!#REF!</definedName>
    <definedName name="FDP_282_1_aSrv">[14]Forecasts_VDF!#REF!</definedName>
    <definedName name="FDP_283_1_aSrv">[14]Forecasts_VDF!#REF!</definedName>
    <definedName name="FDP_29_1_aUrv">#REF!</definedName>
    <definedName name="FDP_30_1_aUrv">#REF!</definedName>
    <definedName name="FDP_31_1_aUrv">#REF!</definedName>
    <definedName name="FDP_32_1_aUrv">#REF!</definedName>
    <definedName name="FDP_33_1_aUrv">#REF!</definedName>
    <definedName name="FDP_34_1_aUrv">#REF!</definedName>
    <definedName name="FDP_35_1_aUrv">#REF!</definedName>
    <definedName name="FDP_36_1_aUrv">#REF!</definedName>
    <definedName name="FDP_37_1_aUrv">#REF!</definedName>
    <definedName name="FDP_38_1_aUrv">#REF!</definedName>
    <definedName name="FDP_39_1_aUrv">#REF!</definedName>
    <definedName name="FDP_41_1_aUrv">#REF!</definedName>
    <definedName name="FDP_42_1_aUrv">#REF!</definedName>
    <definedName name="FDP_43_1_aUrv">#REF!</definedName>
    <definedName name="FDP_44_1_aUrv">#REF!</definedName>
    <definedName name="FDP_45_1_aUrv">#REF!</definedName>
    <definedName name="FDP_46_1_aUrv">#REF!</definedName>
    <definedName name="FDP_47_1_aUrv">#REF!</definedName>
    <definedName name="FDP_48_1_aUrv">#REF!</definedName>
    <definedName name="FDP_49_1_aUrv">#REF!</definedName>
    <definedName name="FDP_50_1_aUrv">#REF!</definedName>
    <definedName name="FDP_51_1_aUrv">#REF!</definedName>
    <definedName name="FDP_52_1_aUrv">#REF!</definedName>
    <definedName name="FDP_53_1_aUrv">#REF!</definedName>
    <definedName name="FDP_53_1_rUrv">#REF!</definedName>
    <definedName name="FDP_54_1_aUrv">#REF!</definedName>
    <definedName name="FDP_55_1_aUrv">#REF!</definedName>
    <definedName name="FDP_8_1_aDrv">#REF!</definedName>
    <definedName name="FDP_9_1_aDrv">#REF!</definedName>
    <definedName name="ffw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in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c.Resumen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frdg">[0]!Header1-1 &amp; "." &amp; MAX(1,COUNTA(INDEX(#REF!,MATCH([0]!Header1-1,#REF!,FALSE)):#REF!))</definedName>
    <definedName name="fresfg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Header1">IF(COUNTA(#REF!)=0,0,INDEX(#REF!,MATCH(ROW(#REF!),#REF!,TRUE)))+1</definedName>
    <definedName name="Header2">[0]!Header1-1 &amp; "." &amp; MAX(1,COUNTA(INDEX(#REF!,MATCH([0]!Header1-1,#REF!,FALSE)):#REF!))</definedName>
    <definedName name="hn.ExtDb">FALSE</definedName>
    <definedName name="hn.ModelType">"DEAL"</definedName>
    <definedName name="hn.ModelVersion">1</definedName>
    <definedName name="hn.NoUpload">0</definedName>
    <definedName name="hn.RolledForward">FALSE</definedName>
    <definedName name="HTML_CodePage">1252</definedName>
    <definedName name="HTML_Control">{"'RATEIO RECEITA BRUTA'!$B$77:$C$106"}</definedName>
    <definedName name="HTML_Control2">{"'RATEIO RECEITA BRUTA'!$B$77:$C$106"}</definedName>
    <definedName name="HTML_Description">""</definedName>
    <definedName name="HTML_Email">""</definedName>
    <definedName name="HTML_Header">""</definedName>
    <definedName name="HTML_LastUpdate">"21/11/01"</definedName>
    <definedName name="HTML_LineAfter">FALSE</definedName>
    <definedName name="HTML_LineBefore">FALSE</definedName>
    <definedName name="HTML_Name">"Walter Messias - CSC... ramal 8677"</definedName>
    <definedName name="HTML_OBDlg2">TRUE</definedName>
    <definedName name="HTML_OBDlg4">TRUE</definedName>
    <definedName name="HTML_OS">0</definedName>
    <definedName name="HTML_PathFile">"C:\TEMPO\RECEITA.htm"</definedName>
    <definedName name="HTML_PathFileMac">"Macintosh HD:HomePageStuff:New_Home_Page:datafile:histret.html"</definedName>
    <definedName name="HTML_Title">""</definedName>
    <definedName name="HTML1_1">"[ReturnsHistorical]Sheet1!$A$1:$D$77"</definedName>
    <definedName name="HTML1_10">""</definedName>
    <definedName name="HTML1_11">1</definedName>
    <definedName name="HTML1_12">"Zip 100:New_Home_Page:datafile:histret.html"</definedName>
    <definedName name="HTML1_2">1</definedName>
    <definedName name="HTML1_3">"ReturnsHistorical"</definedName>
    <definedName name="HTML1_4">"Historical Returns on Stocks, Bonds and Bills"</definedName>
    <definedName name="HTML1_5">"Ibbotson Data"</definedName>
    <definedName name="HTML1_6">-4146</definedName>
    <definedName name="HTML1_7">-4146</definedName>
    <definedName name="HTML1_8">"3/17/97"</definedName>
    <definedName name="HTML1_9">"Aswath Damodaran"</definedName>
    <definedName name="HTML2_1">"[histret.xls]Sheet1!$A$1:$G$85"</definedName>
    <definedName name="HTML2_10">""</definedName>
    <definedName name="HTML2_11">1</definedName>
    <definedName name="HTML2_12">"Macintosh HD:New_Home_Page:datafile:histret.html"</definedName>
    <definedName name="HTML2_2">1</definedName>
    <definedName name="HTML2_3">"Historical Returns"</definedName>
    <definedName name="HTML2_4">"Historical Returns on Stocks, Bonds and Bills"</definedName>
    <definedName name="HTML2_5">""</definedName>
    <definedName name="HTML2_6">1</definedName>
    <definedName name="HTML2_7">1</definedName>
    <definedName name="HTML2_8">"2/3/98"</definedName>
    <definedName name="HTML2_9">"Aswath Damodaran"</definedName>
    <definedName name="HTMLCount">2</definedName>
    <definedName name="Inflación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ón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nversiones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IQ_ACCOUNT_CHANGE">"c1449"</definedName>
    <definedName name="IQ_ACCOUNTING_STANDARD">"c4539"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DIN">"AUTO"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BROKER_REC_NO_REUT">"c5315"</definedName>
    <definedName name="IQ_AVG_BROKER_REC_REUT">"c3630"</definedName>
    <definedName name="IQ_AVG_DAILY_VOL">"c65"</definedName>
    <definedName name="IQ_AVG_EMPLOYEES">"c6019"</definedName>
    <definedName name="IQ_AVG_INDUSTRY_REC">"c4455"</definedName>
    <definedName name="IQ_AVG_INDUSTRY_REC_NO">"c4454"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MP_EMPLOYEES">"c6020"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OUTSTANDING_CURRENT_EST">"c4128"</definedName>
    <definedName name="IQ_BASIC_OUTSTANDING_CURRENT_HIGH_EST">"c4129"</definedName>
    <definedName name="IQ_BASIC_OUTSTANDING_CURRENT_LOW_EST">"c4130"</definedName>
    <definedName name="IQ_BASIC_OUTSTANDING_CURRENT_MEDIAN_EST">"c4131"</definedName>
    <definedName name="IQ_BASIC_OUTSTANDING_CURRENT_NUM_EST">"c4132"</definedName>
    <definedName name="IQ_BASIC_OUTSTANDING_CURRENT_STDDEV_EST">"c4133"</definedName>
    <definedName name="IQ_BASIC_OUTSTANDING_EST">"c4134"</definedName>
    <definedName name="IQ_BASIC_OUTSTANDING_HIGH_EST">"c4135"</definedName>
    <definedName name="IQ_BASIC_OUTSTANDING_LOW_EST">"c4136"</definedName>
    <definedName name="IQ_BASIC_OUTSTANDING_MEDIAN_EST">"c4137"</definedName>
    <definedName name="IQ_BASIC_OUTSTANDING_NUM_EST">"c4138"</definedName>
    <definedName name="IQ_BASIC_OUTSTANDING_STDDEV_EST">"c4139"</definedName>
    <definedName name="IQ_BASIC_WEIGHT">"c87"</definedName>
    <definedName name="IQ_BASIC_WEIGHT_EST">"c4140"</definedName>
    <definedName name="IQ_BASIC_WEIGHT_GUIDANCE">"c4141"</definedName>
    <definedName name="IQ_BASIC_WEIGHT_HIGH_EST">"c4142"</definedName>
    <definedName name="IQ_BASIC_WEIGHT_LOW_EST">"c4143"</definedName>
    <definedName name="IQ_BASIC_WEIGHT_MEDIAN_EST">"c4144"</definedName>
    <definedName name="IQ_BASIC_WEIGHT_NUM_EST">"c4145"</definedName>
    <definedName name="IQ_BASIC_WEIGHT_STDDEV_EST">"c4146"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_COMMISSION">"c3514"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REV">"c4068"</definedName>
    <definedName name="IQ_BUS_SEG_REV_ABS">"c4090"</definedName>
    <definedName name="IQ_BUS_SEG_REV_TOTAL">"c4106"</definedName>
    <definedName name="IQ_BUSINESS_DESCRIPTION">"c322"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HARE_ACT_OR_EST">"c3587"</definedName>
    <definedName name="IQ_BV_SHARE_ACT_OR_EST_REUT">"c5477"</definedName>
    <definedName name="IQ_BV_SHARE_EST">"c3541"</definedName>
    <definedName name="IQ_BV_SHARE_EST_REUT">"c5439"</definedName>
    <definedName name="IQ_BV_SHARE_HIGH_EST">"c3542"</definedName>
    <definedName name="IQ_BV_SHARE_HIGH_EST_REUT">"c5441"</definedName>
    <definedName name="IQ_BV_SHARE_LOW_EST">"c3543"</definedName>
    <definedName name="IQ_BV_SHARE_LOW_EST_REUT">"c5442"</definedName>
    <definedName name="IQ_BV_SHARE_MEDIAN_EST">"c3544"</definedName>
    <definedName name="IQ_BV_SHARE_MEDIAN_EST_REUT">"c5440"</definedName>
    <definedName name="IQ_BV_SHARE_NUM_EST">"c3539"</definedName>
    <definedName name="IQ_BV_SHARE_NUM_EST_REUT">"c5443"</definedName>
    <definedName name="IQ_BV_SHARE_STDDEV_EST">"c3540"</definedName>
    <definedName name="IQ_BV_SHARE_STDDEV_EST_REUT">"c5444"</definedName>
    <definedName name="IQ_BV_STDDEV_EST_REUT">"c5408"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ACT_OR_EST">"c3584"</definedName>
    <definedName name="IQ_CAPEX_ACT_OR_EST_REUT">"c5474"</definedName>
    <definedName name="IQ_CAPEX_BNK">"c110"</definedName>
    <definedName name="IQ_CAPEX_BR">"c111"</definedName>
    <definedName name="IQ_CAPEX_EST">"c3523"</definedName>
    <definedName name="IQ_CAPEX_EST_REUT">"c3969"</definedName>
    <definedName name="IQ_CAPEX_FIN">"c112"</definedName>
    <definedName name="IQ_CAPEX_GUIDANCE">"c4150"</definedName>
    <definedName name="IQ_CAPEX_HIGH_EST">"c3524"</definedName>
    <definedName name="IQ_CAPEX_HIGH_EST_REUT">"c3971"</definedName>
    <definedName name="IQ_CAPEX_HIGH_GUIDANCE">"c4180"</definedName>
    <definedName name="IQ_CAPEX_INS">"c113"</definedName>
    <definedName name="IQ_CAPEX_LOW_EST">"c3525"</definedName>
    <definedName name="IQ_CAPEX_LOW_EST_REUT">"c3972"</definedName>
    <definedName name="IQ_CAPEX_LOW_GUIDANCE">"c4220"</definedName>
    <definedName name="IQ_CAPEX_MEDIAN_EST">"c3526"</definedName>
    <definedName name="IQ_CAPEX_MEDIAN_EST_REUT">"c3970"</definedName>
    <definedName name="IQ_CAPEX_NUM_EST">"c3521"</definedName>
    <definedName name="IQ_CAPEX_NUM_EST_REUT">"c3973"</definedName>
    <definedName name="IQ_CAPEX_STDDEV_EST">"c3522"</definedName>
    <definedName name="IQ_CAPEX_STDDEV_EST_REUT">"c3974"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"c1630"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FLOW_ACT_OR_EST">"c4154"</definedName>
    <definedName name="IQ_CASH_FLOW_EST">"c4153"</definedName>
    <definedName name="IQ_CASH_FLOW_GUIDANCE">"c4155"</definedName>
    <definedName name="IQ_CASH_FLOW_HIGH_EST">"c4156"</definedName>
    <definedName name="IQ_CASH_FLOW_HIGH_GUIDANCE">"c4201"</definedName>
    <definedName name="IQ_CASH_FLOW_LOW_EST">"c4157"</definedName>
    <definedName name="IQ_CASH_FLOW_LOW_GUIDANCE">"c4241"</definedName>
    <definedName name="IQ_CASH_FLOW_MEDIAN_EST">"c4158"</definedName>
    <definedName name="IQ_CASH_FLOW_NUM_EST">"c4159"</definedName>
    <definedName name="IQ_CASH_FLOW_STDDEV_EST">"c4160"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GUIDANCE">"c4165"</definedName>
    <definedName name="IQ_CASH_OPER_HIGH_EST">"c4166"</definedName>
    <definedName name="IQ_CASH_OPER_HIGH_GUIDANCE">"c4185"</definedName>
    <definedName name="IQ_CASH_OPER_LOW_EST">"c4244"</definedName>
    <definedName name="IQ_CASH_OPER_LOW_GUIDANCE">"c4225"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_INVEST_EST">"c4249"</definedName>
    <definedName name="IQ_CASH_ST_INVEST_GUIDANCE">"c4250"</definedName>
    <definedName name="IQ_CASH_ST_INVEST_HIGH_EST">"c4251"</definedName>
    <definedName name="IQ_CASH_ST_INVEST_HIGH_GUIDANCE">"c4195"</definedName>
    <definedName name="IQ_CASH_ST_INVEST_LOW_EST">"c4252"</definedName>
    <definedName name="IQ_CASH_ST_INVEST_LOW_GUIDANCE">"c4235"</definedName>
    <definedName name="IQ_CASH_ST_INVEST_MEDIAN_EST">"c4253"</definedName>
    <definedName name="IQ_CASH_ST_INVEST_NUM_EST">"c4254"</definedName>
    <definedName name="IQ_CASH_ST_INVEST_STDDEV_EST">"c4255"</definedName>
    <definedName name="IQ_CASH_TAXES">"c125"</definedName>
    <definedName name="IQ_CDS_ASK">"c6027"</definedName>
    <definedName name="IQ_CDS_BID">"c6026"</definedName>
    <definedName name="IQ_CDS_CURRENCY">"c6031"</definedName>
    <definedName name="IQ_CDS_EVAL_DATE">"c6029"</definedName>
    <definedName name="IQ_CDS_MID">"c6028"</definedName>
    <definedName name="IQ_CDS_NAME">"c6034"</definedName>
    <definedName name="IQ_CDS_TERM">"c6030"</definedName>
    <definedName name="IQ_CDS_TYPE">"c6025"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PS_ACT_OR_EST">"c2217"</definedName>
    <definedName name="IQ_CFPS_ACT_OR_EST_REUT">"c5463"</definedName>
    <definedName name="IQ_CFPS_EST">"c1667"</definedName>
    <definedName name="IQ_CFPS_EST_REUT">"c3844"</definedName>
    <definedName name="IQ_CFPS_GUIDANCE">"c4256"</definedName>
    <definedName name="IQ_CFPS_HIGH_EST">"c1669"</definedName>
    <definedName name="IQ_CFPS_HIGH_EST_REUT">"c3846"</definedName>
    <definedName name="IQ_CFPS_HIGH_GUIDANCE">"c4167"</definedName>
    <definedName name="IQ_CFPS_LOW_EST">"c1670"</definedName>
    <definedName name="IQ_CFPS_LOW_EST_REUT">"c3847"</definedName>
    <definedName name="IQ_CFPS_LOW_GUIDANCE">"c4207"</definedName>
    <definedName name="IQ_CFPS_MEDIAN_EST">"c1668"</definedName>
    <definedName name="IQ_CFPS_MEDIAN_EST_REUT">"c3845"</definedName>
    <definedName name="IQ_CFPS_NUM_EST">"c1671"</definedName>
    <definedName name="IQ_CFPS_NUM_EST_REUT">"c3848"</definedName>
    <definedName name="IQ_CFPS_STDDEV_EST">"c1672"</definedName>
    <definedName name="IQ_CFPS_STDDEV_EST_REUT">"c3849"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TY_EST">"c4257"</definedName>
    <definedName name="IQ_DEBT_EQUITY_HIGH_EST">"c4258"</definedName>
    <definedName name="IQ_DEBT_EQUITY_LOW_EST">"c4259"</definedName>
    <definedName name="IQ_DEBT_EQUITY_MEDIAN_EST">"c4260"</definedName>
    <definedName name="IQ_DEBT_EQUITY_NUM_EST">"c4261"</definedName>
    <definedName name="IQ_DEBT_EQUITY_STDDEV_EST">"c4262"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OSITS_INTEREST_SECURITIES">"c5509"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FF_LASTCLOSE_TARGET_PRICE_REUT">"c5436"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OUTSTANDING_CURRENT_EST">"c4263"</definedName>
    <definedName name="IQ_DILUT_OUTSTANDING_CURRENT_HIGH_EST">"c4264"</definedName>
    <definedName name="IQ_DILUT_OUTSTANDING_CURRENT_LOW_EST">"c4265"</definedName>
    <definedName name="IQ_DILUT_OUTSTANDING_CURRENT_MEDIAN_EST">"c4266"</definedName>
    <definedName name="IQ_DILUT_OUTSTANDING_CURRENT_NUM_EST">"c4267"</definedName>
    <definedName name="IQ_DILUT_OUTSTANDING_CURRENT_STDDEV_EST">"c4268"</definedName>
    <definedName name="IQ_DILUT_WEIGHT">"c326"</definedName>
    <definedName name="IQ_DILUT_WEIGHT_EST">"c4269"</definedName>
    <definedName name="IQ_DILUT_WEIGHT_GUIDANCE">"c4270"</definedName>
    <definedName name="IQ_DILUT_WEIGHT_HIGH_EST">"c4271"</definedName>
    <definedName name="IQ_DILUT_WEIGHT_LOW_EST">"c4272"</definedName>
    <definedName name="IQ_DILUT_WEIGHT_MEDIAN_EST">"c4273"</definedName>
    <definedName name="IQ_DILUT_WEIGHT_NUM_EST">"c4274"</definedName>
    <definedName name="IQ_DILUT_WEIGHT_STDDEV_EST">"c4275"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ACT_OR_EST">"c4278"</definedName>
    <definedName name="IQ_DISTRIBUTABLE_CASH_EST">"c4277"</definedName>
    <definedName name="IQ_DISTRIBUTABLE_CASH_GUIDANCE">"c4279"</definedName>
    <definedName name="IQ_DISTRIBUTABLE_CASH_HIGH_EST">"c4280"</definedName>
    <definedName name="IQ_DISTRIBUTABLE_CASH_HIGH_GUIDANCE">"c4198"</definedName>
    <definedName name="IQ_DISTRIBUTABLE_CASH_LOW_EST">"c4281"</definedName>
    <definedName name="IQ_DISTRIBUTABLE_CASH_LOW_GUIDANCE">"c4238"</definedName>
    <definedName name="IQ_DISTRIBUTABLE_CASH_MEDIAN_EST">"c4282"</definedName>
    <definedName name="IQ_DISTRIBUTABLE_CASH_NUM_EST">"c4283"</definedName>
    <definedName name="IQ_DISTRIBUTABLE_CASH_PAYOUT">"c3005"</definedName>
    <definedName name="IQ_DISTRIBUTABLE_CASH_SHARE">"c3003"</definedName>
    <definedName name="IQ_DISTRIBUTABLE_CASH_SHARE_ACT_OR_EST">"c4286"</definedName>
    <definedName name="IQ_DISTRIBUTABLE_CASH_SHARE_EST">"c4285"</definedName>
    <definedName name="IQ_DISTRIBUTABLE_CASH_SHARE_GUIDANCE">"c4287"</definedName>
    <definedName name="IQ_DISTRIBUTABLE_CASH_SHARE_HIGH_EST">"c4288"</definedName>
    <definedName name="IQ_DISTRIBUTABLE_CASH_SHARE_HIGH_GUIDANCE">"c4199"</definedName>
    <definedName name="IQ_DISTRIBUTABLE_CASH_SHARE_LOW_EST">"c4289"</definedName>
    <definedName name="IQ_DISTRIBUTABLE_CASH_SHARE_LOW_GUIDANCE">"c4239"</definedName>
    <definedName name="IQ_DISTRIBUTABLE_CASH_SHARE_MEDIAN_EST">"c4290"</definedName>
    <definedName name="IQ_DISTRIBUTABLE_CASH_SHARE_NUM_EST">"c4291"</definedName>
    <definedName name="IQ_DISTRIBUTABLE_CASH_SHARE_STDDEV_EST">"c4292"</definedName>
    <definedName name="IQ_DISTRIBUTABLE_CASH_STDDEV_EST">"c4294"</definedName>
    <definedName name="IQ_DIV_AMOUNT">"c3041"</definedName>
    <definedName name="IQ_DIV_PAYMENT_DATE">"c2106"</definedName>
    <definedName name="IQ_DIV_RECORD_DATE">"c2105"</definedName>
    <definedName name="IQ_DIV_SHARE">"c330"</definedName>
    <definedName name="IQ_DIVEST_CF">"c331"</definedName>
    <definedName name="IQ_DIVID_SHARE">"c1366"</definedName>
    <definedName name="IQ_DIVIDEND_EST">"c4296"</definedName>
    <definedName name="IQ_DIVIDEND_HIGH_EST">"c4297"</definedName>
    <definedName name="IQ_DIVIDEND_LOW_EST">"c4298"</definedName>
    <definedName name="IQ_DIVIDEND_MEDIAN_EST">"c4299"</definedName>
    <definedName name="IQ_DIVIDEND_NUM_EST">"c4300"</definedName>
    <definedName name="IQ_DIVIDEND_STDDEV_EST">"c4301"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C_CLAUSE">"c6032"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PS_ACT_OR_EST">"c2218"</definedName>
    <definedName name="IQ_DPS_ACT_OR_EST_REUT">"c5464"</definedName>
    <definedName name="IQ_DPS_EST">"c1674"</definedName>
    <definedName name="IQ_DPS_EST_BOTTOM_UP">"c5493"</definedName>
    <definedName name="IQ_DPS_EST_BOTTOM_UP_REUT">"c5501"</definedName>
    <definedName name="IQ_DPS_EST_REUT">"c3851"</definedName>
    <definedName name="IQ_DPS_GUIDANCE">"c4302"</definedName>
    <definedName name="IQ_DPS_HIGH_EST">"c1676"</definedName>
    <definedName name="IQ_DPS_HIGH_EST_REUT">"c3853"</definedName>
    <definedName name="IQ_DPS_HIGH_GUIDANCE">"c4168"</definedName>
    <definedName name="IQ_DPS_LOW_EST">"c1677"</definedName>
    <definedName name="IQ_DPS_LOW_EST_REUT">"c3854"</definedName>
    <definedName name="IQ_DPS_LOW_GUIDANCE">"c4208"</definedName>
    <definedName name="IQ_DPS_MEDIAN_EST">"c1675"</definedName>
    <definedName name="IQ_DPS_MEDIAN_EST_REUT">"c3852"</definedName>
    <definedName name="IQ_DPS_NUM_EST">"c1678"</definedName>
    <definedName name="IQ_DPS_NUM_EST_REUT">"c3855"</definedName>
    <definedName name="IQ_DPS_STDDEV_EST">"c1679"</definedName>
    <definedName name="IQ_DPS_STDDEV_EST_REUT">"c3856"</definedName>
    <definedName name="IQ_DURATION">"c2181"</definedName>
    <definedName name="IQ_EARNING_ASSET_YIELD">"c343"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S_ANNOUNCE_DATE">"c1649"</definedName>
    <definedName name="IQ_EARNINGS_ANNOUNCE_DATE_REUT">"c5314"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ACT_OR_EST">"c2219"</definedName>
    <definedName name="IQ_EBIT_ACT_OR_EST_REUT">"c5465"</definedName>
    <definedName name="IQ_EBIT_EQ_INC">"c3498"</definedName>
    <definedName name="IQ_EBIT_EQ_INC_EXCL_SBC">"c3502"</definedName>
    <definedName name="IQ_EBIT_EST">"c1681"</definedName>
    <definedName name="IQ_EBIT_EST_REUT">"c5333"</definedName>
    <definedName name="IQ_EBIT_EXCL_SBC">"c3082"</definedName>
    <definedName name="IQ_EBIT_GUIDANCE">"c4303"</definedName>
    <definedName name="IQ_EBIT_GW_ACT_OR_EST">"c4306"</definedName>
    <definedName name="IQ_EBIT_GW_EST">"c4305"</definedName>
    <definedName name="IQ_EBIT_GW_GUIDANCE">"c4307"</definedName>
    <definedName name="IQ_EBIT_GW_HIGH_EST">"c4308"</definedName>
    <definedName name="IQ_EBIT_GW_HIGH_GUIDANCE">"c4171"</definedName>
    <definedName name="IQ_EBIT_GW_LOW_EST">"c4309"</definedName>
    <definedName name="IQ_EBIT_GW_LOW_GUIDANCE">"c4211"</definedName>
    <definedName name="IQ_EBIT_GW_MEDIAN_EST">"c4310"</definedName>
    <definedName name="IQ_EBIT_GW_NUM_EST">"c4311"</definedName>
    <definedName name="IQ_EBIT_GW_STDDEV_EST">"c4312"</definedName>
    <definedName name="IQ_EBIT_HIGH_EST">"c1683"</definedName>
    <definedName name="IQ_EBIT_HIGH_EST_REUT">"c5335"</definedName>
    <definedName name="IQ_EBIT_HIGH_GUIDANCE">"c4172"</definedName>
    <definedName name="IQ_EBIT_INT">"c360"</definedName>
    <definedName name="IQ_EBIT_LOW_EST">"c1684"</definedName>
    <definedName name="IQ_EBIT_LOW_EST_REUT">"c5336"</definedName>
    <definedName name="IQ_EBIT_LOW_GUIDANCE">"c4212"</definedName>
    <definedName name="IQ_EBIT_MARGIN">"c359"</definedName>
    <definedName name="IQ_EBIT_MEDIAN_EST">"c1682"</definedName>
    <definedName name="IQ_EBIT_MEDIAN_EST_REUT">"c5334"</definedName>
    <definedName name="IQ_EBIT_NUM_EST">"c1685"</definedName>
    <definedName name="IQ_EBIT_NUM_EST_REUT">"c5337"</definedName>
    <definedName name="IQ_EBIT_OVER_IE">"c1369"</definedName>
    <definedName name="IQ_EBIT_SBC_ACT_OR_EST">"c4316"</definedName>
    <definedName name="IQ_EBIT_SBC_EST">"c4315"</definedName>
    <definedName name="IQ_EBIT_SBC_GUIDANCE">"c4317"</definedName>
    <definedName name="IQ_EBIT_SBC_GW_ACT_OR_EST">"c4320"</definedName>
    <definedName name="IQ_EBIT_SBC_GW_EST">"c4319"</definedName>
    <definedName name="IQ_EBIT_SBC_GW_GUIDANCE">"c4321"</definedName>
    <definedName name="IQ_EBIT_SBC_GW_HIGH_EST">"c4322"</definedName>
    <definedName name="IQ_EBIT_SBC_GW_HIGH_GUIDANCE">"c4193"</definedName>
    <definedName name="IQ_EBIT_SBC_GW_LOW_EST">"c4323"</definedName>
    <definedName name="IQ_EBIT_SBC_GW_LOW_GUIDANCE">"c4233"</definedName>
    <definedName name="IQ_EBIT_SBC_GW_MEDIAN_EST">"c4324"</definedName>
    <definedName name="IQ_EBIT_SBC_GW_NUM_EST">"c4325"</definedName>
    <definedName name="IQ_EBIT_SBC_GW_STDDEV_EST">"c4326"</definedName>
    <definedName name="IQ_EBIT_SBC_HIGH_EST">"c4328"</definedName>
    <definedName name="IQ_EBIT_SBC_HIGH_GUIDANCE">"c4192"</definedName>
    <definedName name="IQ_EBIT_SBC_LOW_EST">"c4329"</definedName>
    <definedName name="IQ_EBIT_SBC_LOW_GUIDANCE">"c4232"</definedName>
    <definedName name="IQ_EBIT_SBC_MEDIAN_EST">"c4330"</definedName>
    <definedName name="IQ_EBIT_SBC_NUM_EST">"c4331"</definedName>
    <definedName name="IQ_EBIT_SBC_STDDEV_EST">"c4332"</definedName>
    <definedName name="IQ_EBIT_STDDEV_EST">"c1686"</definedName>
    <definedName name="IQ_EBIT_STDDEV_EST_REUT">"c5338"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REUT">"c5462"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REUT">"c3640"</definedName>
    <definedName name="IQ_EBITDA_EXCL_SBC">"c3081"</definedName>
    <definedName name="IQ_EBITDA_GUIDANCE">"c4334"</definedName>
    <definedName name="IQ_EBITDA_HIGH_EST">"c370"</definedName>
    <definedName name="IQ_EBITDA_HIGH_EST_REUT">"c3642"</definedName>
    <definedName name="IQ_EBITDA_HIGH_GUIDANCE">"c4170"</definedName>
    <definedName name="IQ_EBITDA_INT">"c373"</definedName>
    <definedName name="IQ_EBITDA_LOW_EST">"c371"</definedName>
    <definedName name="IQ_EBITDA_LOW_EST_REUT">"c3643"</definedName>
    <definedName name="IQ_EBITDA_LOW_GUIDANCE">"c4210"</definedName>
    <definedName name="IQ_EBITDA_MARGIN">"c372"</definedName>
    <definedName name="IQ_EBITDA_MEDIAN_EST">"c1663"</definedName>
    <definedName name="IQ_EBITDA_MEDIAN_EST_REUT">"c3641"</definedName>
    <definedName name="IQ_EBITDA_NUM_EST">"c374"</definedName>
    <definedName name="IQ_EBITDA_NUM_EST_REUT">"c3644"</definedName>
    <definedName name="IQ_EBITDA_OVER_TOTAL_IE">"c1371"</definedName>
    <definedName name="IQ_EBITDA_SBC_ACT_OR_EST">"c4337"</definedName>
    <definedName name="IQ_EBITDA_SBC_EST">"c4336"</definedName>
    <definedName name="IQ_EBITDA_SBC_GUIDANCE">"c4338"</definedName>
    <definedName name="IQ_EBITDA_SBC_HIGH_EST">"c4339"</definedName>
    <definedName name="IQ_EBITDA_SBC_HIGH_GUIDANCE">"c4194"</definedName>
    <definedName name="IQ_EBITDA_SBC_LOW_EST">"c4340"</definedName>
    <definedName name="IQ_EBITDA_SBC_LOW_GUIDANCE">"c4234"</definedName>
    <definedName name="IQ_EBITDA_SBC_MEDIAN_EST">"c4341"</definedName>
    <definedName name="IQ_EBITDA_SBC_NUM_EST">"c4342"</definedName>
    <definedName name="IQ_EBITDA_SBC_STDDEV_EST">"c4343"</definedName>
    <definedName name="IQ_EBITDA_STDDEV_EST">"c375"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IN">"c386"</definedName>
    <definedName name="IQ_EBT_GAAP_GUIDANCE">"c4345"</definedName>
    <definedName name="IQ_EBT_GAAP_HIGH_GUIDANCE">"c4174"</definedName>
    <definedName name="IQ_EBT_GAAP_LOW_GUIDANCE">"c4214"</definedName>
    <definedName name="IQ_EBT_GUIDANCE">"c4346"</definedName>
    <definedName name="IQ_EBT_GW_GUIDANCE">"c4347"</definedName>
    <definedName name="IQ_EBT_GW_HIGH_GUIDANCE">"c4175"</definedName>
    <definedName name="IQ_EBT_GW_LOW_GUIDANCE">"c4215"</definedName>
    <definedName name="IQ_EBT_HIGH_GUIDANCE">"c4173"</definedName>
    <definedName name="IQ_EBT_INCL_MARGIN">"c387"</definedName>
    <definedName name="IQ_EBT_INS">"c388"</definedName>
    <definedName name="IQ_EBT_LOW_GUIDANCE">"c4213"</definedName>
    <definedName name="IQ_EBT_RE">"c6215"</definedName>
    <definedName name="IQ_EBT_REIT">"c389"</definedName>
    <definedName name="IQ_EBT_SBC_ACT_OR_EST">"c4350"</definedName>
    <definedName name="IQ_EBT_SBC_EST">"c4349"</definedName>
    <definedName name="IQ_EBT_SBC_GUIDANCE">"c4351"</definedName>
    <definedName name="IQ_EBT_SBC_GW_ACT_OR_EST">"c4354"</definedName>
    <definedName name="IQ_EBT_SBC_GW_EST">"c4353"</definedName>
    <definedName name="IQ_EBT_SBC_GW_GUIDANCE">"c4355"</definedName>
    <definedName name="IQ_EBT_SBC_GW_HIGH_EST">"c4356"</definedName>
    <definedName name="IQ_EBT_SBC_GW_HIGH_GUIDANCE">"c4191"</definedName>
    <definedName name="IQ_EBT_SBC_GW_LOW_EST">"c4357"</definedName>
    <definedName name="IQ_EBT_SBC_GW_LOW_GUIDANCE">"c4231"</definedName>
    <definedName name="IQ_EBT_SBC_GW_MEDIAN_EST">"c4358"</definedName>
    <definedName name="IQ_EBT_SBC_GW_NUM_EST">"c4359"</definedName>
    <definedName name="IQ_EBT_SBC_GW_STDDEV_EST">"c4360"</definedName>
    <definedName name="IQ_EBT_SBC_HIGH_EST">"c4362"</definedName>
    <definedName name="IQ_EBT_SBC_HIGH_GUIDANCE">"c4190"</definedName>
    <definedName name="IQ_EBT_SBC_LOW_EST">"c4363"</definedName>
    <definedName name="IQ_EBT_SBC_LOW_GUIDANCE">"c4230"</definedName>
    <definedName name="IQ_EBT_SBC_MEDIAN_EST">"c4364"</definedName>
    <definedName name="IQ_EBT_SBC_NUM_EST">"c4365"</definedName>
    <definedName name="IQ_EBT_SBC_STDDEV_EST">"c4366"</definedName>
    <definedName name="IQ_EBT_UTI">"c390"</definedName>
    <definedName name="IQ_ECS_AUTHORIZED_SHARES">"c5583"</definedName>
    <definedName name="IQ_ECS_AUTHORIZED_SHARES_ABS">"c5597"</definedName>
    <definedName name="IQ_ECS_CONVERT_FACTOR">"c5581"</definedName>
    <definedName name="IQ_ECS_CONVERT_FACTOR_ABS">"c5595"</definedName>
    <definedName name="IQ_ECS_CONVERT_INTO">"c5580"</definedName>
    <definedName name="IQ_ECS_CONVERT_INTO_ABS">"c5594"</definedName>
    <definedName name="IQ_ECS_CONVERT_TYPE">"c5579"</definedName>
    <definedName name="IQ_ECS_CONVERT_TYPE_ABS">"c5593"</definedName>
    <definedName name="IQ_ECS_INACTIVE_DATE">"c5576"</definedName>
    <definedName name="IQ_ECS_INACTIVE_DATE_ABS">"c5590"</definedName>
    <definedName name="IQ_ECS_NAME">"c5571"</definedName>
    <definedName name="IQ_ECS_NAME_ABS">"c5585"</definedName>
    <definedName name="IQ_ECS_NUM_SHAREHOLDERS">"c5584"</definedName>
    <definedName name="IQ_ECS_NUM_SHAREHOLDERS_ABS">"c5598"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SHARES_OUT_BS_DATE">"c5572"</definedName>
    <definedName name="IQ_ECS_SHARES_OUT_BS_DATE_ABS">"c5586"</definedName>
    <definedName name="IQ_ECS_SHARES_OUT_FILING_DATE">"c5573"</definedName>
    <definedName name="IQ_ECS_SHARES_OUT_FILING_DATE_ABS">"c5587"</definedName>
    <definedName name="IQ_ECS_START_DATE">"c5575"</definedName>
    <definedName name="IQ_ECS_START_DATE_ABS">"c5589"</definedName>
    <definedName name="IQ_ECS_TYPE">"c5574"</definedName>
    <definedName name="IQ_ECS_TYPE_ABS">"c5588"</definedName>
    <definedName name="IQ_ECS_VOTING">"c5582"</definedName>
    <definedName name="IQ_ECS_VOTING_ABS">"c5596"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REUT">"c5460"</definedName>
    <definedName name="IQ_EPS_EST">"c399"</definedName>
    <definedName name="IQ_EPS_EST_BOTTOM_UP">"c5489"</definedName>
    <definedName name="IQ_EPS_EST_BOTTOM_UP_REUT">"c5497"</definedName>
    <definedName name="IQ_EPS_EST_REUT">"c5453"</definedName>
    <definedName name="IQ_EPS_EXCL_GUIDANCE">"c4368"</definedName>
    <definedName name="IQ_EPS_EXCL_HIGH_GUIDANCE">"c4369"</definedName>
    <definedName name="IQ_EPS_EXCL_LOW_GUIDANCE">"c4204"</definedName>
    <definedName name="IQ_EPS_GAAP_GUIDANCE">"c4370"</definedName>
    <definedName name="IQ_EPS_GAAP_HIGH_GUIDANCE">"c4371"</definedName>
    <definedName name="IQ_EPS_GAAP_LOW_GUIDANCE">"c4205"</definedName>
    <definedName name="IQ_EPS_GW_ACT_OR_EST">"c2223"</definedName>
    <definedName name="IQ_EPS_GW_ACT_OR_EST_REUT">"c5469"</definedName>
    <definedName name="IQ_EPS_GW_EST">"c1737"</definedName>
    <definedName name="IQ_EPS_GW_EST_BOTTOM_UP">"c5491"</definedName>
    <definedName name="IQ_EPS_GW_EST_BOTTOM_UP_REUT">"c5499"</definedName>
    <definedName name="IQ_EPS_GW_EST_REUT">"c5389"</definedName>
    <definedName name="IQ_EPS_GW_GUIDANCE">"c4372"</definedName>
    <definedName name="IQ_EPS_GW_HIGH_EST">"c1739"</definedName>
    <definedName name="IQ_EPS_GW_HIGH_EST_REUT">"c5391"</definedName>
    <definedName name="IQ_EPS_GW_HIGH_GUIDANCE">"c4373"</definedName>
    <definedName name="IQ_EPS_GW_LOW_EST">"c1740"</definedName>
    <definedName name="IQ_EPS_GW_LOW_EST_REUT">"c5392"</definedName>
    <definedName name="IQ_EPS_GW_LOW_GUIDANCE">"c4206"</definedName>
    <definedName name="IQ_EPS_GW_MEDIAN_EST">"c1738"</definedName>
    <definedName name="IQ_EPS_GW_MEDIAN_EST_REUT">"c5390"</definedName>
    <definedName name="IQ_EPS_GW_NUM_EST">"c1741"</definedName>
    <definedName name="IQ_EPS_GW_NUM_EST_REUT">"c5393"</definedName>
    <definedName name="IQ_EPS_GW_STDDEV_EST">"c1742"</definedName>
    <definedName name="IQ_EPS_GW_STDDEV_EST_REUT">"c5394"</definedName>
    <definedName name="IQ_EPS_HIGH_EST">"c400"</definedName>
    <definedName name="IQ_EPS_HIGH_EST_REUT">"c5454"</definedName>
    <definedName name="IQ_EPS_LOW_EST">"c401"</definedName>
    <definedName name="IQ_EPS_LOW_EST_REUT">"c5455"</definedName>
    <definedName name="IQ_EPS_MEDIAN_EST">"c1661"</definedName>
    <definedName name="IQ_EPS_MEDIAN_EST_REUT">"c5456"</definedName>
    <definedName name="IQ_EPS_NORM">"c1902"</definedName>
    <definedName name="IQ_EPS_NORM_EST">"c2226"</definedName>
    <definedName name="IQ_EPS_NORM_EST_BOTTOM_UP">"c5490"</definedName>
    <definedName name="IQ_EPS_NORM_EST_BOTTOM_UP_REUT">"c5498"</definedName>
    <definedName name="IQ_EPS_NORM_EST_REUT">"c5326"</definedName>
    <definedName name="IQ_EPS_NORM_HIGH_EST">"c2228"</definedName>
    <definedName name="IQ_EPS_NORM_HIGH_EST_REUT">"c5328"</definedName>
    <definedName name="IQ_EPS_NORM_LOW_EST">"c2229"</definedName>
    <definedName name="IQ_EPS_NORM_LOW_EST_REUT">"c5329"</definedName>
    <definedName name="IQ_EPS_NORM_MEDIAN_EST">"c2227"</definedName>
    <definedName name="IQ_EPS_NORM_MEDIAN_EST_REUT">"c5327"</definedName>
    <definedName name="IQ_EPS_NORM_NUM_EST">"c2230"</definedName>
    <definedName name="IQ_EPS_NORM_NUM_EST_REUT">"c5330"</definedName>
    <definedName name="IQ_EPS_NORM_STDDEV_EST">"c2231"</definedName>
    <definedName name="IQ_EPS_NORM_STDDEV_EST_REUT">"c5331"</definedName>
    <definedName name="IQ_EPS_NUM_EST">"c402"</definedName>
    <definedName name="IQ_EPS_NUM_EST_REUT">"c5451"</definedName>
    <definedName name="IQ_EPS_REPORT_ACT_OR_EST">"c2224"</definedName>
    <definedName name="IQ_EPS_REPORT_ACT_OR_EST_REUT">"c5470"</definedName>
    <definedName name="IQ_EPS_REPORTED_EST">"c1744"</definedName>
    <definedName name="IQ_EPS_REPORTED_EST_BOTTOM_UP">"c5492"</definedName>
    <definedName name="IQ_EPS_REPORTED_EST_BOTTOM_UP_REUT">"c5500"</definedName>
    <definedName name="IQ_EPS_REPORTED_EST_REUT">"c5396"</definedName>
    <definedName name="IQ_EPS_REPORTED_HIGH_EST">"c1746"</definedName>
    <definedName name="IQ_EPS_REPORTED_HIGH_EST_REUT">"c5398"</definedName>
    <definedName name="IQ_EPS_REPORTED_LOW_EST">"c1747"</definedName>
    <definedName name="IQ_EPS_REPORTED_LOW_EST_REUT">"c5399"</definedName>
    <definedName name="IQ_EPS_REPORTED_MEDIAN_EST">"c1745"</definedName>
    <definedName name="IQ_EPS_REPORTED_MEDIAN_EST_REUT">"c5397"</definedName>
    <definedName name="IQ_EPS_REPORTED_NUM_EST">"c1748"</definedName>
    <definedName name="IQ_EPS_REPORTED_NUM_EST_REUT">"c5400"</definedName>
    <definedName name="IQ_EPS_REPORTED_STDDEV_EST">"c1749"</definedName>
    <definedName name="IQ_EPS_REPORTED_STDDEV_EST_REUT">"c5401"</definedName>
    <definedName name="IQ_EPS_SBC_ACT_OR_EST">"c4376"</definedName>
    <definedName name="IQ_EPS_SBC_EST">"c4375"</definedName>
    <definedName name="IQ_EPS_SBC_GUIDANCE">"c4377"</definedName>
    <definedName name="IQ_EPS_SBC_GW_ACT_OR_EST">"c4380"</definedName>
    <definedName name="IQ_EPS_SBC_GW_EST">"c4379"</definedName>
    <definedName name="IQ_EPS_SBC_GW_GUIDANCE">"c4381"</definedName>
    <definedName name="IQ_EPS_SBC_GW_HIGH_EST">"c4382"</definedName>
    <definedName name="IQ_EPS_SBC_GW_HIGH_GUIDANCE">"c4189"</definedName>
    <definedName name="IQ_EPS_SBC_GW_LOW_EST">"c4383"</definedName>
    <definedName name="IQ_EPS_SBC_GW_LOW_GUIDANCE">"c4229"</definedName>
    <definedName name="IQ_EPS_SBC_GW_MEDIAN_EST">"c4384"</definedName>
    <definedName name="IQ_EPS_SBC_GW_NUM_EST">"c4385"</definedName>
    <definedName name="IQ_EPS_SBC_GW_STDDEV_EST">"c4386"</definedName>
    <definedName name="IQ_EPS_SBC_HIGH_EST">"c4388"</definedName>
    <definedName name="IQ_EPS_SBC_HIGH_GUIDANCE">"c4188"</definedName>
    <definedName name="IQ_EPS_SBC_LOW_EST">"c4389"</definedName>
    <definedName name="IQ_EPS_SBC_LOW_GUIDANCE">"c4228"</definedName>
    <definedName name="IQ_EPS_SBC_MEDIAN_EST">"c4390"</definedName>
    <definedName name="IQ_EPS_SBC_NUM_EST">"c4391"</definedName>
    <definedName name="IQ_EPS_SBC_STDDEV_EST">"c4392"</definedName>
    <definedName name="IQ_EPS_STDDEV_EST">"c403"</definedName>
    <definedName name="IQ_EPS_STDDEV_EST_REUT">"c5452"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BV_REUT">"c5409"</definedName>
    <definedName name="IQ_EST_ACT_BV_SHARE">"c3549"</definedName>
    <definedName name="IQ_EST_ACT_BV_SHARE_REUT">"c5445"</definedName>
    <definedName name="IQ_EST_ACT_CAPEX">"c3546"</definedName>
    <definedName name="IQ_EST_ACT_CAPEX_REUT">"c3975"</definedName>
    <definedName name="IQ_EST_ACT_CASH_FLOW">"c4394"</definedName>
    <definedName name="IQ_EST_ACT_CASH_OPER">"c4395"</definedName>
    <definedName name="IQ_EST_ACT_CFPS">"c1673"</definedName>
    <definedName name="IQ_EST_ACT_CFPS_REUT">"c3850"</definedName>
    <definedName name="IQ_EST_ACT_DISTRIBUTABLE_CASH">"c4396"</definedName>
    <definedName name="IQ_EST_ACT_DISTRIBUTABLE_CASH_SHARE">"c4397"</definedName>
    <definedName name="IQ_EST_ACT_DPS">"c1680"</definedName>
    <definedName name="IQ_EST_ACT_DPS_REUT">"c3857"</definedName>
    <definedName name="IQ_EST_ACT_EBIT">"c1687"</definedName>
    <definedName name="IQ_EST_ACT_EBIT_GW">"c4398"</definedName>
    <definedName name="IQ_EST_ACT_EBIT_REUT">"c5339"</definedName>
    <definedName name="IQ_EST_ACT_EBIT_SBC">"c4399"</definedName>
    <definedName name="IQ_EST_ACT_EBIT_SBC_GW">"c4400"</definedName>
    <definedName name="IQ_EST_ACT_EBITDA">"c1664"</definedName>
    <definedName name="IQ_EST_ACT_EBITDA_REUT">"c3836"</definedName>
    <definedName name="IQ_EST_ACT_EBITDA_SBC">"c4401"</definedName>
    <definedName name="IQ_EST_ACT_EBT_SBC">"c4402"</definedName>
    <definedName name="IQ_EST_ACT_EBT_SBC_GW">"c4403"</definedName>
    <definedName name="IQ_EST_ACT_EPS">"c1648"</definedName>
    <definedName name="IQ_EST_ACT_EPS_GW">"c1743"</definedName>
    <definedName name="IQ_EST_ACT_EPS_GW_REUT">"c5395"</definedName>
    <definedName name="IQ_EST_ACT_EPS_NORM">"c2232"</definedName>
    <definedName name="IQ_EST_ACT_EPS_NORM_REUT">"c5332"</definedName>
    <definedName name="IQ_EST_ACT_EPS_REPORTED">"c1750"</definedName>
    <definedName name="IQ_EST_ACT_EPS_REPORTED_REUT">"c5402"</definedName>
    <definedName name="IQ_EST_ACT_EPS_REUT">"c5457"</definedName>
    <definedName name="IQ_EST_ACT_EPS_SBC">"c4404"</definedName>
    <definedName name="IQ_EST_ACT_EPS_SBC_GW">"c4405"</definedName>
    <definedName name="IQ_EST_ACT_FFO">"c1666"</definedName>
    <definedName name="IQ_EST_ACT_FFO_ADJ">"c4406"</definedName>
    <definedName name="IQ_EST_ACT_FFO_REUT">"c3843"</definedName>
    <definedName name="IQ_EST_ACT_FFO_SHARE">"c4407"</definedName>
    <definedName name="IQ_EST_ACT_GROSS_MARGIN">"c5553"</definedName>
    <definedName name="IQ_EST_ACT_MAINT_CAPEX">"c4408"</definedName>
    <definedName name="IQ_EST_ACT_NAV">"c1757"</definedName>
    <definedName name="IQ_EST_ACT_NET_DEBT">"c3545"</definedName>
    <definedName name="IQ_EST_ACT_NET_DEBT_REUT">"c5446"</definedName>
    <definedName name="IQ_EST_ACT_NI">"c1722"</definedName>
    <definedName name="IQ_EST_ACT_NI_GW">"c1729"</definedName>
    <definedName name="IQ_EST_ACT_NI_GW_REUT">"c5381"</definedName>
    <definedName name="IQ_EST_ACT_NI_REPORTED">"c1736"</definedName>
    <definedName name="IQ_EST_ACT_NI_REPORTED_REUT">"c5388"</definedName>
    <definedName name="IQ_EST_ACT_NI_REUT">"c5374"</definedName>
    <definedName name="IQ_EST_ACT_NI_SBC">"c4409"</definedName>
    <definedName name="IQ_EST_ACT_NI_SBC_GW">"c4410"</definedName>
    <definedName name="IQ_EST_ACT_OPER_INC">"c1694"</definedName>
    <definedName name="IQ_EST_ACT_OPER_INC_REUT">"c5346"</definedName>
    <definedName name="IQ_EST_ACT_PRETAX_GW_INC">"c1708"</definedName>
    <definedName name="IQ_EST_ACT_PRETAX_GW_INC_REUT">"c5360"</definedName>
    <definedName name="IQ_EST_ACT_PRETAX_INC">"c1701"</definedName>
    <definedName name="IQ_EST_ACT_PRETAX_INC_REUT">"c5353"</definedName>
    <definedName name="IQ_EST_ACT_PRETAX_REPORT_INC">"c1715"</definedName>
    <definedName name="IQ_EST_ACT_PRETAX_REPORT_INC_REUT">"c5367"</definedName>
    <definedName name="IQ_EST_ACT_RECURRING_PROFIT">"c4411"</definedName>
    <definedName name="IQ_EST_ACT_RECURRING_PROFIT_SHARE">"c4412"</definedName>
    <definedName name="IQ_EST_ACT_RETURN_ASSETS">"c3547"</definedName>
    <definedName name="IQ_EST_ACT_RETURN_ASSETS_REUT">"c3996"</definedName>
    <definedName name="IQ_EST_ACT_RETURN_EQUITY">"c3548"</definedName>
    <definedName name="IQ_EST_ACT_RETURN_EQUITY_REUT">"c3989"</definedName>
    <definedName name="IQ_EST_ACT_REV">"c2113"</definedName>
    <definedName name="IQ_EST_ACT_REV_REUT">"c3835"</definedName>
    <definedName name="IQ_EST_BV_DIFF_REUT">"c5433"</definedName>
    <definedName name="IQ_EST_BV_SHARE_DIFF">"c4147"</definedName>
    <definedName name="IQ_EST_BV_SHARE_SURPRISE_PERCENT">"c4148"</definedName>
    <definedName name="IQ_EST_BV_SURPRISE_PERCENT_REUT">"c5434"</definedName>
    <definedName name="IQ_EST_CAPEX_DIFF">"c4149"</definedName>
    <definedName name="IQ_EST_CAPEX_GROWTH_1YR">"c3588"</definedName>
    <definedName name="IQ_EST_CAPEX_GROWTH_1YR_REUT">"c5447"</definedName>
    <definedName name="IQ_EST_CAPEX_GROWTH_2YR">"c3589"</definedName>
    <definedName name="IQ_EST_CAPEX_GROWTH_2YR_REUT">"c5448"</definedName>
    <definedName name="IQ_EST_CAPEX_GROWTH_Q_1YR">"c3590"</definedName>
    <definedName name="IQ_EST_CAPEX_GROWTH_Q_1YR_REUT">"c5449"</definedName>
    <definedName name="IQ_EST_CAPEX_SEQ_GROWTH_Q">"c3591"</definedName>
    <definedName name="IQ_EST_CAPEX_SEQ_GROWTH_Q_REUT">"c5450"</definedName>
    <definedName name="IQ_EST_CAPEX_SURPRISE_PERCENT">"c4151"</definedName>
    <definedName name="IQ_EST_CASH_FLOW_DIFF">"c4152"</definedName>
    <definedName name="IQ_EST_CASH_FLOW_SURPRISE_PERCENT">"c4161"</definedName>
    <definedName name="IQ_EST_CASH_OPER_DIFF">"c4162"</definedName>
    <definedName name="IQ_EST_CASH_OPER_SURPRISE_PERCENT">"c4248"</definedName>
    <definedName name="IQ_EST_CFPS_DIFF">"c1871"</definedName>
    <definedName name="IQ_EST_CFPS_DIFF_REUT">"c3892"</definedName>
    <definedName name="IQ_EST_CFPS_GROWTH_1YR">"c1774"</definedName>
    <definedName name="IQ_EST_CFPS_GROWTH_1YR_REUT">"c3878"</definedName>
    <definedName name="IQ_EST_CFPS_GROWTH_2YR">"c1775"</definedName>
    <definedName name="IQ_EST_CFPS_GROWTH_2YR_REUT">"c3879"</definedName>
    <definedName name="IQ_EST_CFPS_GROWTH_Q_1YR">"c1776"</definedName>
    <definedName name="IQ_EST_CFPS_GROWTH_Q_1YR_REUT">"c3880"</definedName>
    <definedName name="IQ_EST_CFPS_SEQ_GROWTH_Q">"c1777"</definedName>
    <definedName name="IQ_EST_CFPS_SEQ_GROWTH_Q_REUT">"c3881"</definedName>
    <definedName name="IQ_EST_CFPS_SURPRISE_PERCENT">"c1872"</definedName>
    <definedName name="IQ_EST_CFPS_SURPRISE_PERCENT_REUT">"c3893"</definedName>
    <definedName name="IQ_EST_CURRENCY">"c2140"</definedName>
    <definedName name="IQ_EST_CURRENCY_REUT">"c5437"</definedName>
    <definedName name="IQ_EST_DATE">"c1634"</definedName>
    <definedName name="IQ_EST_DATE_REUT">"c5438"</definedName>
    <definedName name="IQ_EST_DISTRIBUTABLE_CASH_DIFF">"c4276"</definedName>
    <definedName name="IQ_EST_DISTRIBUTABLE_CASH_GROWTH_1YR">"c4413"</definedName>
    <definedName name="IQ_EST_DISTRIBUTABLE_CASH_GROWTH_2YR">"c4414"</definedName>
    <definedName name="IQ_EST_DISTRIBUTABLE_CASH_GROWTH_Q_1YR">"c4415"</definedName>
    <definedName name="IQ_EST_DISTRIBUTABLE_CASH_SEQ_GROWTH_Q">"c4416"</definedName>
    <definedName name="IQ_EST_DISTRIBUTABLE_CASH_SHARE_DIFF">"c4284"</definedName>
    <definedName name="IQ_EST_DISTRIBUTABLE_CASH_SHARE_GROWTH_1YR">"c4417"</definedName>
    <definedName name="IQ_EST_DISTRIBUTABLE_CASH_SHARE_GROWTH_2YR">"c4418"</definedName>
    <definedName name="IQ_EST_DISTRIBUTABLE_CASH_SHARE_GROWTH_Q_1YR">"c4419"</definedName>
    <definedName name="IQ_EST_DISTRIBUTABLE_CASH_SHARE_SEQ_GROWTH_Q">"c4420"</definedName>
    <definedName name="IQ_EST_DISTRIBUTABLE_CASH_SHARE_SURPRISE_PERCENT">"c4293"</definedName>
    <definedName name="IQ_EST_DISTRIBUTABLE_CASH_SURPRISE_PERCENT">"c4295"</definedName>
    <definedName name="IQ_EST_DPS_DIFF">"c1873"</definedName>
    <definedName name="IQ_EST_DPS_DIFF_REUT">"c3894"</definedName>
    <definedName name="IQ_EST_DPS_GROWTH_1YR">"c1778"</definedName>
    <definedName name="IQ_EST_DPS_GROWTH_1YR_REUT">"c3882"</definedName>
    <definedName name="IQ_EST_DPS_GROWTH_2YR">"c1779"</definedName>
    <definedName name="IQ_EST_DPS_GROWTH_2YR_REUT">"c3883"</definedName>
    <definedName name="IQ_EST_DPS_GROWTH_Q_1YR">"c1780"</definedName>
    <definedName name="IQ_EST_DPS_GROWTH_Q_1YR_REUT">"c3884"</definedName>
    <definedName name="IQ_EST_DPS_SEQ_GROWTH_Q">"c1781"</definedName>
    <definedName name="IQ_EST_DPS_SEQ_GROWTH_Q_REUT">"c3885"</definedName>
    <definedName name="IQ_EST_DPS_SURPRISE_PERCENT">"c1874"</definedName>
    <definedName name="IQ_EST_DPS_SURPRISE_PERCENT_REUT">"c3895"</definedName>
    <definedName name="IQ_EST_EBIT_DIFF">"c1875"</definedName>
    <definedName name="IQ_EST_EBIT_DIFF_REUT">"c5413"</definedName>
    <definedName name="IQ_EST_EBIT_GW_DIFF">"c4304"</definedName>
    <definedName name="IQ_EST_EBIT_GW_SURPRISE_PERCENT">"c4313"</definedName>
    <definedName name="IQ_EST_EBIT_SBC_DIFF">"c4314"</definedName>
    <definedName name="IQ_EST_EBIT_SBC_GW_DIFF">"c4318"</definedName>
    <definedName name="IQ_EST_EBIT_SBC_GW_SURPRISE_PERCENT">"c4327"</definedName>
    <definedName name="IQ_EST_EBIT_SBC_SURPRISE_PERCENT">"c4333"</definedName>
    <definedName name="IQ_EST_EBIT_SURPRISE_PERCENT">"c1876"</definedName>
    <definedName name="IQ_EST_EBIT_SURPRISE_PERCENT_REUT">"c5414"</definedName>
    <definedName name="IQ_EST_EBITDA_DIFF">"c1867"</definedName>
    <definedName name="IQ_EST_EBITDA_DIFF_REUT">"c3888"</definedName>
    <definedName name="IQ_EST_EBITDA_GROWTH_1YR">"c1766"</definedName>
    <definedName name="IQ_EST_EBITDA_GROWTH_1YR_REUT">"c3864"</definedName>
    <definedName name="IQ_EST_EBITDA_GROWTH_2YR">"c1767"</definedName>
    <definedName name="IQ_EST_EBITDA_GROWTH_2YR_REUT">"c3865"</definedName>
    <definedName name="IQ_EST_EBITDA_GROWTH_Q_1YR">"c1768"</definedName>
    <definedName name="IQ_EST_EBITDA_GROWTH_Q_1YR_REUT">"c3866"</definedName>
    <definedName name="IQ_EST_EBITDA_SBC_DIFF">"c4335"</definedName>
    <definedName name="IQ_EST_EBITDA_SBC_SURPRISE_PERCENT">"c4344"</definedName>
    <definedName name="IQ_EST_EBITDA_SEQ_GROWTH_Q">"c1769"</definedName>
    <definedName name="IQ_EST_EBITDA_SEQ_GROWTH_Q_REUT">"c3867"</definedName>
    <definedName name="IQ_EST_EBITDA_SURPRISE_PERCENT">"c1868"</definedName>
    <definedName name="IQ_EST_EBITDA_SURPRISE_PERCENT_REUT">"c3889"</definedName>
    <definedName name="IQ_EST_EBT_SBC_DIFF">"c4348"</definedName>
    <definedName name="IQ_EST_EBT_SBC_GW_DIFF">"c4352"</definedName>
    <definedName name="IQ_EST_EBT_SBC_GW_SURPRISE_PERCENT">"c4361"</definedName>
    <definedName name="IQ_EST_EBT_SBC_SURPRISE_PERCENT">"c4367"</definedName>
    <definedName name="IQ_EST_EPS_DIFF">"c1864"</definedName>
    <definedName name="IQ_EST_EPS_DIFF_REUT">"c5458"</definedName>
    <definedName name="IQ_EST_EPS_GROWTH_1YR">"c1636"</definedName>
    <definedName name="IQ_EST_EPS_GROWTH_1YR_REUT">"c3646"</definedName>
    <definedName name="IQ_EST_EPS_GROWTH_2YR">"c1637"</definedName>
    <definedName name="IQ_EST_EPS_GROWTH_2YR_REUT">"c3858"</definedName>
    <definedName name="IQ_EST_EPS_GROWTH_5YR">"c1655"</definedName>
    <definedName name="IQ_EST_EPS_GROWTH_5YR_BOTTOM_UP">"c5487"</definedName>
    <definedName name="IQ_EST_EPS_GROWTH_5YR_BOTTOM_UP_REUT">"c5495"</definedName>
    <definedName name="IQ_EST_EPS_GROWTH_5YR_HIGH">"c1657"</definedName>
    <definedName name="IQ_EST_EPS_GROWTH_5YR_HIGH_REUT">"c5322"</definedName>
    <definedName name="IQ_EST_EPS_GROWTH_5YR_LOW">"c1658"</definedName>
    <definedName name="IQ_EST_EPS_GROWTH_5YR_LOW_REUT">"c5323"</definedName>
    <definedName name="IQ_EST_EPS_GROWTH_5YR_MEDIAN">"c1656"</definedName>
    <definedName name="IQ_EST_EPS_GROWTH_5YR_MEDIAN_REUT">"c5321"</definedName>
    <definedName name="IQ_EST_EPS_GROWTH_5YR_NUM">"c1659"</definedName>
    <definedName name="IQ_EST_EPS_GROWTH_5YR_NUM_REUT">"c5324"</definedName>
    <definedName name="IQ_EST_EPS_GROWTH_5YR_REUT">"c3633"</definedName>
    <definedName name="IQ_EST_EPS_GROWTH_5YR_STDDEV">"c1660"</definedName>
    <definedName name="IQ_EST_EPS_GROWTH_5YR_STDDEV_REUT">"c5325"</definedName>
    <definedName name="IQ_EST_EPS_GROWTH_Q_1YR">"c1641"</definedName>
    <definedName name="IQ_EST_EPS_GROWTH_Q_1YR_REUT">"c5410"</definedName>
    <definedName name="IQ_EST_EPS_GW_DIFF">"c1891"</definedName>
    <definedName name="IQ_EST_EPS_GW_DIFF_REUT">"c5429"</definedName>
    <definedName name="IQ_EST_EPS_GW_SURPRISE_PERCENT">"c1892"</definedName>
    <definedName name="IQ_EST_EPS_GW_SURPRISE_PERCENT_REUT">"c5430"</definedName>
    <definedName name="IQ_EST_EPS_NORM_DIFF">"c2247"</definedName>
    <definedName name="IQ_EST_EPS_NORM_DIFF_REUT">"c5411"</definedName>
    <definedName name="IQ_EST_EPS_NORM_SURPRISE_PERCENT">"c2248"</definedName>
    <definedName name="IQ_EST_EPS_NORM_SURPRISE_PERCENT_REUT">"c5412"</definedName>
    <definedName name="IQ_EST_EPS_REPORT_DIFF">"c1893"</definedName>
    <definedName name="IQ_EST_EPS_REPORT_DIFF_REUT">"c5431"</definedName>
    <definedName name="IQ_EST_EPS_REPORT_SURPRISE_PERCENT">"c1894"</definedName>
    <definedName name="IQ_EST_EPS_REPORT_SURPRISE_PERCENT_REUT">"c5432"</definedName>
    <definedName name="IQ_EST_EPS_SBC_DIFF">"c4374"</definedName>
    <definedName name="IQ_EST_EPS_SBC_GW_DIFF">"c4378"</definedName>
    <definedName name="IQ_EST_EPS_SBC_GW_SURPRISE_PERCENT">"c4387"</definedName>
    <definedName name="IQ_EST_EPS_SBC_SURPRISE_PERCENT">"c4393"</definedName>
    <definedName name="IQ_EST_EPS_SEQ_GROWTH_Q">"c1764"</definedName>
    <definedName name="IQ_EST_EPS_SEQ_GROWTH_Q_REUT">"c3859"</definedName>
    <definedName name="IQ_EST_EPS_SURPRISE_PERCENT">"c1635"</definedName>
    <definedName name="IQ_EST_EPS_SURPRISE_PERCENT_REUT">"c5459"</definedName>
    <definedName name="IQ_EST_FFO_ADJ_DIFF">"c4433"</definedName>
    <definedName name="IQ_EST_FFO_ADJ_GROWTH_1YR">"c4421"</definedName>
    <definedName name="IQ_EST_FFO_ADJ_GROWTH_2YR">"c4422"</definedName>
    <definedName name="IQ_EST_FFO_ADJ_GROWTH_Q_1YR">"c4423"</definedName>
    <definedName name="IQ_EST_FFO_ADJ_SEQ_GROWTH_Q">"c4424"</definedName>
    <definedName name="IQ_EST_FFO_ADJ_SURPRISE_PERCENT">"c4442"</definedName>
    <definedName name="IQ_EST_FFO_DIFF">"c1869"</definedName>
    <definedName name="IQ_EST_FFO_DIFF_REUT">"c3890"</definedName>
    <definedName name="IQ_EST_FFO_GROWTH_1YR">"c1770"</definedName>
    <definedName name="IQ_EST_FFO_GROWTH_1YR_REUT">"c3874"</definedName>
    <definedName name="IQ_EST_FFO_GROWTH_2YR">"c1771"</definedName>
    <definedName name="IQ_EST_FFO_GROWTH_2YR_REUT">"c3875"</definedName>
    <definedName name="IQ_EST_FFO_GROWTH_Q_1YR">"c1772"</definedName>
    <definedName name="IQ_EST_FFO_GROWTH_Q_1YR_REUT">"c3876"</definedName>
    <definedName name="IQ_EST_FFO_SEQ_GROWTH_Q">"c1773"</definedName>
    <definedName name="IQ_EST_FFO_SEQ_GROWTH_Q_REUT">"c3877"</definedName>
    <definedName name="IQ_EST_FFO_SHARE_DIFF">"c4444"</definedName>
    <definedName name="IQ_EST_FFO_SHARE_GROWTH_1YR">"c4425"</definedName>
    <definedName name="IQ_EST_FFO_SHARE_GROWTH_2YR">"c4426"</definedName>
    <definedName name="IQ_EST_FFO_SHARE_GROWTH_Q_1YR">"c4427"</definedName>
    <definedName name="IQ_EST_FFO_SHARE_SEQ_GROWTH_Q">"c4428"</definedName>
    <definedName name="IQ_EST_FFO_SHARE_SURPRISE_PERCENT">"c4453"</definedName>
    <definedName name="IQ_EST_FFO_SURPRISE_PERCENT">"c1870"</definedName>
    <definedName name="IQ_EST_FFO_SURPRISE_PERCENT_REUT">"c3891"</definedName>
    <definedName name="IQ_EST_FOOTNOTE">"c4540"</definedName>
    <definedName name="IQ_EST_FOOTNOTE_REUT">"c5478"</definedName>
    <definedName name="IQ_EST_MAINT_CAPEX_DIFF">"c4456"</definedName>
    <definedName name="IQ_EST_MAINT_CAPEX_GROWTH_1YR">"c4429"</definedName>
    <definedName name="IQ_EST_MAINT_CAPEX_GROWTH_2YR">"c4430"</definedName>
    <definedName name="IQ_EST_MAINT_CAPEX_GROWTH_Q_1YR">"c4431"</definedName>
    <definedName name="IQ_EST_MAINT_CAPEX_SEQ_GROWTH_Q">"c4432"</definedName>
    <definedName name="IQ_EST_MAINT_CAPEX_SURPRISE_PERCENT">"c4465"</definedName>
    <definedName name="IQ_EST_NAV_DIFF">"c1895"</definedName>
    <definedName name="IQ_EST_NAV_SURPRISE_PERCENT">"c1896"</definedName>
    <definedName name="IQ_EST_NET_DEBT_DIFF">"c4466"</definedName>
    <definedName name="IQ_EST_NET_DEBT_SURPRISE_PERCENT">"c4468"</definedName>
    <definedName name="IQ_EST_NI_DIFF">"c1885"</definedName>
    <definedName name="IQ_EST_NI_DIFF_REUT">"c5423"</definedName>
    <definedName name="IQ_EST_NI_GW_DIFF">"c1887"</definedName>
    <definedName name="IQ_EST_NI_GW_DIFF_REUT">"c5425"</definedName>
    <definedName name="IQ_EST_NI_GW_SURPRISE_PERCENT">"c1888"</definedName>
    <definedName name="IQ_EST_NI_GW_SURPRISE_PERCENT_REUT">"c5426"</definedName>
    <definedName name="IQ_EST_NI_REPORT_DIFF">"c1889"</definedName>
    <definedName name="IQ_EST_NI_REPORT_DIFF_REUT">"c5427"</definedName>
    <definedName name="IQ_EST_NI_REPORT_SURPRISE_PERCENT">"c1890"</definedName>
    <definedName name="IQ_EST_NI_REPORT_SURPRISE_PERCENT_REUT">"c5428"</definedName>
    <definedName name="IQ_EST_NI_SBC_DIFF">"c4472"</definedName>
    <definedName name="IQ_EST_NI_SBC_GW_DIFF">"c4476"</definedName>
    <definedName name="IQ_EST_NI_SBC_GW_SURPRISE_PERCENT">"c4485"</definedName>
    <definedName name="IQ_EST_NI_SBC_SURPRISE_PERCENT">"c4491"</definedName>
    <definedName name="IQ_EST_NI_SURPRISE_PERCENT">"c1886"</definedName>
    <definedName name="IQ_EST_NI_SURPRISE_PERCENT_REUT">"c5424"</definedName>
    <definedName name="IQ_EST_NUM_BUY">"c1759"</definedName>
    <definedName name="IQ_EST_NUM_BUY_REUT">"c3869"</definedName>
    <definedName name="IQ_EST_NUM_HOLD">"c1761"</definedName>
    <definedName name="IQ_EST_NUM_HOLD_REUT">"c3871"</definedName>
    <definedName name="IQ_EST_NUM_NO_OPINION">"c1758"</definedName>
    <definedName name="IQ_EST_NUM_NO_OPINION_REUT">"c3868"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OPER_INC_DIFF">"c1877"</definedName>
    <definedName name="IQ_EST_OPER_INC_DIFF_REUT">"c5415"</definedName>
    <definedName name="IQ_EST_OPER_INC_SURPRISE_PERCENT">"c1878"</definedName>
    <definedName name="IQ_EST_OPER_INC_SURPRISE_PERCENT_REUT">"c5416"</definedName>
    <definedName name="IQ_EST_PRE_TAX_DIFF">"c1879"</definedName>
    <definedName name="IQ_EST_PRE_TAX_DIFF_REUT">"c5417"</definedName>
    <definedName name="IQ_EST_PRE_TAX_GW_DIFF">"c1881"</definedName>
    <definedName name="IQ_EST_PRE_TAX_GW_DIFF_REUT">"c5419"</definedName>
    <definedName name="IQ_EST_PRE_TAX_GW_SURPRISE_PERCENT">"c1882"</definedName>
    <definedName name="IQ_EST_PRE_TAX_GW_SURPRISE_PERCENT_REUT">"c5420"</definedName>
    <definedName name="IQ_EST_PRE_TAX_REPORT_DIFF">"c1883"</definedName>
    <definedName name="IQ_EST_PRE_TAX_REPORT_DIFF_REUT">"c5421"</definedName>
    <definedName name="IQ_EST_PRE_TAX_REPORT_SURPRISE_PERCENT">"c1884"</definedName>
    <definedName name="IQ_EST_PRE_TAX_REPORT_SURPRISE_PERCENT_REUT">"c5422"</definedName>
    <definedName name="IQ_EST_PRE_TAX_SURPRISE_PERCENT">"c1880"</definedName>
    <definedName name="IQ_EST_PRE_TAX_SURPRISE_PERCENT_REUT">"c5418"</definedName>
    <definedName name="IQ_EST_RECURRING_PROFIT_SHARE_DIFF">"c4505"</definedName>
    <definedName name="IQ_EST_RECURRING_PROFIT_SHARE_SURPRISE_PERCENT">"c4515"</definedName>
    <definedName name="IQ_EST_REV_DIFF">"c1865"</definedName>
    <definedName name="IQ_EST_REV_DIFF_REUT">"c3886"</definedName>
    <definedName name="IQ_EST_REV_GROWTH_1YR">"c1638"</definedName>
    <definedName name="IQ_EST_REV_GROWTH_1YR_REUT">"c3860"</definedName>
    <definedName name="IQ_EST_REV_GROWTH_2YR">"c1639"</definedName>
    <definedName name="IQ_EST_REV_GROWTH_2YR_REUT">"c3861"</definedName>
    <definedName name="IQ_EST_REV_GROWTH_Q_1YR">"c1640"</definedName>
    <definedName name="IQ_EST_REV_GROWTH_Q_1YR_REUT">"c3862"</definedName>
    <definedName name="IQ_EST_REV_SEQ_GROWTH_Q">"c1765"</definedName>
    <definedName name="IQ_EST_REV_SEQ_GROWTH_Q_REUT">"c3863"</definedName>
    <definedName name="IQ_EST_REV_SURPRISE_PERCENT">"c1866"</definedName>
    <definedName name="IQ_EST_REV_SURPRISE_PERCENT_REUT">"c3887"</definedName>
    <definedName name="IQ_EST_VENDOR">"c5564"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"assign"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ADJ_ACT_OR_EST">"c4435"</definedName>
    <definedName name="IQ_FFO_ADJ_EST">"c4434"</definedName>
    <definedName name="IQ_FFO_ADJ_GUIDANCE">"c4436"</definedName>
    <definedName name="IQ_FFO_ADJ_HIGH_EST">"c4437"</definedName>
    <definedName name="IQ_FFO_ADJ_HIGH_GUIDANCE">"c4202"</definedName>
    <definedName name="IQ_FFO_ADJ_LOW_EST">"c4438"</definedName>
    <definedName name="IQ_FFO_ADJ_LOW_GUIDANCE">"c4242"</definedName>
    <definedName name="IQ_FFO_ADJ_MEDIAN_EST">"c4439"</definedName>
    <definedName name="IQ_FFO_ADJ_NUM_EST">"c4440"</definedName>
    <definedName name="IQ_FFO_ADJ_STDDEV_EST">"c4441"</definedName>
    <definedName name="IQ_FFO_EST">"c418"</definedName>
    <definedName name="IQ_FFO_EST_REUT">"c3837"</definedName>
    <definedName name="IQ_FFO_GUIDANCE">"c4443"</definedName>
    <definedName name="IQ_FFO_HIGH_EST">"c419"</definedName>
    <definedName name="IQ_FFO_HIGH_EST_REUT">"c3839"</definedName>
    <definedName name="IQ_FFO_HIGH_GUIDANCE">"c4184"</definedName>
    <definedName name="IQ_FFO_LOW_EST">"c420"</definedName>
    <definedName name="IQ_FFO_LOW_EST_REUT">"c3840"</definedName>
    <definedName name="IQ_FFO_LOW_GUIDANCE">"c4224"</definedName>
    <definedName name="IQ_FFO_MEDIAN_EST">"c1665"</definedName>
    <definedName name="IQ_FFO_MEDIAN_EST_REUT">"c3838"</definedName>
    <definedName name="IQ_FFO_NUM_EST">"c421"</definedName>
    <definedName name="IQ_FFO_NUM_EST_REUT">"c3841"</definedName>
    <definedName name="IQ_FFO_PAYOUT_RATIO">"c3492"</definedName>
    <definedName name="IQ_FFO_SHARE_ACT_OR_EST">"c4446"</definedName>
    <definedName name="IQ_FFO_SHARE_EST">"c4445"</definedName>
    <definedName name="IQ_FFO_SHARE_GUIDANCE">"c4447"</definedName>
    <definedName name="IQ_FFO_SHARE_HIGH_EST">"c4448"</definedName>
    <definedName name="IQ_FFO_SHARE_HIGH_GUIDANCE">"c4203"</definedName>
    <definedName name="IQ_FFO_SHARE_LOW_EST">"c4449"</definedName>
    <definedName name="IQ_FFO_SHARE_LOW_GUIDANCE">"c4243"</definedName>
    <definedName name="IQ_FFO_SHARE_MEDIAN_EST">"c4450"</definedName>
    <definedName name="IQ_FFO_SHARE_NUM_EST">"c4451"</definedName>
    <definedName name="IQ_FFO_SHARE_STDDEV_EST">"c4452"</definedName>
    <definedName name="IQ_FFO_STDDEV_EST">"c422"</definedName>
    <definedName name="IQ_FFO_STDDEV_EST_REUT">"c3842"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NOTES_PAY_TOTAL">"c5522"</definedName>
    <definedName name="IQ_FIN_DIV_REV">"c437"</definedName>
    <definedName name="IQ_FIN_DIV_ST_DEBT_TOTAL">"c5527"</definedName>
    <definedName name="IQ_FINANCING_CASH">"c1405"</definedName>
    <definedName name="IQ_FINANCING_CASH_SUPPL">"c1406"</definedName>
    <definedName name="IQ_FINANCING_OBLIG_CURRENT">"c6190"</definedName>
    <definedName name="IQ_FINANCING_OBLIG_NON_CURRENT">"c6191"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AP_IS">"c6194"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OODWILL_NET">"c1380"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MARGIN">"c529"</definedName>
    <definedName name="IQ_GROSS_MARGIN_ACT_OR_EST">"c5554"</definedName>
    <definedName name="IQ_GROSS_MARGIN_EST">"c5547"</definedName>
    <definedName name="IQ_GROSS_MARGIN_HIGH_EST">"c5549"</definedName>
    <definedName name="IQ_GROSS_MARGIN_LOW_EST">"c5550"</definedName>
    <definedName name="IQ_GROSS_MARGIN_MEDIAN_EST">"c5548"</definedName>
    <definedName name="IQ_GROSS_MARGIN_NUM_EST">"c5551"</definedName>
    <definedName name="IQ_GROSS_MARGIN_STDDEV_EST">"c5552"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DAYS_REV_OUT">"c5993"</definedName>
    <definedName name="IQ_HC_EQUIV_ADMISSIONS_GROWTH">"c5998"</definedName>
    <definedName name="IQ_HC_EQUIVALENT_ADMISSIONS">"c5958"</definedName>
    <definedName name="IQ_HC_EQUIVALENT_ADMISSIONS_SF">"c6007"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SALARIES_PCT_REV">"c5970"</definedName>
    <definedName name="IQ_HC_SUPPLIES_PCT_REV">"c5971"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IGH_TARGET_PRICE">"c1651"</definedName>
    <definedName name="IQ_HIGH_TARGET_PRICE_REUT">"c5317"</definedName>
    <definedName name="IQ_HIGHPRICE">"c545"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DEX_PROVIDED_DIVIDEND">"c19252"</definedName>
    <definedName name="IQ_INDEXCONSTITUENT_CLOSEPRICE">"c19241"</definedName>
    <definedName name="IQ_INDUSTRY">"c3601"</definedName>
    <definedName name="IQ_INDUSTRY_GROUP">"c3602"</definedName>
    <definedName name="IQ_INDUSTRY_SECTOR">"c3603"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">"c6224"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">"c6225"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UNI_SECURITY">"c5512"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PRD">"c644"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_TARGET_PRICE_REUT">"c5318"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CAPEX_ACT_OR_EST">"c4458"</definedName>
    <definedName name="IQ_MAINT_CAPEX_EST">"c4457"</definedName>
    <definedName name="IQ_MAINT_CAPEX_GUIDANCE">"c4459"</definedName>
    <definedName name="IQ_MAINT_CAPEX_HIGH_EST">"c4460"</definedName>
    <definedName name="IQ_MAINT_CAPEX_HIGH_GUIDANCE">"c4197"</definedName>
    <definedName name="IQ_MAINT_CAPEX_LOW_EST">"c4461"</definedName>
    <definedName name="IQ_MAINT_CAPEX_LOW_GUIDANCE">"c4237"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C_RATIO">"c2783"</definedName>
    <definedName name="IQ_MC_STATUTORY_SURPLUS">"c2772"</definedName>
    <definedName name="IQ_MEDIAN_TARGET_PRICE">"c1650"</definedName>
    <definedName name="IQ_MEDIAN_TARGET_PRICE_REUT">"c5316"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REUT">"c4048"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41171.0144444444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ACT_OR_EST_REUT">"c5473"</definedName>
    <definedName name="IQ_NET_DEBT_EBITDA">"c750"</definedName>
    <definedName name="IQ_NET_DEBT_EBITDA_CAPEX">"c2949"</definedName>
    <definedName name="IQ_NET_DEBT_EST">"c3517"</definedName>
    <definedName name="IQ_NET_DEBT_EST_REUT">"c3976"</definedName>
    <definedName name="IQ_NET_DEBT_GUIDANCE">"c4467"</definedName>
    <definedName name="IQ_NET_DEBT_HIGH_EST">"c3518"</definedName>
    <definedName name="IQ_NET_DEBT_HIGH_EST_REUT">"c3978"</definedName>
    <definedName name="IQ_NET_DEBT_HIGH_GUIDANCE">"c4181"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DEBT_LOW_EST">"c3519"</definedName>
    <definedName name="IQ_NET_DEBT_LOW_EST_REUT">"c3979"</definedName>
    <definedName name="IQ_NET_DEBT_LOW_GUIDANCE">"c4221"</definedName>
    <definedName name="IQ_NET_DEBT_MEDIAN_EST">"c3520"</definedName>
    <definedName name="IQ_NET_DEBT_MEDIAN_EST_REUT">"c3977"</definedName>
    <definedName name="IQ_NET_DEBT_NUM_EST">"c3515"</definedName>
    <definedName name="IQ_NET_DEBT_NUM_EST_REUT">"c3980"</definedName>
    <definedName name="IQ_NET_DEBT_STDDEV_EST">"c3516"</definedName>
    <definedName name="IQ_NET_DEBT_STDDEV_EST_REUT">"c3981"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CT_OR_EST">"c2222"</definedName>
    <definedName name="IQ_NI_ACT_OR_EST_REUT">"c5468"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EST_REUT">"c5368"</definedName>
    <definedName name="IQ_NI_GAAP_GUIDANCE">"c4470"</definedName>
    <definedName name="IQ_NI_GAAP_HIGH_GUIDANCE">"c4177"</definedName>
    <definedName name="IQ_NI_GAAP_LOW_GUIDANCE">"c4217"</definedName>
    <definedName name="IQ_NI_GUIDANCE">"c4469"</definedName>
    <definedName name="IQ_NI_GW_EST">"c1723"</definedName>
    <definedName name="IQ_NI_GW_EST_REUT">"c5375"</definedName>
    <definedName name="IQ_NI_GW_GUIDANCE">"c4471"</definedName>
    <definedName name="IQ_NI_GW_HIGH_EST">"c1725"</definedName>
    <definedName name="IQ_NI_GW_HIGH_EST_REUT">"c5377"</definedName>
    <definedName name="IQ_NI_GW_HIGH_GUIDANCE">"c4178"</definedName>
    <definedName name="IQ_NI_GW_LOW_EST">"c1726"</definedName>
    <definedName name="IQ_NI_GW_LOW_EST_REUT">"c5378"</definedName>
    <definedName name="IQ_NI_GW_LOW_GUIDANCE">"c4218"</definedName>
    <definedName name="IQ_NI_GW_MEDIAN_EST">"c1724"</definedName>
    <definedName name="IQ_NI_GW_MEDIAN_EST_REUT">"c5376"</definedName>
    <definedName name="IQ_NI_GW_NUM_EST">"c1727"</definedName>
    <definedName name="IQ_NI_GW_NUM_EST_REUT">"c5379"</definedName>
    <definedName name="IQ_NI_GW_STDDEV_EST">"c1728"</definedName>
    <definedName name="IQ_NI_GW_STDDEV_EST_REUT">"c5380"</definedName>
    <definedName name="IQ_NI_HIGH_EST">"c1718"</definedName>
    <definedName name="IQ_NI_HIGH_EST_REUT">"c5370"</definedName>
    <definedName name="IQ_NI_HIGH_GUIDANCE">"c4176"</definedName>
    <definedName name="IQ_NI_LOW_EST">"c1719"</definedName>
    <definedName name="IQ_NI_LOW_EST_REUT">"c5371"</definedName>
    <definedName name="IQ_NI_LOW_GUIDANCE">"c4216"</definedName>
    <definedName name="IQ_NI_MARGIN">"c794"</definedName>
    <definedName name="IQ_NI_MEDIAN_EST">"c1717"</definedName>
    <definedName name="IQ_NI_MEDIAN_EST_REUT">"c5369"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NUM_EST">"c1720"</definedName>
    <definedName name="IQ_NI_NUM_EST_REUT">"c5372"</definedName>
    <definedName name="IQ_NI_REPORTED_EST">"c1730"</definedName>
    <definedName name="IQ_NI_REPORTED_EST_REUT">"c5382"</definedName>
    <definedName name="IQ_NI_REPORTED_HIGH_EST">"c1732"</definedName>
    <definedName name="IQ_NI_REPORTED_HIGH_EST_REUT">"c5384"</definedName>
    <definedName name="IQ_NI_REPORTED_LOW_EST">"c1733"</definedName>
    <definedName name="IQ_NI_REPORTED_LOW_EST_REUT">"c5385"</definedName>
    <definedName name="IQ_NI_REPORTED_MEDIAN_EST">"c1731"</definedName>
    <definedName name="IQ_NI_REPORTED_MEDIAN_EST_REUT">"c5383"</definedName>
    <definedName name="IQ_NI_REPORTED_NUM_EST">"c1734"</definedName>
    <definedName name="IQ_NI_REPORTED_NUM_EST_REUT">"c5386"</definedName>
    <definedName name="IQ_NI_REPORTED_STDDEV_EST">"c1735"</definedName>
    <definedName name="IQ_NI_REPORTED_STDDEV_EST_REUT">"c5387"</definedName>
    <definedName name="IQ_NI_SBC_ACT_OR_EST">"c4474"</definedName>
    <definedName name="IQ_NI_SBC_EST">"c4473"</definedName>
    <definedName name="IQ_NI_SBC_GUIDANCE">"c4475"</definedName>
    <definedName name="IQ_NI_SBC_GW_ACT_OR_EST">"c4478"</definedName>
    <definedName name="IQ_NI_SBC_GW_EST">"c4477"</definedName>
    <definedName name="IQ_NI_SBC_GW_GUIDANCE">"c4479"</definedName>
    <definedName name="IQ_NI_SBC_GW_HIGH_EST">"c4480"</definedName>
    <definedName name="IQ_NI_SBC_GW_HIGH_GUIDANCE">"c4187"</definedName>
    <definedName name="IQ_NI_SBC_GW_LOW_EST">"c4481"</definedName>
    <definedName name="IQ_NI_SBC_GW_LOW_GUIDANCE">"c4227"</definedName>
    <definedName name="IQ_NI_SBC_GW_MEDIAN_EST">"c4482"</definedName>
    <definedName name="IQ_NI_SBC_GW_NUM_EST">"c4483"</definedName>
    <definedName name="IQ_NI_SBC_GW_STDDEV_EST">"c4484"</definedName>
    <definedName name="IQ_NI_SBC_HIGH_EST">"c4486"</definedName>
    <definedName name="IQ_NI_SBC_HIGH_GUIDANCE">"c4186"</definedName>
    <definedName name="IQ_NI_SBC_LOW_EST">"c4487"</definedName>
    <definedName name="IQ_NI_SBC_LOW_GUIDANCE">"c4226"</definedName>
    <definedName name="IQ_NI_SBC_MEDIAN_EST">"c4488"</definedName>
    <definedName name="IQ_NI_SBC_NUM_EST">"c4489"</definedName>
    <definedName name="IQ_NI_SBC_STDDEV_EST">"c4490"</definedName>
    <definedName name="IQ_NI_SFAS">"c795"</definedName>
    <definedName name="IQ_NI_STDDEV_EST">"c1721"</definedName>
    <definedName name="IQ_NI_STDDEV_EST_REUT">"c5373"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_EPS_ACT_OR_EST_REUT">"c5472"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PRICE">"c848"</definedName>
    <definedName name="IQ_OPER_INC">"c849"</definedName>
    <definedName name="IQ_OPER_INC_ACT_OR_EST">"c2220"</definedName>
    <definedName name="IQ_OPER_INC_ACT_OR_EST_REUT">"c5466"</definedName>
    <definedName name="IQ_OPER_INC_BR">"c850"</definedName>
    <definedName name="IQ_OPER_INC_EST">"c1688"</definedName>
    <definedName name="IQ_OPER_INC_EST_REUT">"c5340"</definedName>
    <definedName name="IQ_OPER_INC_FIN">"c851"</definedName>
    <definedName name="IQ_OPER_INC_HIGH_EST">"c1690"</definedName>
    <definedName name="IQ_OPER_INC_HIGH_EST_REUT">"c5342"</definedName>
    <definedName name="IQ_OPER_INC_INS">"c852"</definedName>
    <definedName name="IQ_OPER_INC_LOW_EST">"c1691"</definedName>
    <definedName name="IQ_OPER_INC_LOW_EST_REUT">"c5343"</definedName>
    <definedName name="IQ_OPER_INC_MARGIN">"c1448"</definedName>
    <definedName name="IQ_OPER_INC_MEDIAN_EST">"c1689"</definedName>
    <definedName name="IQ_OPER_INC_MEDIAN_EST_REUT">"c5341"</definedName>
    <definedName name="IQ_OPER_INC_NUM_EST">"c1692"</definedName>
    <definedName name="IQ_OPER_INC_NUM_EST_REUT">"c5344"</definedName>
    <definedName name="IQ_OPER_INC_RE">"c6240"</definedName>
    <definedName name="IQ_OPER_INC_REIT">"c853"</definedName>
    <definedName name="IQ_OPER_INC_STDDEV_EST">"c1693"</definedName>
    <definedName name="IQ_OPER_INC_STDDEV_EST_REUT">"c5345"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MORT">"c5563"</definedName>
    <definedName name="IQ_OTHER_AMORT_BNK">"c5565"</definedName>
    <definedName name="IQ_OTHER_AMORT_BR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">"c6244"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"c2127"</definedName>
    <definedName name="IQ_OWNERSHIP">"c2160"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REUT">"c4049"</definedName>
    <definedName name="IQ_PE_NORMALIZED">"c2207"</definedName>
    <definedName name="IQ_PE_RATIO">"c1610"</definedName>
    <definedName name="IQ_PEG_FWD">"c1863"</definedName>
    <definedName name="IQ_PEG_FWD_REUT">"c4052"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2MONTHS_REUT">"c3959"</definedName>
    <definedName name="IQ_PERCENT_CHANGE_EST_5YR_GROWTH_RATE_18MONTHS">"c1853"</definedName>
    <definedName name="IQ_PERCENT_CHANGE_EST_5YR_GROWTH_RATE_18MONTHS_REUT">"c3960"</definedName>
    <definedName name="IQ_PERCENT_CHANGE_EST_5YR_GROWTH_RATE_3MONTHS">"c1849"</definedName>
    <definedName name="IQ_PERCENT_CHANGE_EST_5YR_GROWTH_RATE_3MONTHS_REUT">"c3956"</definedName>
    <definedName name="IQ_PERCENT_CHANGE_EST_5YR_GROWTH_RATE_6MONTHS">"c1850"</definedName>
    <definedName name="IQ_PERCENT_CHANGE_EST_5YR_GROWTH_RATE_6MONTHS_REUT">"c3957"</definedName>
    <definedName name="IQ_PERCENT_CHANGE_EST_5YR_GROWTH_RATE_9MONTHS">"c1851"</definedName>
    <definedName name="IQ_PERCENT_CHANGE_EST_5YR_GROWTH_RATE_9MONTHS_REUT">"c3958"</definedName>
    <definedName name="IQ_PERCENT_CHANGE_EST_5YR_GROWTH_RATE_DAY">"c1846"</definedName>
    <definedName name="IQ_PERCENT_CHANGE_EST_5YR_GROWTH_RATE_DAY_REUT">"c3954"</definedName>
    <definedName name="IQ_PERCENT_CHANGE_EST_5YR_GROWTH_RATE_MONTH">"c1848"</definedName>
    <definedName name="IQ_PERCENT_CHANGE_EST_5YR_GROWTH_RATE_MONTH_REUT">"c3955"</definedName>
    <definedName name="IQ_PERCENT_CHANGE_EST_5YR_GROWTH_RATE_WEEK">"c1847"</definedName>
    <definedName name="IQ_PERCENT_CHANGE_EST_5YR_GROWTH_RATE_WEEK_REUT">"c5435"</definedName>
    <definedName name="IQ_PERCENT_CHANGE_EST_CFPS_12MONTHS">"c1812"</definedName>
    <definedName name="IQ_PERCENT_CHANGE_EST_CFPS_12MONTHS_REUT">"c3924"</definedName>
    <definedName name="IQ_PERCENT_CHANGE_EST_CFPS_18MONTHS">"c1813"</definedName>
    <definedName name="IQ_PERCENT_CHANGE_EST_CFPS_18MONTHS_REUT">"c3925"</definedName>
    <definedName name="IQ_PERCENT_CHANGE_EST_CFPS_3MONTHS">"c1809"</definedName>
    <definedName name="IQ_PERCENT_CHANGE_EST_CFPS_3MONTHS_REUT">"c3921"</definedName>
    <definedName name="IQ_PERCENT_CHANGE_EST_CFPS_6MONTHS">"c1810"</definedName>
    <definedName name="IQ_PERCENT_CHANGE_EST_CFPS_6MONTHS_REUT">"c3922"</definedName>
    <definedName name="IQ_PERCENT_CHANGE_EST_CFPS_9MONTHS">"c1811"</definedName>
    <definedName name="IQ_PERCENT_CHANGE_EST_CFPS_9MONTHS_REUT">"c3923"</definedName>
    <definedName name="IQ_PERCENT_CHANGE_EST_CFPS_DAY">"c1806"</definedName>
    <definedName name="IQ_PERCENT_CHANGE_EST_CFPS_DAY_REUT">"c3919"</definedName>
    <definedName name="IQ_PERCENT_CHANGE_EST_CFPS_MONTH">"c1808"</definedName>
    <definedName name="IQ_PERCENT_CHANGE_EST_CFPS_MONTH_REUT">"c3920"</definedName>
    <definedName name="IQ_PERCENT_CHANGE_EST_CFPS_WEEK">"c1807"</definedName>
    <definedName name="IQ_PERCENT_CHANGE_EST_CFPS_WEEK_REUT">"c3962"</definedName>
    <definedName name="IQ_PERCENT_CHANGE_EST_DPS_12MONTHS">"c1820"</definedName>
    <definedName name="IQ_PERCENT_CHANGE_EST_DPS_12MONTHS_REUT">"c3931"</definedName>
    <definedName name="IQ_PERCENT_CHANGE_EST_DPS_18MONTHS">"c1821"</definedName>
    <definedName name="IQ_PERCENT_CHANGE_EST_DPS_18MONTHS_REUT">"c3932"</definedName>
    <definedName name="IQ_PERCENT_CHANGE_EST_DPS_3MONTHS">"c1817"</definedName>
    <definedName name="IQ_PERCENT_CHANGE_EST_DPS_3MONTHS_REUT">"c3928"</definedName>
    <definedName name="IQ_PERCENT_CHANGE_EST_DPS_6MONTHS">"c1818"</definedName>
    <definedName name="IQ_PERCENT_CHANGE_EST_DPS_6MONTHS_REUT">"c3929"</definedName>
    <definedName name="IQ_PERCENT_CHANGE_EST_DPS_9MONTHS">"c1819"</definedName>
    <definedName name="IQ_PERCENT_CHANGE_EST_DPS_9MONTHS_REUT">"c3930"</definedName>
    <definedName name="IQ_PERCENT_CHANGE_EST_DPS_DAY">"c1814"</definedName>
    <definedName name="IQ_PERCENT_CHANGE_EST_DPS_DAY_REUT">"c3926"</definedName>
    <definedName name="IQ_PERCENT_CHANGE_EST_DPS_MONTH">"c1816"</definedName>
    <definedName name="IQ_PERCENT_CHANGE_EST_DPS_MONTH_REUT">"c3927"</definedName>
    <definedName name="IQ_PERCENT_CHANGE_EST_DPS_WEEK">"c1815"</definedName>
    <definedName name="IQ_PERCENT_CHANGE_EST_DPS_WEEK_REUT">"c3963"</definedName>
    <definedName name="IQ_PERCENT_CHANGE_EST_EBITDA_12MONTHS">"c1804"</definedName>
    <definedName name="IQ_PERCENT_CHANGE_EST_EBITDA_12MONTHS_REUT">"c3917"</definedName>
    <definedName name="IQ_PERCENT_CHANGE_EST_EBITDA_18MONTHS">"c1805"</definedName>
    <definedName name="IQ_PERCENT_CHANGE_EST_EBITDA_18MONTHS_REUT">"c3918"</definedName>
    <definedName name="IQ_PERCENT_CHANGE_EST_EBITDA_3MONTHS">"c1801"</definedName>
    <definedName name="IQ_PERCENT_CHANGE_EST_EBITDA_3MONTHS_REUT">"c3914"</definedName>
    <definedName name="IQ_PERCENT_CHANGE_EST_EBITDA_6MONTHS">"c1802"</definedName>
    <definedName name="IQ_PERCENT_CHANGE_EST_EBITDA_6MONTHS_REUT">"c3915"</definedName>
    <definedName name="IQ_PERCENT_CHANGE_EST_EBITDA_9MONTHS">"c1803"</definedName>
    <definedName name="IQ_PERCENT_CHANGE_EST_EBITDA_9MONTHS_REUT">"c3916"</definedName>
    <definedName name="IQ_PERCENT_CHANGE_EST_EBITDA_DAY">"c1798"</definedName>
    <definedName name="IQ_PERCENT_CHANGE_EST_EBITDA_DAY_REUT">"c3912"</definedName>
    <definedName name="IQ_PERCENT_CHANGE_EST_EBITDA_MONTH">"c1800"</definedName>
    <definedName name="IQ_PERCENT_CHANGE_EST_EBITDA_MONTH_REUT">"c3913"</definedName>
    <definedName name="IQ_PERCENT_CHANGE_EST_EBITDA_WEEK">"c1799"</definedName>
    <definedName name="IQ_PERCENT_CHANGE_EST_EBITDA_WEEK_REUT">"c3961"</definedName>
    <definedName name="IQ_PERCENT_CHANGE_EST_EPS_12MONTHS">"c1788"</definedName>
    <definedName name="IQ_PERCENT_CHANGE_EST_EPS_12MONTHS_REUT">"c3902"</definedName>
    <definedName name="IQ_PERCENT_CHANGE_EST_EPS_18MONTHS">"c1789"</definedName>
    <definedName name="IQ_PERCENT_CHANGE_EST_EPS_18MONTHS_REUT">"c3903"</definedName>
    <definedName name="IQ_PERCENT_CHANGE_EST_EPS_3MONTHS">"c1785"</definedName>
    <definedName name="IQ_PERCENT_CHANGE_EST_EPS_3MONTHS_REUT">"c3899"</definedName>
    <definedName name="IQ_PERCENT_CHANGE_EST_EPS_6MONTHS">"c1786"</definedName>
    <definedName name="IQ_PERCENT_CHANGE_EST_EPS_6MONTHS_REUT">"c3900"</definedName>
    <definedName name="IQ_PERCENT_CHANGE_EST_EPS_9MONTHS">"c1787"</definedName>
    <definedName name="IQ_PERCENT_CHANGE_EST_EPS_9MONTHS_REUT">"c3901"</definedName>
    <definedName name="IQ_PERCENT_CHANGE_EST_EPS_DAY">"c1782"</definedName>
    <definedName name="IQ_PERCENT_CHANGE_EST_EPS_DAY_REUT">"c3896"</definedName>
    <definedName name="IQ_PERCENT_CHANGE_EST_EPS_MONTH">"c1784"</definedName>
    <definedName name="IQ_PERCENT_CHANGE_EST_EPS_MONTH_REUT">"c3898"</definedName>
    <definedName name="IQ_PERCENT_CHANGE_EST_EPS_WEEK">"c1783"</definedName>
    <definedName name="IQ_PERCENT_CHANGE_EST_EPS_WEEK_REUT">"c3897"</definedName>
    <definedName name="IQ_PERCENT_CHANGE_EST_FFO_12MONTHS">"c1828"</definedName>
    <definedName name="IQ_PERCENT_CHANGE_EST_FFO_12MONTHS_REUT">"c3938"</definedName>
    <definedName name="IQ_PERCENT_CHANGE_EST_FFO_18MONTHS">"c1829"</definedName>
    <definedName name="IQ_PERCENT_CHANGE_EST_FFO_18MONTHS_REUT">"c3939"</definedName>
    <definedName name="IQ_PERCENT_CHANGE_EST_FFO_3MONTHS">"c1825"</definedName>
    <definedName name="IQ_PERCENT_CHANGE_EST_FFO_3MONTHS_REUT">"c3935"</definedName>
    <definedName name="IQ_PERCENT_CHANGE_EST_FFO_6MONTHS">"c1826"</definedName>
    <definedName name="IQ_PERCENT_CHANGE_EST_FFO_6MONTHS_REUT">"c3936"</definedName>
    <definedName name="IQ_PERCENT_CHANGE_EST_FFO_9MONTHS">"c1827"</definedName>
    <definedName name="IQ_PERCENT_CHANGE_EST_FFO_9MONTHS_REUT">"c3937"</definedName>
    <definedName name="IQ_PERCENT_CHANGE_EST_FFO_DAY">"c1822"</definedName>
    <definedName name="IQ_PERCENT_CHANGE_EST_FFO_DAY_REUT">"c3933"</definedName>
    <definedName name="IQ_PERCENT_CHANGE_EST_FFO_MONTH">"c1824"</definedName>
    <definedName name="IQ_PERCENT_CHANGE_EST_FFO_MONTH_REUT">"c3934"</definedName>
    <definedName name="IQ_PERCENT_CHANGE_EST_FFO_WEEK">"c1823"</definedName>
    <definedName name="IQ_PERCENT_CHANGE_EST_FFO_WEEK_REUT">"c3964"</definedName>
    <definedName name="IQ_PERCENT_CHANGE_EST_PRICE_TARGET_12MONTHS">"c1844"</definedName>
    <definedName name="IQ_PERCENT_CHANGE_EST_PRICE_TARGET_12MONTHS_REUT">"c3952"</definedName>
    <definedName name="IQ_PERCENT_CHANGE_EST_PRICE_TARGET_18MONTHS">"c1845"</definedName>
    <definedName name="IQ_PERCENT_CHANGE_EST_PRICE_TARGET_18MONTHS_REUT">"c3953"</definedName>
    <definedName name="IQ_PERCENT_CHANGE_EST_PRICE_TARGET_3MONTHS">"c1841"</definedName>
    <definedName name="IQ_PERCENT_CHANGE_EST_PRICE_TARGET_3MONTHS_REUT">"c3949"</definedName>
    <definedName name="IQ_PERCENT_CHANGE_EST_PRICE_TARGET_6MONTHS">"c1842"</definedName>
    <definedName name="IQ_PERCENT_CHANGE_EST_PRICE_TARGET_6MONTHS_REUT">"c3950"</definedName>
    <definedName name="IQ_PERCENT_CHANGE_EST_PRICE_TARGET_9MONTHS">"c1843"</definedName>
    <definedName name="IQ_PERCENT_CHANGE_EST_PRICE_TARGET_9MONTHS_REUT">"c3951"</definedName>
    <definedName name="IQ_PERCENT_CHANGE_EST_PRICE_TARGET_DAY">"c1838"</definedName>
    <definedName name="IQ_PERCENT_CHANGE_EST_PRICE_TARGET_DAY_REUT">"c3947"</definedName>
    <definedName name="IQ_PERCENT_CHANGE_EST_PRICE_TARGET_MONTH">"c1840"</definedName>
    <definedName name="IQ_PERCENT_CHANGE_EST_PRICE_TARGET_MONTH_REUT">"c3948"</definedName>
    <definedName name="IQ_PERCENT_CHANGE_EST_PRICE_TARGET_WEEK">"c1839"</definedName>
    <definedName name="IQ_PERCENT_CHANGE_EST_PRICE_TARGET_WEEK_REUT">"c3967"</definedName>
    <definedName name="IQ_PERCENT_CHANGE_EST_RECO_12MONTHS">"c1836"</definedName>
    <definedName name="IQ_PERCENT_CHANGE_EST_RECO_12MONTHS_REUT">"c3945"</definedName>
    <definedName name="IQ_PERCENT_CHANGE_EST_RECO_18MONTHS">"c1837"</definedName>
    <definedName name="IQ_PERCENT_CHANGE_EST_RECO_18MONTHS_REUT">"c3946"</definedName>
    <definedName name="IQ_PERCENT_CHANGE_EST_RECO_3MONTHS">"c1833"</definedName>
    <definedName name="IQ_PERCENT_CHANGE_EST_RECO_3MONTHS_REUT">"c3942"</definedName>
    <definedName name="IQ_PERCENT_CHANGE_EST_RECO_6MONTHS">"c1834"</definedName>
    <definedName name="IQ_PERCENT_CHANGE_EST_RECO_6MONTHS_REUT">"c3943"</definedName>
    <definedName name="IQ_PERCENT_CHANGE_EST_RECO_9MONTHS">"c1835"</definedName>
    <definedName name="IQ_PERCENT_CHANGE_EST_RECO_9MONTHS_REUT">"c3944"</definedName>
    <definedName name="IQ_PERCENT_CHANGE_EST_RECO_DAY">"c1830"</definedName>
    <definedName name="IQ_PERCENT_CHANGE_EST_RECO_DAY_REUT">"c3940"</definedName>
    <definedName name="IQ_PERCENT_CHANGE_EST_RECO_MONTH">"c1832"</definedName>
    <definedName name="IQ_PERCENT_CHANGE_EST_RECO_MONTH_REUT">"c3941"</definedName>
    <definedName name="IQ_PERCENT_CHANGE_EST_RECO_WEEK">"c1831"</definedName>
    <definedName name="IQ_PERCENT_CHANGE_EST_RECO_WEEK_REUT">"c3965"</definedName>
    <definedName name="IQ_PERCENT_CHANGE_EST_REV_12MONTHS">"c1796"</definedName>
    <definedName name="IQ_PERCENT_CHANGE_EST_REV_12MONTHS_REUT">"c3910"</definedName>
    <definedName name="IQ_PERCENT_CHANGE_EST_REV_18MONTHS">"c1797"</definedName>
    <definedName name="IQ_PERCENT_CHANGE_EST_REV_18MONTHS_REUT">"c3911"</definedName>
    <definedName name="IQ_PERCENT_CHANGE_EST_REV_3MONTHS">"c1793"</definedName>
    <definedName name="IQ_PERCENT_CHANGE_EST_REV_3MONTHS_REUT">"c3907"</definedName>
    <definedName name="IQ_PERCENT_CHANGE_EST_REV_6MONTHS">"c1794"</definedName>
    <definedName name="IQ_PERCENT_CHANGE_EST_REV_6MONTHS_REUT">"c3908"</definedName>
    <definedName name="IQ_PERCENT_CHANGE_EST_REV_9MONTHS">"c1795"</definedName>
    <definedName name="IQ_PERCENT_CHANGE_EST_REV_9MONTHS_REUT">"c3909"</definedName>
    <definedName name="IQ_PERCENT_CHANGE_EST_REV_DAY">"c1790"</definedName>
    <definedName name="IQ_PERCENT_CHANGE_EST_REV_DAY_REUT">"c3904"</definedName>
    <definedName name="IQ_PERCENT_CHANGE_EST_REV_MONTH">"c1792"</definedName>
    <definedName name="IQ_PERCENT_CHANGE_EST_REV_MONTH_REUT">"c3906"</definedName>
    <definedName name="IQ_PERCENT_CHANGE_EST_REV_WEEK">"c1791"</definedName>
    <definedName name="IQ_PERCENT_CHANGE_EST_REV_WEEK_REUT">"c3905"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OTENTIAL_UPSIDE_REUT">"c3968"</definedName>
    <definedName name="IQ_PRE_OPEN_COST">"c1040"</definedName>
    <definedName name="IQ_PRE_TAX_ACT_OR_EST">"c2221"</definedName>
    <definedName name="IQ_PRE_TAX_ACT_OR_EST_REUT">"c5467"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EST_REUT">"c5354"</definedName>
    <definedName name="IQ_PRETAX_GW_INC_HIGH_EST">"c1704"</definedName>
    <definedName name="IQ_PRETAX_GW_INC_HIGH_EST_REUT">"c5356"</definedName>
    <definedName name="IQ_PRETAX_GW_INC_LOW_EST">"c1705"</definedName>
    <definedName name="IQ_PRETAX_GW_INC_LOW_EST_REUT">"c5357"</definedName>
    <definedName name="IQ_PRETAX_GW_INC_MEDIAN_EST">"c1703"</definedName>
    <definedName name="IQ_PRETAX_GW_INC_MEDIAN_EST_REUT">"c5355"</definedName>
    <definedName name="IQ_PRETAX_GW_INC_NUM_EST">"c1706"</definedName>
    <definedName name="IQ_PRETAX_GW_INC_NUM_EST_REUT">"c5358"</definedName>
    <definedName name="IQ_PRETAX_GW_INC_STDDEV_EST">"c1707"</definedName>
    <definedName name="IQ_PRETAX_GW_INC_STDDEV_EST_REUT">"c5359"</definedName>
    <definedName name="IQ_PRETAX_INC_EST">"c1695"</definedName>
    <definedName name="IQ_PRETAX_INC_EST_REUT">"c5347"</definedName>
    <definedName name="IQ_PRETAX_INC_HIGH_EST">"c1697"</definedName>
    <definedName name="IQ_PRETAX_INC_HIGH_EST_REUT">"c5349"</definedName>
    <definedName name="IQ_PRETAX_INC_LOW_EST">"c1698"</definedName>
    <definedName name="IQ_PRETAX_INC_LOW_EST_REUT">"c5350"</definedName>
    <definedName name="IQ_PRETAX_INC_MEDIAN_EST">"c1696"</definedName>
    <definedName name="IQ_PRETAX_INC_MEDIAN_EST_REUT">"c5348"</definedName>
    <definedName name="IQ_PRETAX_INC_NUM_EST">"c1699"</definedName>
    <definedName name="IQ_PRETAX_INC_NUM_EST_REUT">"c5351"</definedName>
    <definedName name="IQ_PRETAX_INC_STDDEV_EST">"c1700"</definedName>
    <definedName name="IQ_PRETAX_INC_STDDEV_EST_REUT">"c5352"</definedName>
    <definedName name="IQ_PRETAX_REPORT_INC_EST">"c1709"</definedName>
    <definedName name="IQ_PRETAX_REPORT_INC_EST_REUT">"c5361"</definedName>
    <definedName name="IQ_PRETAX_REPORT_INC_HIGH_EST">"c1711"</definedName>
    <definedName name="IQ_PRETAX_REPORT_INC_HIGH_EST_REUT">"c5363"</definedName>
    <definedName name="IQ_PRETAX_REPORT_INC_LOW_EST">"c1712"</definedName>
    <definedName name="IQ_PRETAX_REPORT_INC_LOW_EST_REUT">"c5364"</definedName>
    <definedName name="IQ_PRETAX_REPORT_INC_MEDIAN_EST">"c1710"</definedName>
    <definedName name="IQ_PRETAX_REPORT_INC_MEDIAN_EST_REUT">"c5362"</definedName>
    <definedName name="IQ_PRETAX_REPORT_INC_NUM_EST">"c1713"</definedName>
    <definedName name="IQ_PRETAX_REPORT_INC_NUM_EST_REUT">"c5365"</definedName>
    <definedName name="IQ_PRETAX_REPORT_INC_STDDEV_EST">"c1714"</definedName>
    <definedName name="IQ_PRETAX_REPORT_INC_STDDEV_EST_REUT">"c5366"</definedName>
    <definedName name="IQ_PRICE_CFPS_FWD">"c2237"</definedName>
    <definedName name="IQ_PRICE_CFPS_FWD_REUT">"c4053"</definedName>
    <definedName name="IQ_PRICE_OVER_BVPS">"c1412"</definedName>
    <definedName name="IQ_PRICE_OVER_LTM_EPS">"c1413"</definedName>
    <definedName name="IQ_PRICE_TARGET">"c82"</definedName>
    <definedName name="IQ_PRICE_TARGET_BOTTOM_UP">"c5486"</definedName>
    <definedName name="IQ_PRICE_TARGET_BOTTOM_UP_REUT">"c5494"</definedName>
    <definedName name="IQ_PRICE_TARGET_REUT">"c3631"</definedName>
    <definedName name="IQ_PRICE_VOLATILITY_EST">"c4492"</definedName>
    <definedName name="IQ_PRICE_VOLATILITY_HIGH">"c4493"</definedName>
    <definedName name="IQ_PRICE_VOLATILITY_LOW">"c4494"</definedName>
    <definedName name="IQ_PRICE_VOLATILITY_MEDIAN">"c4495"</definedName>
    <definedName name="IQ_PRICE_VOLATILITY_NUM">"c4496"</definedName>
    <definedName name="IQ_PRICE_VOLATILITY_STDDEV">"c4497"</definedName>
    <definedName name="IQ_PRICEDATE">"c1069"</definedName>
    <definedName name="IQ_PRICING_DATE">"c1613"</definedName>
    <definedName name="IQ_PRIMARY_EPS_TYPE">"c4498"</definedName>
    <definedName name="IQ_PRIMARY_EPS_TYPE_REUT">"c5481"</definedName>
    <definedName name="IQ_PRIMARY_INDUSTRY">"c1070"</definedName>
    <definedName name="IQ_PRINCIPAL_AMT">"c2157"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CURRING_PROFIT_ACT_OR_EST">"c4507"</definedName>
    <definedName name="IQ_RECURRING_PROFIT_EST">"c4499"</definedName>
    <definedName name="IQ_RECURRING_PROFIT_GUIDANCE">"c4500"</definedName>
    <definedName name="IQ_RECURRING_PROFIT_HIGH_EST">"c4501"</definedName>
    <definedName name="IQ_RECURRING_PROFIT_HIGH_GUIDANCE">"c4179"</definedName>
    <definedName name="IQ_RECURRING_PROFIT_LOW_EST">"c4502"</definedName>
    <definedName name="IQ_RECURRING_PROFIT_LOW_GUIDANCE">"c4219"</definedName>
    <definedName name="IQ_RECURRING_PROFIT_MEDIAN_EST">"c4503"</definedName>
    <definedName name="IQ_RECURRING_PROFIT_NUM_EST">"c4504"</definedName>
    <definedName name="IQ_RECURRING_PROFIT_SHARE_ACT_OR_EST">"c4508"</definedName>
    <definedName name="IQ_RECURRING_PROFIT_SHARE_EST">"c4506"</definedName>
    <definedName name="IQ_RECURRING_PROFIT_SHARE_GUIDANCE">"c4509"</definedName>
    <definedName name="IQ_RECURRING_PROFIT_SHARE_HIGH_EST">"c4510"</definedName>
    <definedName name="IQ_RECURRING_PROFIT_SHARE_HIGH_GUIDANCE">"c4200"</definedName>
    <definedName name="IQ_RECURRING_PROFIT_SHARE_LOW_EST">"c4511"</definedName>
    <definedName name="IQ_RECURRING_PROFIT_SHARE_LOW_GUIDANCE">"c4240"</definedName>
    <definedName name="IQ_RECURRING_PROFIT_SHARE_MEDIAN_EST">"c4512"</definedName>
    <definedName name="IQ_RECURRING_PROFIT_SHARE_NUM_EST">"c4513"</definedName>
    <definedName name="IQ_RECURRING_PROFIT_SHARE_STDDEV_EST">"c4514"</definedName>
    <definedName name="IQ_RECURRING_PROFIT_STDDEV_EST">"c4516"</definedName>
    <definedName name="IQ_REDEEM_PREF_STOCK">"c1417"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UTI">"c1111"</definedName>
    <definedName name="IQ_RESTRUCTURED_LOANS">"c1112"</definedName>
    <definedName name="IQ_RETAIL_ACQUIRED_FRANCHISE_STORES">"c2895"</definedName>
    <definedName name="IQ_RETAIL_ACQUIRED_OWNED_STORES">"c2903"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ACT_OR_EST">"c3585"</definedName>
    <definedName name="IQ_RETURN_ASSETS_ACT_OR_EST_REUT">"c5475"</definedName>
    <definedName name="IQ_RETURN_ASSETS_BANK">"c1114"</definedName>
    <definedName name="IQ_RETURN_ASSETS_BROK">"c1115"</definedName>
    <definedName name="IQ_RETURN_ASSETS_EST">"c3529"</definedName>
    <definedName name="IQ_RETURN_ASSETS_EST_REUT">"c3990"</definedName>
    <definedName name="IQ_RETURN_ASSETS_FS">"c1116"</definedName>
    <definedName name="IQ_RETURN_ASSETS_GUIDANCE">"c4517"</definedName>
    <definedName name="IQ_RETURN_ASSETS_HIGH_EST">"c3530"</definedName>
    <definedName name="IQ_RETURN_ASSETS_HIGH_EST_REUT">"c3992"</definedName>
    <definedName name="IQ_RETURN_ASSETS_HIGH_GUIDANCE">"c4183"</definedName>
    <definedName name="IQ_RETURN_ASSETS_LOW_EST">"c3531"</definedName>
    <definedName name="IQ_RETURN_ASSETS_LOW_EST_REUT">"c3993"</definedName>
    <definedName name="IQ_RETURN_ASSETS_LOW_GUIDANCE">"c4223"</definedName>
    <definedName name="IQ_RETURN_ASSETS_MEDIAN_EST">"c3532"</definedName>
    <definedName name="IQ_RETURN_ASSETS_MEDIAN_EST_REUT">"c3991"</definedName>
    <definedName name="IQ_RETURN_ASSETS_NUM_EST">"c3527"</definedName>
    <definedName name="IQ_RETURN_ASSETS_NUM_EST_REUT">"c3994"</definedName>
    <definedName name="IQ_RETURN_ASSETS_STDDEV_EST">"c3528"</definedName>
    <definedName name="IQ_RETURN_ASSETS_STDDEV_EST_REUT">"c3995"</definedName>
    <definedName name="IQ_RETURN_CAPITAL">"c1117"</definedName>
    <definedName name="IQ_RETURN_EQUITY">"c1118"</definedName>
    <definedName name="IQ_RETURN_EQUITY_ACT_OR_EST">"c3586"</definedName>
    <definedName name="IQ_RETURN_EQUITY_ACT_OR_EST_REUT">"c5476"</definedName>
    <definedName name="IQ_RETURN_EQUITY_BANK">"c1119"</definedName>
    <definedName name="IQ_RETURN_EQUITY_BROK">"c1120"</definedName>
    <definedName name="IQ_RETURN_EQUITY_EST">"c3535"</definedName>
    <definedName name="IQ_RETURN_EQUITY_EST_REUT">"c3983"</definedName>
    <definedName name="IQ_RETURN_EQUITY_FS">"c1121"</definedName>
    <definedName name="IQ_RETURN_EQUITY_GUIDANCE">"c4518"</definedName>
    <definedName name="IQ_RETURN_EQUITY_HIGH_EST">"c3536"</definedName>
    <definedName name="IQ_RETURN_EQUITY_HIGH_EST_REUT">"c3985"</definedName>
    <definedName name="IQ_RETURN_EQUITY_HIGH_GUIDANCE">"c4182"</definedName>
    <definedName name="IQ_RETURN_EQUITY_LOW_EST">"c3537"</definedName>
    <definedName name="IQ_RETURN_EQUITY_LOW_EST_REUT">"c3986"</definedName>
    <definedName name="IQ_RETURN_EQUITY_LOW_GUIDANCE">"c4222"</definedName>
    <definedName name="IQ_RETURN_EQUITY_MEDIAN_EST">"c3538"</definedName>
    <definedName name="IQ_RETURN_EQUITY_MEDIAN_EST_REUT">"c3984"</definedName>
    <definedName name="IQ_RETURN_EQUITY_NUM_EST">"c3533"</definedName>
    <definedName name="IQ_RETURN_EQUITY_NUM_EST_REUT">"c3987"</definedName>
    <definedName name="IQ_RETURN_EQUITY_STDDEV_EST">"c3534"</definedName>
    <definedName name="IQ_RETURN_EQUITY_STDDEV_EST_REUT">"c3988"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STDDEV_EST_REUT">"c3639"</definedName>
    <definedName name="IQ_REV_UTI">"c1125"</definedName>
    <definedName name="IQ_REVENUE">"c1422"</definedName>
    <definedName name="IQ_REVENUE_ACT_OR_EST">"c2214"</definedName>
    <definedName name="IQ_REVENUE_ACT_OR_EST_REUT">"c5461"</definedName>
    <definedName name="IQ_REVENUE_EST">"c1126"</definedName>
    <definedName name="IQ_REVENUE_EST_BOTTOM_UP">"c5488"</definedName>
    <definedName name="IQ_REVENUE_EST_BOTTOM_UP_REUT">"c5496"</definedName>
    <definedName name="IQ_REVENUE_EST_REUT">"c3634"</definedName>
    <definedName name="IQ_REVENUE_GUIDANCE">"c4519"</definedName>
    <definedName name="IQ_REVENUE_HIGH_EST">"c1127"</definedName>
    <definedName name="IQ_REVENUE_HIGH_EST_REUT">"c3636"</definedName>
    <definedName name="IQ_REVENUE_HIGH_GUIDANCE">"c4169"</definedName>
    <definedName name="IQ_REVENUE_LOW_EST">"c1128"</definedName>
    <definedName name="IQ_REVENUE_LOW_EST_REUT">"c3637"</definedName>
    <definedName name="IQ_REVENUE_LOW_GUIDANCE">"c4209"</definedName>
    <definedName name="IQ_REVENUE_MEDIAN_EST">"c1662"</definedName>
    <definedName name="IQ_REVENUE_MEDIAN_EST_REUT">"c3635"</definedName>
    <definedName name="IQ_REVENUE_NUM_EST">"c1129"</definedName>
    <definedName name="IQ_REVENUE_NUM_EST_REUT">"c3638"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_PURCHASED_RESELL">"c5513"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LEVEL">"c2159"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_PURCHASED_AVERAGE_PRICE">"c5821"</definedName>
    <definedName name="IQ_SHARES_PURCHASED_QUARTER">"c5820"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_BANK">"c2637"</definedName>
    <definedName name="IQ_SP_BANK_ACTION">"c2636"</definedName>
    <definedName name="IQ_SP_BANK_DATE">"c2635"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ST">"c4520"</definedName>
    <definedName name="IQ_STOCK_BASED_GA">"c2993"</definedName>
    <definedName name="IQ_STOCK_BASED_HIGH_EST">"c4521"</definedName>
    <definedName name="IQ_STOCK_BASED_LOW_EST">"c4522"</definedName>
    <definedName name="IQ_STOCK_BASED_MEDIAN_EST">"c4523"</definedName>
    <definedName name="IQ_STOCK_BASED_NUM_EST">"c4524"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STDDEV_EST">"c4525"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NUM_REUT">"c5319"</definedName>
    <definedName name="IQ_TARGET_PRICE_STDDEV">"c1654"</definedName>
    <definedName name="IQ_TARGET_PRICE_STDDEV_REUT">"c5320"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_FWD_REUT">"c4054"</definedName>
    <definedName name="IQ_TEV_EBITDA">"c1222"</definedName>
    <definedName name="IQ_TEV_EBITDA_AVG">"c1223"</definedName>
    <definedName name="IQ_TEV_EBITDA_FWD">"c1224"</definedName>
    <definedName name="IQ_TEV_EBITDA_FWD_REUT">"c4050"</definedName>
    <definedName name="IQ_TEV_EMPLOYEE_AVG">"c1225"</definedName>
    <definedName name="IQ_TEV_EST">"c4526"</definedName>
    <definedName name="IQ_TEV_HIGH_EST">"c4527"</definedName>
    <definedName name="IQ_TEV_LOW_EST">"c4528"</definedName>
    <definedName name="IQ_TEV_MEDIAN_EST">"c4529"</definedName>
    <definedName name="IQ_TEV_NUM_EST">"c4530"</definedName>
    <definedName name="IQ_TEV_STDDEV_EST">"c4531"</definedName>
    <definedName name="IQ_TEV_TOTAL_REV">"c1226"</definedName>
    <definedName name="IQ_TEV_TOTAL_REV_AVG">"c1227"</definedName>
    <definedName name="IQ_TEV_TOTAL_REV_FWD">"c1228"</definedName>
    <definedName name="IQ_TEV_TOTAL_REV_FWD_REUT">"c4051"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">"c6270"</definedName>
    <definedName name="IQ_TOTAL_AR_REIT">"c1232"</definedName>
    <definedName name="IQ_TOTAL_AR_UTI">"c1233"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ST">"c4532"</definedName>
    <definedName name="IQ_TOTAL_DEBT_EXCL_FIN">"c2937"</definedName>
    <definedName name="IQ_TOTAL_DEBT_GUIDANCE">"c4533"</definedName>
    <definedName name="IQ_TOTAL_DEBT_HIGH_EST">"c4534"</definedName>
    <definedName name="IQ_TOTAL_DEBT_HIGH_GUIDANCE">"c4196"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LOW_EST">"c4535"</definedName>
    <definedName name="IQ_TOTAL_DEBT_LOW_GUIDANCE">"c4236"</definedName>
    <definedName name="IQ_TOTAL_DEBT_MEDIAN_EST">"c4536"</definedName>
    <definedName name="IQ_TOTAL_DEBT_NUM_EST">"c4537"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TDDEV_EST">"c4538"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OANS">"c5653"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UNUSUAL_BNK">"c5516"</definedName>
    <definedName name="IQ_TOTAL_UNUSUAL_BR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DA">"c2334"</definedName>
    <definedName name="IQ_TR_TARGET_EBITDA_EQ_INC">"c3608"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XDIV_DATE">"c2104"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saac">[15]Detail!#REF!</definedName>
    <definedName name="IsColHidden">FALSE</definedName>
    <definedName name="IsLTMColHidden">FALSE</definedName>
    <definedName name="kapa">[12]INFOR!$C$2</definedName>
    <definedName name="limcount">1</definedName>
    <definedName name="ll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Mat_Event">[12]INFOR!$C$6</definedName>
    <definedName name="merito1">#REF!</definedName>
    <definedName name="mm">{"'CONS'!$A$10:$N$62"}</definedName>
    <definedName name="mmmmm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NEW">{"'RATEIO RECEITA BRUTA'!$B$77:$C$106"}</definedName>
    <definedName name="NOME1">#REF!</definedName>
    <definedName name="OA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origen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qq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">{#N/A,#N/A,FALSE,"cpt"}</definedName>
    <definedName name="qqqq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qqqqqq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q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UAD1">#REF!</definedName>
    <definedName name="QUAD11">#REF!</definedName>
    <definedName name="QUAD21">#REF!</definedName>
    <definedName name="QUAD211">#REF!</definedName>
    <definedName name="QUAD22">#REF!</definedName>
    <definedName name="QUAD221">#REF!</definedName>
    <definedName name="QUAD23">#REF!</definedName>
    <definedName name="RangeChange">#REF!</definedName>
    <definedName name="RevBalSheet">#REF!</definedName>
    <definedName name="sencount">1</definedName>
    <definedName name="SLEVIN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olver_adj">#REF!</definedName>
    <definedName name="solver_cvg">0.001</definedName>
    <definedName name="solver_drv">1</definedName>
    <definedName name="solver_est">1</definedName>
    <definedName name="solver_itr">100</definedName>
    <definedName name="solver_lin">2</definedName>
    <definedName name="solver_neg">2</definedName>
    <definedName name="solver_num">0</definedName>
    <definedName name="solver_nwt">1</definedName>
    <definedName name="solver_opt">#REF!</definedName>
    <definedName name="solver_pre">0.000001</definedName>
    <definedName name="solver_rel1">2</definedName>
    <definedName name="solver_rel2">3</definedName>
    <definedName name="solver_rhs2">0</definedName>
    <definedName name="solver_scl">2</definedName>
    <definedName name="solver_sho">2</definedName>
    <definedName name="solver_tim">100</definedName>
    <definedName name="solver_tol">0.05</definedName>
    <definedName name="solver_typ">3</definedName>
    <definedName name="solver_val">1863661</definedName>
    <definedName name="temp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teste">[3]Detail!#REF!</definedName>
    <definedName name="TextRefCopyRangeCount">15</definedName>
    <definedName name="USMTeste2">{"'RATEIO RECEITA BRUTA'!$B$77:$C$106"}</definedName>
    <definedName name="USMTeste3">{"'RATEIO RECEITA BRUTA'!$B$77:$C$106"}</definedName>
    <definedName name="wrn.Acquisition_matrix.">{"Acq_matrix",#N/A,FALSE,"Acquisition Matrix"}</definedName>
    <definedName name="wrn.ALAN.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>{#N/A,#N/A,FALSE,"cpt"}</definedName>
    <definedName name="wrn.All._.Pages.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QUIROR._.DCF.">{"AQUIRORDCF",#N/A,FALSE,"Merger consequences";"Acquirorassns",#N/A,FALSE,"Merger consequences"}</definedName>
    <definedName name="wrn.Buildups.">{"ACQ",#N/A,FALSE,"ACQUISITIONS";"ACQF",#N/A,FALSE,"ACQUISITIONS";"PF",#N/A,FALSE,"PROYECTOVILA";"PV",#N/A,FALSE,"PROYECTOVILA";"Fee Dev",#N/A,FALSE,"DEVELOPMENT GROWTH";"gd",#N/A,FALSE,"DEVELOPMENT GROWTH"}</definedName>
    <definedName name="wrn.COMPCO.">{"Page1",#N/A,FALSE,"CompCo";"Page2",#N/A,FALSE,"CompCo"}</definedName>
    <definedName name="wrn.DCF_Terminal_Value_qchm.">{"qchm_dcf",#N/A,FALSE,"QCHMDCF2";"qchm_terminal",#N/A,FALSE,"QCHMDCF2"}</definedName>
    <definedName name="wrn.Entire._.Model.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Estimation._.TP.">{#N/A,#N/A,TRUE,"Recap";#N/A,#N/A,TRUE,"Comp taux";#N/A,#N/A,TRUE,"Deplaf";#N/A,#N/A,TRUE,"Siége";#N/A,#N/A,TRUE,"Saint Ouen";#N/A,#N/A,TRUE,"Ivry";#N/A,#N/A,TRUE,"Issy";#N/A,#N/A,TRUE,"VA"}</definedName>
    <definedName name="wrn.Financials_long.">{"IS",#N/A,FALSE,"Financials2 (Expanded)";"bsa",#N/A,FALSE,"Financials2 (Expanded)";"BS",#N/A,FALSE,"Financials2 (Expanded)";"CF",#N/A,FALSE,"Financials2 (Expanded)"}</definedName>
    <definedName name="wrn.Full._.Monty.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impresión.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nputs._.outputs.">{"key inputs",#N/A,FALSE,"Key Inputs";"key outputs",#N/A,FALSE,"Outputs";"Other inputs",#N/A,FALSE,"Other Inputs";"cashflow",#N/A,FALSE,"Statemnts"}</definedName>
    <definedName name="wrn.Model.">{#N/A,#N/A,TRUE,"TOC";#N/A,#N/A,TRUE,"Inputs";#N/A,#N/A,TRUE,"Debt";#N/A,#N/A,TRUE,"CashFlo";#N/A,#N/A,TRUE,"Prices";#N/A,#N/A,TRUE,"Operations";#N/A,#N/A,TRUE,"GAAP Income";#N/A,#N/A,TRUE,"GAAP Balance";#N/A,#N/A,TRUE,"D&amp;A";#N/A,#N/A,TRUE,"Revolving Working Capital";#N/A,#N/A,TRUE,"Work.Cap.";#N/A,#N/A,TRUE,"Tax Inputs";#N/A,#N/A,TRUE,"Ven Cash Flow";#N/A,#N/A,TRUE,"Ven Income Tax";#N/A,#N/A,TRUE,"Ven Vat";#N/A,#N/A,TRUE,"Ven Balance"}</definedName>
    <definedName name="wrn.Print.">{"vi1",#N/A,FALSE,"Financial Statements";"vi2",#N/A,FALSE,"Financial Statements";#N/A,#N/A,FALSE,"DCF"}</definedName>
    <definedName name="wrn.Print._.Report.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All.">{"PA1",#N/A,FALSE,"BORDMW";"pa2",#N/A,FALSE,"BORDMW";"PA3",#N/A,FALSE,"BORDMW";"PA4",#N/A,FALSE,"BORDMW"}</definedName>
    <definedName name="wrn.sales.">{"sales",#N/A,FALSE,"Sales";"sales existing",#N/A,FALSE,"Sales";"sales rd1",#N/A,FALSE,"Sales";"sales rd2",#N/A,FALSE,"Sales"}</definedName>
    <definedName name="wrn.SHORT.">{"CREDIT STATISTICS",#N/A,FALSE,"STATS";"CF_AND_IS",#N/A,FALSE,"PLAN";"BALSHEET",#N/A,FALSE,"BALANCE SHEET"}</definedName>
    <definedName name="wrn.SUMMARY.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results.">{"key inputs",#N/A,TRUE,"Key Inputs";"key outputs",#N/A,TRUE,"Outputs";"Other inputs",#N/A,TRUE,"Other Inputs";"Revenue",#N/A,TRUE,"Rev"}</definedName>
    <definedName name="wrn.TARGET._.DCF.">{"targetdcf",#N/A,FALSE,"Merger consequences";"TARGETASSU",#N/A,FALSE,"Merger consequences";"TERMINAL VALUE",#N/A,FALSE,"Merger consequences"}</definedName>
    <definedName name="wrn.todo.">{"Caja",#N/A,TRUE,"P&amp;G BG";"PyG",#N/A,TRUE,"P&amp;G BG";"Balance",#N/A,TRUE,"P&amp;G BG"}</definedName>
    <definedName name="wrn.Tout._.Sauf._.BG.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ENTAS.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acc.">{"Area1",#N/A,FALSE,"OREWACC";"Area2",#N/A,FALSE,"OREWACC"}</definedName>
    <definedName name="wvu.Print_Todo.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x">#REF!</definedName>
    <definedName name="XRefColumnsCount">2</definedName>
    <definedName name="XRefCopyRangeCount">3</definedName>
    <definedName name="XRefPasteRangeCount">7</definedName>
    <definedName name="YCXGFJDX">[9]April!$D$70:$D$81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9" i="20" l="1"/>
  <c r="D10" i="18" l="1"/>
  <c r="AI23" i="32"/>
  <c r="AH23" i="32"/>
  <c r="Q23" i="31"/>
  <c r="Y23" i="27"/>
  <c r="X23" i="27"/>
  <c r="Q23" i="24"/>
  <c r="P23" i="24"/>
  <c r="AM23" i="20"/>
  <c r="AM13" i="5"/>
  <c r="AM23" i="32" s="1"/>
  <c r="AL13" i="5"/>
  <c r="AL4" i="5" s="1"/>
  <c r="AK13" i="5"/>
  <c r="AK23" i="32" s="1"/>
  <c r="AJ13" i="5"/>
  <c r="AJ23" i="32" s="1"/>
  <c r="AI13" i="5"/>
  <c r="AI23" i="27" s="1"/>
  <c r="AH13" i="5"/>
  <c r="AH23" i="31" s="1"/>
  <c r="AG13" i="5"/>
  <c r="AG23" i="32" s="1"/>
  <c r="AF13" i="5"/>
  <c r="AF4" i="5" s="1"/>
  <c r="AE13" i="5"/>
  <c r="AE23" i="20" s="1"/>
  <c r="AD13" i="5"/>
  <c r="AD23" i="24" s="1"/>
  <c r="AC13" i="5"/>
  <c r="AC23" i="32" s="1"/>
  <c r="AB13" i="5"/>
  <c r="AB23" i="32" s="1"/>
  <c r="AA13" i="5"/>
  <c r="AA23" i="32" s="1"/>
  <c r="Z13" i="5"/>
  <c r="Z4" i="5" s="1"/>
  <c r="Y13" i="5"/>
  <c r="Y23" i="31" s="1"/>
  <c r="X13" i="5"/>
  <c r="X23" i="31" s="1"/>
  <c r="W13" i="5"/>
  <c r="W23" i="27" s="1"/>
  <c r="V13" i="5"/>
  <c r="V23" i="31" s="1"/>
  <c r="U13" i="5"/>
  <c r="U23" i="32" s="1"/>
  <c r="T13" i="5"/>
  <c r="T23" i="32" s="1"/>
  <c r="S13" i="5"/>
  <c r="S23" i="20" s="1"/>
  <c r="R13" i="5"/>
  <c r="R23" i="24" s="1"/>
  <c r="Q13" i="5"/>
  <c r="Q23" i="32" s="1"/>
  <c r="P13" i="5"/>
  <c r="P23" i="31" s="1"/>
  <c r="O13" i="5"/>
  <c r="O23" i="32" s="1"/>
  <c r="AM292" i="33"/>
  <c r="AL292" i="33"/>
  <c r="AK292" i="33"/>
  <c r="AJ292" i="33"/>
  <c r="AI292" i="33"/>
  <c r="AH292" i="33"/>
  <c r="AG292" i="33"/>
  <c r="AF292" i="33"/>
  <c r="AE292" i="33"/>
  <c r="AD292" i="33"/>
  <c r="AC292" i="33"/>
  <c r="AB292" i="33"/>
  <c r="AA292" i="33"/>
  <c r="Z292" i="33"/>
  <c r="Y292" i="33"/>
  <c r="X292" i="33"/>
  <c r="W292" i="33"/>
  <c r="V292" i="33"/>
  <c r="U292" i="33"/>
  <c r="T292" i="33"/>
  <c r="S292" i="33"/>
  <c r="R292" i="33"/>
  <c r="Q292" i="33"/>
  <c r="P292" i="33"/>
  <c r="O292" i="33"/>
  <c r="O291" i="33"/>
  <c r="O286" i="33"/>
  <c r="AM274" i="33"/>
  <c r="AL274" i="33"/>
  <c r="AK274" i="33"/>
  <c r="AJ274" i="33"/>
  <c r="AI274" i="33"/>
  <c r="AH274" i="33"/>
  <c r="AG274" i="33"/>
  <c r="AF274" i="33"/>
  <c r="AE274" i="33"/>
  <c r="AD274" i="33"/>
  <c r="AC274" i="33"/>
  <c r="AB274" i="33"/>
  <c r="AA274" i="33"/>
  <c r="Z274" i="33"/>
  <c r="Y274" i="33"/>
  <c r="X274" i="33"/>
  <c r="W274" i="33"/>
  <c r="V274" i="33"/>
  <c r="U274" i="33"/>
  <c r="T274" i="33"/>
  <c r="S274" i="33"/>
  <c r="R274" i="33"/>
  <c r="Q274" i="33"/>
  <c r="P274" i="33"/>
  <c r="O274" i="33"/>
  <c r="AM273" i="33"/>
  <c r="AL273" i="33"/>
  <c r="AK273" i="33"/>
  <c r="AJ273" i="33"/>
  <c r="AI273" i="33"/>
  <c r="AH273" i="33"/>
  <c r="AG273" i="33"/>
  <c r="AF273" i="33"/>
  <c r="AE273" i="33"/>
  <c r="AD273" i="33"/>
  <c r="AC273" i="33"/>
  <c r="AB273" i="33"/>
  <c r="AA273" i="33"/>
  <c r="Z273" i="33"/>
  <c r="Y273" i="33"/>
  <c r="X273" i="33"/>
  <c r="W273" i="33"/>
  <c r="V273" i="33"/>
  <c r="U273" i="33"/>
  <c r="T273" i="33"/>
  <c r="S273" i="33"/>
  <c r="R273" i="33"/>
  <c r="Q273" i="33"/>
  <c r="P273" i="33"/>
  <c r="O273" i="33"/>
  <c r="I260" i="33"/>
  <c r="AM134" i="33"/>
  <c r="AL134" i="33"/>
  <c r="AK134" i="33"/>
  <c r="AJ134" i="33"/>
  <c r="AI134" i="33"/>
  <c r="AH134" i="33"/>
  <c r="AG134" i="33"/>
  <c r="AF134" i="33"/>
  <c r="AE134" i="33"/>
  <c r="AD134" i="33"/>
  <c r="AC134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AM110" i="33"/>
  <c r="AL110" i="33"/>
  <c r="AK110" i="33"/>
  <c r="AJ110" i="33"/>
  <c r="AI110" i="33"/>
  <c r="AH110" i="33"/>
  <c r="AG110" i="33"/>
  <c r="AF110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O101" i="33"/>
  <c r="G75" i="33"/>
  <c r="O67" i="33"/>
  <c r="O64" i="33"/>
  <c r="AM39" i="33"/>
  <c r="AL39" i="33"/>
  <c r="AK39" i="33"/>
  <c r="AJ39" i="33"/>
  <c r="AI39" i="33"/>
  <c r="AH39" i="33"/>
  <c r="AG39" i="33"/>
  <c r="AF39" i="33"/>
  <c r="AE39" i="33"/>
  <c r="AD39" i="33"/>
  <c r="AC39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AM38" i="33"/>
  <c r="AL38" i="33"/>
  <c r="AK38" i="33"/>
  <c r="AJ38" i="33"/>
  <c r="AI38" i="33"/>
  <c r="AH38" i="33"/>
  <c r="AG38" i="33"/>
  <c r="AF38" i="33"/>
  <c r="AE38" i="33"/>
  <c r="AD38" i="33"/>
  <c r="AC38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AM37" i="33"/>
  <c r="AL37" i="33"/>
  <c r="AK37" i="33"/>
  <c r="AJ37" i="33"/>
  <c r="AI37" i="33"/>
  <c r="AH37" i="33"/>
  <c r="AG37" i="33"/>
  <c r="AF37" i="33"/>
  <c r="AE37" i="33"/>
  <c r="AD37" i="33"/>
  <c r="AC37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O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AM35" i="33"/>
  <c r="AL35" i="33"/>
  <c r="AK35" i="33"/>
  <c r="AJ35" i="33"/>
  <c r="AI35" i="33"/>
  <c r="AH35" i="33"/>
  <c r="AG35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AM34" i="33"/>
  <c r="AL34" i="33"/>
  <c r="AK34" i="33"/>
  <c r="AJ34" i="33"/>
  <c r="AI34" i="33"/>
  <c r="AH34" i="33"/>
  <c r="AG34" i="33"/>
  <c r="AF34" i="33"/>
  <c r="AE34" i="33"/>
  <c r="AD34" i="33"/>
  <c r="AC34" i="33"/>
  <c r="AB34" i="33"/>
  <c r="AA34" i="33"/>
  <c r="Z34" i="33"/>
  <c r="Y34" i="33"/>
  <c r="X34" i="33"/>
  <c r="W34" i="33"/>
  <c r="V34" i="33"/>
  <c r="U34" i="33"/>
  <c r="T34" i="33"/>
  <c r="S34" i="33"/>
  <c r="R34" i="33"/>
  <c r="Q34" i="33"/>
  <c r="P34" i="33"/>
  <c r="O34" i="33"/>
  <c r="W23" i="31" l="1"/>
  <c r="AI23" i="31"/>
  <c r="AG4" i="5"/>
  <c r="AJ23" i="31"/>
  <c r="AM4" i="5"/>
  <c r="V23" i="32"/>
  <c r="T23" i="20"/>
  <c r="W23" i="32"/>
  <c r="AJ23" i="27"/>
  <c r="AA23" i="31"/>
  <c r="Z23" i="24"/>
  <c r="P4" i="5"/>
  <c r="AC23" i="27"/>
  <c r="Q4" i="5"/>
  <c r="AA23" i="20"/>
  <c r="U4" i="5"/>
  <c r="AB23" i="20"/>
  <c r="AL23" i="24"/>
  <c r="AL23" i="27"/>
  <c r="AL23" i="31"/>
  <c r="AL23" i="32"/>
  <c r="Y23" i="32"/>
  <c r="P23" i="20"/>
  <c r="Q23" i="20"/>
  <c r="AK23" i="27"/>
  <c r="AA4" i="5"/>
  <c r="AC23" i="20"/>
  <c r="AC23" i="33" s="1"/>
  <c r="O23" i="27"/>
  <c r="AM23" i="27"/>
  <c r="AM23" i="31"/>
  <c r="Z23" i="32"/>
  <c r="AB23" i="27"/>
  <c r="AB23" i="24"/>
  <c r="AC23" i="24"/>
  <c r="AB4" i="5"/>
  <c r="AF23" i="20"/>
  <c r="P23" i="27"/>
  <c r="O23" i="31"/>
  <c r="P23" i="32"/>
  <c r="P23" i="33" s="1"/>
  <c r="O23" i="20"/>
  <c r="AA23" i="27"/>
  <c r="Z23" i="20"/>
  <c r="T4" i="5"/>
  <c r="AK23" i="24"/>
  <c r="AC4" i="5"/>
  <c r="AL23" i="20"/>
  <c r="Q23" i="27"/>
  <c r="Z23" i="27"/>
  <c r="AB23" i="31"/>
  <c r="Z23" i="31"/>
  <c r="Y23" i="24"/>
  <c r="O4" i="5"/>
  <c r="AC23" i="31"/>
  <c r="S4" i="5"/>
  <c r="AE4" i="5"/>
  <c r="AD23" i="27"/>
  <c r="AG23" i="20"/>
  <c r="R23" i="20"/>
  <c r="U23" i="20"/>
  <c r="T23" i="24"/>
  <c r="T23" i="33" s="1"/>
  <c r="AF23" i="24"/>
  <c r="S23" i="27"/>
  <c r="AE23" i="27"/>
  <c r="R23" i="31"/>
  <c r="AD23" i="31"/>
  <c r="W4" i="5"/>
  <c r="AI4" i="5"/>
  <c r="V23" i="20"/>
  <c r="AH23" i="20"/>
  <c r="U23" i="24"/>
  <c r="AG23" i="24"/>
  <c r="T23" i="27"/>
  <c r="AF23" i="27"/>
  <c r="S23" i="31"/>
  <c r="AE23" i="31"/>
  <c r="R23" i="32"/>
  <c r="AD23" i="32"/>
  <c r="AH4" i="5"/>
  <c r="X4" i="5"/>
  <c r="W23" i="20"/>
  <c r="V23" i="24"/>
  <c r="T23" i="31"/>
  <c r="AE23" i="32"/>
  <c r="S23" i="24"/>
  <c r="AE23" i="24"/>
  <c r="R23" i="27"/>
  <c r="V4" i="5"/>
  <c r="AI23" i="20"/>
  <c r="AH23" i="24"/>
  <c r="U23" i="27"/>
  <c r="AG23" i="27"/>
  <c r="S23" i="32"/>
  <c r="Y4" i="5"/>
  <c r="AK4" i="5"/>
  <c r="X23" i="20"/>
  <c r="AJ23" i="20"/>
  <c r="W23" i="24"/>
  <c r="W23" i="33" s="1"/>
  <c r="AI23" i="24"/>
  <c r="V23" i="27"/>
  <c r="AH23" i="27"/>
  <c r="U23" i="31"/>
  <c r="U23" i="33" s="1"/>
  <c r="AG23" i="31"/>
  <c r="AF23" i="32"/>
  <c r="AJ4" i="5"/>
  <c r="AF23" i="31"/>
  <c r="L13" i="5"/>
  <c r="Y23" i="20"/>
  <c r="AK23" i="20"/>
  <c r="X23" i="24"/>
  <c r="X23" i="33" s="1"/>
  <c r="AJ23" i="24"/>
  <c r="O23" i="24"/>
  <c r="AA23" i="24"/>
  <c r="AA23" i="33" s="1"/>
  <c r="AM23" i="24"/>
  <c r="AM23" i="33" s="1"/>
  <c r="AK23" i="31"/>
  <c r="X23" i="32"/>
  <c r="R4" i="5"/>
  <c r="AD4" i="5"/>
  <c r="AD23" i="20"/>
  <c r="Q23" i="33"/>
  <c r="Z23" i="33" l="1"/>
  <c r="AK23" i="33"/>
  <c r="Y23" i="33"/>
  <c r="AG23" i="33"/>
  <c r="AJ23" i="33"/>
  <c r="AB23" i="33"/>
  <c r="AE23" i="33"/>
  <c r="AH23" i="33"/>
  <c r="AD23" i="33"/>
  <c r="AI23" i="33"/>
  <c r="L23" i="32"/>
  <c r="L23" i="31"/>
  <c r="V23" i="33"/>
  <c r="L23" i="24"/>
  <c r="AF23" i="33"/>
  <c r="S23" i="33"/>
  <c r="R23" i="33"/>
  <c r="AL23" i="33"/>
  <c r="O23" i="33"/>
  <c r="L23" i="27"/>
  <c r="L23" i="20"/>
  <c r="AM20" i="33"/>
  <c r="AL20" i="33"/>
  <c r="AK20" i="33"/>
  <c r="AJ20" i="33"/>
  <c r="AI20" i="33"/>
  <c r="AH20" i="33"/>
  <c r="AG20" i="33"/>
  <c r="AF20" i="33"/>
  <c r="AE20" i="33"/>
  <c r="AD20" i="33"/>
  <c r="AC20" i="33"/>
  <c r="AB20" i="33"/>
  <c r="AA20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AM19" i="33"/>
  <c r="AL19" i="33"/>
  <c r="AK19" i="33"/>
  <c r="AJ19" i="33"/>
  <c r="AI19" i="33"/>
  <c r="AH19" i="33"/>
  <c r="AG19" i="33"/>
  <c r="AF19" i="33"/>
  <c r="AE19" i="33"/>
  <c r="AD19" i="33"/>
  <c r="AC19" i="33"/>
  <c r="AB19" i="33"/>
  <c r="AA19" i="33"/>
  <c r="Z19" i="33"/>
  <c r="Y19" i="33"/>
  <c r="X19" i="33"/>
  <c r="W19" i="33"/>
  <c r="V19" i="33"/>
  <c r="U19" i="33"/>
  <c r="T19" i="33"/>
  <c r="S19" i="33"/>
  <c r="R19" i="33"/>
  <c r="Q19" i="33"/>
  <c r="P19" i="33"/>
  <c r="O19" i="33"/>
  <c r="AM18" i="33"/>
  <c r="AL18" i="33"/>
  <c r="AK18" i="33"/>
  <c r="AJ18" i="33"/>
  <c r="AI18" i="33"/>
  <c r="AH18" i="33"/>
  <c r="AG18" i="33"/>
  <c r="AF18" i="33"/>
  <c r="AE18" i="33"/>
  <c r="AD18" i="33"/>
  <c r="AC18" i="33"/>
  <c r="AB18" i="33"/>
  <c r="AA18" i="33"/>
  <c r="Z18" i="33"/>
  <c r="Y18" i="33"/>
  <c r="X18" i="33"/>
  <c r="W18" i="33"/>
  <c r="V18" i="33"/>
  <c r="U18" i="33"/>
  <c r="T18" i="33"/>
  <c r="S18" i="33"/>
  <c r="R18" i="33"/>
  <c r="Q18" i="33"/>
  <c r="P18" i="33"/>
  <c r="O18" i="33"/>
  <c r="AM17" i="33"/>
  <c r="AL17" i="33"/>
  <c r="AK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T17" i="33"/>
  <c r="S17" i="33"/>
  <c r="R17" i="33"/>
  <c r="Q17" i="33"/>
  <c r="P17" i="33"/>
  <c r="O17" i="33"/>
  <c r="AM16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L23" i="33" l="1"/>
  <c r="C20" i="35"/>
  <c r="K19" i="35"/>
  <c r="J19" i="35"/>
  <c r="I19" i="35"/>
  <c r="H19" i="35"/>
  <c r="G19" i="35"/>
  <c r="F19" i="35"/>
  <c r="E19" i="35"/>
  <c r="D19" i="35"/>
  <c r="C19" i="35"/>
  <c r="C18" i="35"/>
  <c r="K17" i="35"/>
  <c r="J17" i="35"/>
  <c r="I17" i="35"/>
  <c r="H17" i="35"/>
  <c r="G17" i="35"/>
  <c r="F17" i="35"/>
  <c r="E17" i="35"/>
  <c r="D17" i="35"/>
  <c r="C17" i="35"/>
  <c r="K16" i="35"/>
  <c r="J16" i="35"/>
  <c r="I16" i="35"/>
  <c r="H16" i="35"/>
  <c r="G16" i="35"/>
  <c r="F16" i="35"/>
  <c r="E16" i="35"/>
  <c r="D16" i="35"/>
  <c r="C16" i="35"/>
  <c r="L15" i="35"/>
  <c r="M15" i="35"/>
  <c r="N15" i="35"/>
  <c r="K20" i="18"/>
  <c r="J20" i="18"/>
  <c r="I20" i="18"/>
  <c r="H20" i="18"/>
  <c r="G20" i="18"/>
  <c r="J15" i="35" l="1"/>
  <c r="I15" i="35"/>
  <c r="K15" i="35"/>
  <c r="E15" i="35"/>
  <c r="D15" i="35"/>
  <c r="C15" i="35"/>
  <c r="H15" i="35"/>
  <c r="G15" i="35"/>
  <c r="F15" i="35"/>
  <c r="H56" i="4"/>
  <c r="H55" i="4"/>
  <c r="L27" i="5"/>
  <c r="O24" i="5"/>
  <c r="J19" i="18" l="1"/>
  <c r="O77" i="33" l="1"/>
  <c r="C11" i="35"/>
  <c r="E12" i="35" l="1"/>
  <c r="N12" i="35"/>
  <c r="M12" i="35"/>
  <c r="K12" i="35"/>
  <c r="H12" i="35"/>
  <c r="F12" i="35"/>
  <c r="D12" i="35"/>
  <c r="C12" i="35"/>
  <c r="L12" i="35"/>
  <c r="J12" i="35"/>
  <c r="I12" i="35"/>
  <c r="G12" i="35"/>
  <c r="E9" i="35"/>
  <c r="C9" i="35"/>
  <c r="N9" i="35"/>
  <c r="M9" i="35"/>
  <c r="L9" i="35"/>
  <c r="I9" i="35"/>
  <c r="H9" i="35"/>
  <c r="G9" i="35"/>
  <c r="F9" i="35"/>
  <c r="D9" i="35"/>
  <c r="K9" i="35"/>
  <c r="J9" i="35"/>
  <c r="E10" i="35"/>
  <c r="C10" i="35"/>
  <c r="M10" i="35"/>
  <c r="K10" i="35"/>
  <c r="J10" i="35"/>
  <c r="I10" i="35"/>
  <c r="D10" i="35"/>
  <c r="N10" i="35"/>
  <c r="L10" i="35"/>
  <c r="H10" i="35"/>
  <c r="G10" i="35"/>
  <c r="F10" i="35"/>
  <c r="I251" i="33"/>
  <c r="I247" i="33"/>
  <c r="O240" i="33"/>
  <c r="AM232" i="33"/>
  <c r="AL232" i="33"/>
  <c r="AK232" i="33"/>
  <c r="AJ232" i="33"/>
  <c r="AI232" i="33"/>
  <c r="AH232" i="33"/>
  <c r="AG232" i="33"/>
  <c r="AF232" i="33"/>
  <c r="AE232" i="33"/>
  <c r="AD232" i="33"/>
  <c r="AC232" i="33"/>
  <c r="AB232" i="33"/>
  <c r="AA232" i="33"/>
  <c r="Z232" i="33"/>
  <c r="Y232" i="33"/>
  <c r="X232" i="33"/>
  <c r="W232" i="33"/>
  <c r="V232" i="33"/>
  <c r="U232" i="33"/>
  <c r="T232" i="33"/>
  <c r="S232" i="33"/>
  <c r="R232" i="33"/>
  <c r="Q232" i="33"/>
  <c r="P232" i="33"/>
  <c r="O232" i="33"/>
  <c r="AM228" i="33"/>
  <c r="AL228" i="33"/>
  <c r="AK228" i="33"/>
  <c r="AJ228" i="33"/>
  <c r="AI228" i="33"/>
  <c r="AH228" i="33"/>
  <c r="AG228" i="33"/>
  <c r="AF228" i="33"/>
  <c r="AE228" i="33"/>
  <c r="AD228" i="33"/>
  <c r="AC228" i="33"/>
  <c r="AB228" i="33"/>
  <c r="AA228" i="33"/>
  <c r="Z228" i="33"/>
  <c r="Y228" i="33"/>
  <c r="X228" i="33"/>
  <c r="W228" i="33"/>
  <c r="V228" i="33"/>
  <c r="U228" i="33"/>
  <c r="T228" i="33"/>
  <c r="S228" i="33"/>
  <c r="R228" i="33"/>
  <c r="Q228" i="33"/>
  <c r="P228" i="33"/>
  <c r="O228" i="33"/>
  <c r="I226" i="33"/>
  <c r="AM224" i="33"/>
  <c r="AL224" i="33"/>
  <c r="AK224" i="33"/>
  <c r="AJ224" i="33"/>
  <c r="AI224" i="33"/>
  <c r="AH224" i="33"/>
  <c r="AG224" i="33"/>
  <c r="AF224" i="33"/>
  <c r="AE224" i="33"/>
  <c r="AD224" i="33"/>
  <c r="AC224" i="33"/>
  <c r="AB224" i="33"/>
  <c r="AA224" i="33"/>
  <c r="Z224" i="33"/>
  <c r="Y224" i="33"/>
  <c r="X224" i="33"/>
  <c r="W224" i="33"/>
  <c r="V224" i="33"/>
  <c r="U224" i="33"/>
  <c r="T224" i="33"/>
  <c r="S224" i="33"/>
  <c r="R224" i="33"/>
  <c r="Q224" i="33"/>
  <c r="P224" i="33"/>
  <c r="O224" i="33"/>
  <c r="I222" i="33"/>
  <c r="C152" i="33"/>
  <c r="C151" i="33"/>
  <c r="O142" i="33"/>
  <c r="L114" i="33"/>
  <c r="K114" i="33"/>
  <c r="O96" i="33"/>
  <c r="R92" i="33"/>
  <c r="Q92" i="33"/>
  <c r="P92" i="33"/>
  <c r="O92" i="33"/>
  <c r="P93" i="33" s="1"/>
  <c r="Q93" i="33" s="1"/>
  <c r="R93" i="33" s="1"/>
  <c r="P91" i="33"/>
  <c r="Q91" i="33" s="1"/>
  <c r="R91" i="33" s="1"/>
  <c r="S91" i="33" s="1"/>
  <c r="S90" i="33"/>
  <c r="T90" i="33" s="1"/>
  <c r="U90" i="33" s="1"/>
  <c r="V90" i="33" s="1"/>
  <c r="W90" i="33" s="1"/>
  <c r="X90" i="33" s="1"/>
  <c r="Y90" i="33" s="1"/>
  <c r="Z90" i="33" s="1"/>
  <c r="AA90" i="33" s="1"/>
  <c r="AB90" i="33" s="1"/>
  <c r="AC90" i="33" s="1"/>
  <c r="AD90" i="33" s="1"/>
  <c r="AE90" i="33" s="1"/>
  <c r="AF90" i="33" s="1"/>
  <c r="AG90" i="33" s="1"/>
  <c r="AH90" i="33" s="1"/>
  <c r="AI90" i="33" s="1"/>
  <c r="AJ90" i="33" s="1"/>
  <c r="AK90" i="33" s="1"/>
  <c r="AL90" i="33" s="1"/>
  <c r="AM90" i="33" s="1"/>
  <c r="P89" i="33"/>
  <c r="Q89" i="33" s="1"/>
  <c r="R89" i="33" s="1"/>
  <c r="S89" i="33" s="1"/>
  <c r="S88" i="33"/>
  <c r="T88" i="33" s="1"/>
  <c r="U88" i="33" s="1"/>
  <c r="V88" i="33" s="1"/>
  <c r="W88" i="33" s="1"/>
  <c r="X88" i="33" s="1"/>
  <c r="Y88" i="33" s="1"/>
  <c r="Z88" i="33" s="1"/>
  <c r="AA88" i="33" s="1"/>
  <c r="AB88" i="33" s="1"/>
  <c r="AC88" i="33" s="1"/>
  <c r="AD88" i="33" s="1"/>
  <c r="AE88" i="33" s="1"/>
  <c r="AF88" i="33" s="1"/>
  <c r="AG88" i="33" s="1"/>
  <c r="AH88" i="33" s="1"/>
  <c r="AI88" i="33" s="1"/>
  <c r="AJ88" i="33" s="1"/>
  <c r="AK88" i="33" s="1"/>
  <c r="AL88" i="33" s="1"/>
  <c r="AM88" i="33" s="1"/>
  <c r="P87" i="33"/>
  <c r="Q87" i="33" s="1"/>
  <c r="R87" i="33" s="1"/>
  <c r="S87" i="33" s="1"/>
  <c r="S86" i="33"/>
  <c r="T86" i="33" s="1"/>
  <c r="U86" i="33" s="1"/>
  <c r="V86" i="33" s="1"/>
  <c r="W86" i="33" s="1"/>
  <c r="X86" i="33" s="1"/>
  <c r="Y86" i="33" s="1"/>
  <c r="Z86" i="33" s="1"/>
  <c r="AA86" i="33" s="1"/>
  <c r="AB86" i="33" s="1"/>
  <c r="AC86" i="33" s="1"/>
  <c r="AD86" i="33" s="1"/>
  <c r="AE86" i="33" s="1"/>
  <c r="AF86" i="33" s="1"/>
  <c r="AG86" i="33" s="1"/>
  <c r="AH86" i="33" s="1"/>
  <c r="AI86" i="33" s="1"/>
  <c r="AJ86" i="33" s="1"/>
  <c r="AK86" i="33" s="1"/>
  <c r="AL86" i="33" s="1"/>
  <c r="AM86" i="33" s="1"/>
  <c r="P85" i="33"/>
  <c r="Q85" i="33" s="1"/>
  <c r="R85" i="33" s="1"/>
  <c r="S85" i="33" s="1"/>
  <c r="S84" i="33"/>
  <c r="T84" i="33" s="1"/>
  <c r="O83" i="33"/>
  <c r="G76" i="33"/>
  <c r="I75" i="33"/>
  <c r="I76" i="33" s="1"/>
  <c r="H67" i="33"/>
  <c r="L57" i="33"/>
  <c r="L56" i="33"/>
  <c r="L55" i="33"/>
  <c r="L54" i="33"/>
  <c r="L53" i="33"/>
  <c r="L52" i="33"/>
  <c r="L51" i="33"/>
  <c r="L47" i="33"/>
  <c r="L46" i="33"/>
  <c r="L45" i="33"/>
  <c r="L44" i="33"/>
  <c r="L43" i="33"/>
  <c r="AM42" i="33"/>
  <c r="AM41" i="33" s="1"/>
  <c r="AL42" i="33"/>
  <c r="AL41" i="33" s="1"/>
  <c r="AK42" i="33"/>
  <c r="AK41" i="33" s="1"/>
  <c r="AJ42" i="33"/>
  <c r="AJ41" i="33" s="1"/>
  <c r="AI42" i="33"/>
  <c r="AI41" i="33" s="1"/>
  <c r="AH42" i="33"/>
  <c r="AH41" i="33" s="1"/>
  <c r="AG42" i="33"/>
  <c r="AG41" i="33" s="1"/>
  <c r="AF42" i="33"/>
  <c r="AF41" i="33" s="1"/>
  <c r="AE42" i="33"/>
  <c r="AE41" i="33" s="1"/>
  <c r="AD42" i="33"/>
  <c r="AD41" i="33" s="1"/>
  <c r="AC42" i="33"/>
  <c r="AC41" i="33" s="1"/>
  <c r="AB42" i="33"/>
  <c r="AB41" i="33" s="1"/>
  <c r="AA42" i="33"/>
  <c r="AA41" i="33" s="1"/>
  <c r="Z42" i="33"/>
  <c r="Z41" i="33" s="1"/>
  <c r="Y42" i="33"/>
  <c r="Y41" i="33" s="1"/>
  <c r="X42" i="33"/>
  <c r="X41" i="33" s="1"/>
  <c r="W42" i="33"/>
  <c r="W41" i="33" s="1"/>
  <c r="V42" i="33"/>
  <c r="V41" i="33" s="1"/>
  <c r="U42" i="33"/>
  <c r="T42" i="33"/>
  <c r="T41" i="33" s="1"/>
  <c r="S42" i="33"/>
  <c r="S41" i="33" s="1"/>
  <c r="R42" i="33"/>
  <c r="R41" i="33" s="1"/>
  <c r="Q42" i="33"/>
  <c r="Q41" i="33" s="1"/>
  <c r="P42" i="33"/>
  <c r="P41" i="33" s="1"/>
  <c r="L39" i="33"/>
  <c r="L38" i="33"/>
  <c r="L37" i="33"/>
  <c r="L36" i="33"/>
  <c r="L35" i="33"/>
  <c r="AM32" i="33"/>
  <c r="AL32" i="33"/>
  <c r="AK32" i="33"/>
  <c r="AJ32" i="33"/>
  <c r="AI32" i="33"/>
  <c r="AH32" i="33"/>
  <c r="AG32" i="33"/>
  <c r="AF32" i="33"/>
  <c r="AE32" i="33"/>
  <c r="AD32" i="33"/>
  <c r="AC32" i="33"/>
  <c r="AB32" i="33"/>
  <c r="AA32" i="33"/>
  <c r="Z32" i="33"/>
  <c r="Y32" i="33"/>
  <c r="X32" i="33"/>
  <c r="W32" i="33"/>
  <c r="V32" i="33"/>
  <c r="U32" i="33"/>
  <c r="T32" i="33"/>
  <c r="S32" i="33"/>
  <c r="R32" i="33"/>
  <c r="Q32" i="33"/>
  <c r="P32" i="33"/>
  <c r="L25" i="33"/>
  <c r="O4" i="33"/>
  <c r="O3" i="33"/>
  <c r="P2" i="33"/>
  <c r="P83" i="33" s="1"/>
  <c r="P1" i="33"/>
  <c r="P3" i="33" s="1"/>
  <c r="G54" i="4"/>
  <c r="G29" i="4"/>
  <c r="G28" i="4"/>
  <c r="G27" i="4"/>
  <c r="J13" i="4"/>
  <c r="J14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E79" i="4"/>
  <c r="S93" i="33" l="1"/>
  <c r="M8" i="35"/>
  <c r="M23" i="35" s="1"/>
  <c r="D8" i="35"/>
  <c r="J8" i="35"/>
  <c r="K8" i="35"/>
  <c r="K23" i="35" s="1"/>
  <c r="N8" i="35"/>
  <c r="N23" i="35" s="1"/>
  <c r="G8" i="35"/>
  <c r="H8" i="35"/>
  <c r="I8" i="35"/>
  <c r="L8" i="35"/>
  <c r="L23" i="35" s="1"/>
  <c r="F8" i="35"/>
  <c r="E8" i="35"/>
  <c r="T14" i="33"/>
  <c r="AF14" i="33"/>
  <c r="U14" i="33"/>
  <c r="AG14" i="33"/>
  <c r="V14" i="33"/>
  <c r="AH14" i="33"/>
  <c r="W14" i="33"/>
  <c r="AI14" i="33"/>
  <c r="P14" i="33"/>
  <c r="AB14" i="33"/>
  <c r="Q14" i="33"/>
  <c r="AC14" i="33"/>
  <c r="X14" i="33"/>
  <c r="AJ14" i="33"/>
  <c r="Y14" i="33"/>
  <c r="AK14" i="33"/>
  <c r="Z14" i="33"/>
  <c r="AL14" i="33"/>
  <c r="O14" i="33"/>
  <c r="AA14" i="33"/>
  <c r="AM14" i="33"/>
  <c r="R14" i="33"/>
  <c r="AD14" i="33"/>
  <c r="S14" i="33"/>
  <c r="AE14" i="33"/>
  <c r="T87" i="33"/>
  <c r="U87" i="33" s="1"/>
  <c r="V87" i="33" s="1"/>
  <c r="W87" i="33" s="1"/>
  <c r="X87" i="33" s="1"/>
  <c r="Y87" i="33" s="1"/>
  <c r="Z87" i="33" s="1"/>
  <c r="AA87" i="33" s="1"/>
  <c r="AB87" i="33" s="1"/>
  <c r="AC87" i="33" s="1"/>
  <c r="AD87" i="33" s="1"/>
  <c r="AE87" i="33" s="1"/>
  <c r="AF87" i="33" s="1"/>
  <c r="AG87" i="33" s="1"/>
  <c r="AH87" i="33" s="1"/>
  <c r="AI87" i="33" s="1"/>
  <c r="AJ87" i="33" s="1"/>
  <c r="AK87" i="33" s="1"/>
  <c r="AL87" i="33" s="1"/>
  <c r="AM87" i="33" s="1"/>
  <c r="L18" i="33"/>
  <c r="S92" i="33"/>
  <c r="T93" i="33" s="1"/>
  <c r="T85" i="33"/>
  <c r="U85" i="33" s="1"/>
  <c r="P142" i="33"/>
  <c r="T89" i="33"/>
  <c r="U89" i="33" s="1"/>
  <c r="V89" i="33" s="1"/>
  <c r="W89" i="33" s="1"/>
  <c r="X89" i="33" s="1"/>
  <c r="Y89" i="33" s="1"/>
  <c r="Z89" i="33" s="1"/>
  <c r="AA89" i="33" s="1"/>
  <c r="AB89" i="33" s="1"/>
  <c r="AC89" i="33" s="1"/>
  <c r="AD89" i="33" s="1"/>
  <c r="AE89" i="33" s="1"/>
  <c r="AF89" i="33" s="1"/>
  <c r="AG89" i="33" s="1"/>
  <c r="AH89" i="33" s="1"/>
  <c r="AI89" i="33" s="1"/>
  <c r="AJ89" i="33" s="1"/>
  <c r="AK89" i="33" s="1"/>
  <c r="AL89" i="33" s="1"/>
  <c r="AM89" i="33" s="1"/>
  <c r="J75" i="33"/>
  <c r="L20" i="33"/>
  <c r="L19" i="33"/>
  <c r="L17" i="33"/>
  <c r="L16" i="33"/>
  <c r="P141" i="33"/>
  <c r="P78" i="33"/>
  <c r="P95" i="33"/>
  <c r="P82" i="33"/>
  <c r="O141" i="33"/>
  <c r="Q1" i="33"/>
  <c r="U41" i="33"/>
  <c r="P96" i="33"/>
  <c r="P4" i="33"/>
  <c r="Q2" i="33"/>
  <c r="U84" i="33"/>
  <c r="T92" i="33"/>
  <c r="L50" i="33"/>
  <c r="L49" i="33" s="1"/>
  <c r="O82" i="33"/>
  <c r="T91" i="33"/>
  <c r="U91" i="33" s="1"/>
  <c r="V91" i="33" s="1"/>
  <c r="W91" i="33" s="1"/>
  <c r="X91" i="33" s="1"/>
  <c r="Y91" i="33" s="1"/>
  <c r="Z91" i="33" s="1"/>
  <c r="AA91" i="33" s="1"/>
  <c r="AB91" i="33" s="1"/>
  <c r="AC91" i="33" s="1"/>
  <c r="AD91" i="33" s="1"/>
  <c r="AE91" i="33" s="1"/>
  <c r="AF91" i="33" s="1"/>
  <c r="AG91" i="33" s="1"/>
  <c r="AH91" i="33" s="1"/>
  <c r="AI91" i="33" s="1"/>
  <c r="AJ91" i="33" s="1"/>
  <c r="AK91" i="33" s="1"/>
  <c r="AL91" i="33" s="1"/>
  <c r="AM91" i="33" s="1"/>
  <c r="O95" i="33"/>
  <c r="F79" i="4"/>
  <c r="U93" i="33" l="1"/>
  <c r="V85" i="33"/>
  <c r="Q3" i="33"/>
  <c r="R1" i="33"/>
  <c r="Q96" i="33"/>
  <c r="Q142" i="33"/>
  <c r="Q4" i="33"/>
  <c r="R2" i="33"/>
  <c r="Q83" i="33"/>
  <c r="V84" i="33"/>
  <c r="U92" i="33"/>
  <c r="P77" i="33"/>
  <c r="I260" i="32"/>
  <c r="I260" i="31"/>
  <c r="I260" i="27"/>
  <c r="I260" i="24"/>
  <c r="I260" i="20"/>
  <c r="E303" i="32"/>
  <c r="E302" i="32"/>
  <c r="E303" i="31"/>
  <c r="E302" i="31"/>
  <c r="E303" i="27"/>
  <c r="E302" i="27"/>
  <c r="E303" i="24"/>
  <c r="E302" i="24"/>
  <c r="E303" i="20"/>
  <c r="E302" i="20"/>
  <c r="E23" i="4"/>
  <c r="D23" i="4"/>
  <c r="G17" i="4"/>
  <c r="V93" i="33" l="1"/>
  <c r="W85" i="33"/>
  <c r="R3" i="33"/>
  <c r="S1" i="33"/>
  <c r="Q141" i="33"/>
  <c r="Q95" i="33"/>
  <c r="Q82" i="33"/>
  <c r="Q78" i="33"/>
  <c r="R96" i="33"/>
  <c r="R142" i="33"/>
  <c r="R83" i="33"/>
  <c r="S2" i="33"/>
  <c r="R4" i="33"/>
  <c r="V92" i="33"/>
  <c r="W93" i="33" s="1"/>
  <c r="W84" i="33"/>
  <c r="X85" i="33" s="1"/>
  <c r="L38" i="32"/>
  <c r="E304" i="32"/>
  <c r="E305" i="32" s="1"/>
  <c r="AL309" i="32" s="1"/>
  <c r="AM273" i="32"/>
  <c r="AL273" i="32"/>
  <c r="AK273" i="32"/>
  <c r="AJ273" i="32"/>
  <c r="AI273" i="32"/>
  <c r="AH273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AM262" i="32"/>
  <c r="AL262" i="32"/>
  <c r="AK262" i="32"/>
  <c r="AJ262" i="32"/>
  <c r="AI262" i="32"/>
  <c r="AH262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AM257" i="32"/>
  <c r="AL257" i="32"/>
  <c r="AK257" i="32"/>
  <c r="AJ257" i="32"/>
  <c r="AI257" i="32"/>
  <c r="AH257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AM253" i="32"/>
  <c r="AL253" i="32"/>
  <c r="AK253" i="32"/>
  <c r="AJ253" i="32"/>
  <c r="AI253" i="32"/>
  <c r="AH253" i="32"/>
  <c r="AG253" i="32"/>
  <c r="AF253" i="32"/>
  <c r="AE253" i="32"/>
  <c r="AD253" i="32"/>
  <c r="AC253" i="32"/>
  <c r="AB253" i="32"/>
  <c r="AA253" i="32"/>
  <c r="Z253" i="32"/>
  <c r="Y253" i="32"/>
  <c r="X253" i="32"/>
  <c r="W253" i="32"/>
  <c r="V253" i="32"/>
  <c r="U253" i="32"/>
  <c r="T253" i="32"/>
  <c r="S253" i="32"/>
  <c r="R253" i="32"/>
  <c r="Q253" i="32"/>
  <c r="P253" i="32"/>
  <c r="O253" i="32"/>
  <c r="I251" i="32"/>
  <c r="AM249" i="32"/>
  <c r="AL249" i="32"/>
  <c r="AK249" i="32"/>
  <c r="AJ249" i="32"/>
  <c r="AI249" i="32"/>
  <c r="AH249" i="32"/>
  <c r="AG249" i="32"/>
  <c r="AF249" i="32"/>
  <c r="AE249" i="32"/>
  <c r="AD249" i="32"/>
  <c r="AC249" i="32"/>
  <c r="AB249" i="32"/>
  <c r="AA249" i="32"/>
  <c r="Z249" i="32"/>
  <c r="Y249" i="32"/>
  <c r="X249" i="32"/>
  <c r="W249" i="32"/>
  <c r="V249" i="32"/>
  <c r="U249" i="32"/>
  <c r="T249" i="32"/>
  <c r="S249" i="32"/>
  <c r="R249" i="32"/>
  <c r="Q249" i="32"/>
  <c r="P249" i="32"/>
  <c r="O249" i="32"/>
  <c r="I247" i="32"/>
  <c r="O240" i="32"/>
  <c r="AM232" i="32"/>
  <c r="AL232" i="32"/>
  <c r="AK232" i="32"/>
  <c r="AJ232" i="32"/>
  <c r="AI232" i="32"/>
  <c r="AH232" i="32"/>
  <c r="AG232" i="32"/>
  <c r="AF232" i="32"/>
  <c r="AE232" i="32"/>
  <c r="AD232" i="32"/>
  <c r="AC232" i="32"/>
  <c r="AB232" i="32"/>
  <c r="AA232" i="32"/>
  <c r="Z232" i="32"/>
  <c r="Y232" i="32"/>
  <c r="X232" i="32"/>
  <c r="W232" i="32"/>
  <c r="V232" i="32"/>
  <c r="U232" i="32"/>
  <c r="T232" i="32"/>
  <c r="S232" i="32"/>
  <c r="R232" i="32"/>
  <c r="Q232" i="32"/>
  <c r="P232" i="32"/>
  <c r="O232" i="32"/>
  <c r="AM228" i="32"/>
  <c r="AL228" i="32"/>
  <c r="AK228" i="32"/>
  <c r="AJ228" i="32"/>
  <c r="AI228" i="32"/>
  <c r="AH228" i="32"/>
  <c r="AG228" i="32"/>
  <c r="AF228" i="32"/>
  <c r="AE228" i="32"/>
  <c r="AD228" i="32"/>
  <c r="AC228" i="32"/>
  <c r="AB228" i="32"/>
  <c r="AA228" i="32"/>
  <c r="Z228" i="32"/>
  <c r="Y228" i="32"/>
  <c r="X228" i="32"/>
  <c r="W228" i="32"/>
  <c r="V228" i="32"/>
  <c r="U228" i="32"/>
  <c r="T228" i="32"/>
  <c r="S228" i="32"/>
  <c r="R228" i="32"/>
  <c r="Q228" i="32"/>
  <c r="P228" i="32"/>
  <c r="O228" i="32"/>
  <c r="I226" i="32"/>
  <c r="AM224" i="32"/>
  <c r="AL224" i="32"/>
  <c r="AK224" i="32"/>
  <c r="AJ224" i="32"/>
  <c r="AI224" i="32"/>
  <c r="AH224" i="32"/>
  <c r="AG224" i="32"/>
  <c r="AF224" i="32"/>
  <c r="AE224" i="32"/>
  <c r="AD224" i="32"/>
  <c r="AC224" i="32"/>
  <c r="AB224" i="32"/>
  <c r="AA224" i="32"/>
  <c r="Z224" i="32"/>
  <c r="Y224" i="32"/>
  <c r="X224" i="32"/>
  <c r="W224" i="32"/>
  <c r="V224" i="32"/>
  <c r="U224" i="32"/>
  <c r="T224" i="32"/>
  <c r="S224" i="32"/>
  <c r="R224" i="32"/>
  <c r="Q224" i="32"/>
  <c r="P224" i="32"/>
  <c r="O224" i="32"/>
  <c r="I222" i="32"/>
  <c r="G166" i="32"/>
  <c r="G165" i="32"/>
  <c r="C152" i="32"/>
  <c r="C151" i="32"/>
  <c r="O142" i="32"/>
  <c r="L134" i="32"/>
  <c r="L114" i="32"/>
  <c r="L110" i="32"/>
  <c r="H99" i="32"/>
  <c r="O96" i="32"/>
  <c r="R92" i="32"/>
  <c r="Q92" i="32"/>
  <c r="P92" i="32"/>
  <c r="O92" i="32"/>
  <c r="P93" i="32" s="1"/>
  <c r="Q93" i="32" s="1"/>
  <c r="P91" i="32"/>
  <c r="Q91" i="32" s="1"/>
  <c r="R91" i="32" s="1"/>
  <c r="S91" i="32" s="1"/>
  <c r="S90" i="32"/>
  <c r="T90" i="32" s="1"/>
  <c r="U90" i="32" s="1"/>
  <c r="V90" i="32" s="1"/>
  <c r="W90" i="32" s="1"/>
  <c r="X90" i="32" s="1"/>
  <c r="Y90" i="32" s="1"/>
  <c r="Z90" i="32" s="1"/>
  <c r="AA90" i="32" s="1"/>
  <c r="AB90" i="32" s="1"/>
  <c r="AC90" i="32" s="1"/>
  <c r="AD90" i="32" s="1"/>
  <c r="AE90" i="32" s="1"/>
  <c r="AF90" i="32" s="1"/>
  <c r="AG90" i="32" s="1"/>
  <c r="AH90" i="32" s="1"/>
  <c r="AI90" i="32" s="1"/>
  <c r="AJ90" i="32" s="1"/>
  <c r="AK90" i="32" s="1"/>
  <c r="AL90" i="32" s="1"/>
  <c r="AM90" i="32" s="1"/>
  <c r="P89" i="32"/>
  <c r="Q89" i="32" s="1"/>
  <c r="R89" i="32" s="1"/>
  <c r="S89" i="32" s="1"/>
  <c r="S88" i="32"/>
  <c r="T88" i="32" s="1"/>
  <c r="U88" i="32" s="1"/>
  <c r="V88" i="32" s="1"/>
  <c r="W88" i="32" s="1"/>
  <c r="X88" i="32" s="1"/>
  <c r="Y88" i="32" s="1"/>
  <c r="Z88" i="32" s="1"/>
  <c r="AA88" i="32" s="1"/>
  <c r="AB88" i="32" s="1"/>
  <c r="AC88" i="32" s="1"/>
  <c r="AD88" i="32" s="1"/>
  <c r="AE88" i="32" s="1"/>
  <c r="AF88" i="32" s="1"/>
  <c r="AG88" i="32" s="1"/>
  <c r="AH88" i="32" s="1"/>
  <c r="AI88" i="32" s="1"/>
  <c r="AJ88" i="32" s="1"/>
  <c r="AK88" i="32" s="1"/>
  <c r="AL88" i="32" s="1"/>
  <c r="AM88" i="32" s="1"/>
  <c r="P87" i="32"/>
  <c r="Q87" i="32" s="1"/>
  <c r="R87" i="32" s="1"/>
  <c r="S87" i="32" s="1"/>
  <c r="S86" i="32"/>
  <c r="T86" i="32" s="1"/>
  <c r="U86" i="32" s="1"/>
  <c r="V86" i="32" s="1"/>
  <c r="W86" i="32" s="1"/>
  <c r="X86" i="32" s="1"/>
  <c r="Y86" i="32" s="1"/>
  <c r="Z86" i="32" s="1"/>
  <c r="AA86" i="32" s="1"/>
  <c r="AB86" i="32" s="1"/>
  <c r="AC86" i="32" s="1"/>
  <c r="AD86" i="32" s="1"/>
  <c r="AE86" i="32" s="1"/>
  <c r="AF86" i="32" s="1"/>
  <c r="AG86" i="32" s="1"/>
  <c r="AH86" i="32" s="1"/>
  <c r="AI86" i="32" s="1"/>
  <c r="AJ86" i="32" s="1"/>
  <c r="AK86" i="32" s="1"/>
  <c r="AL86" i="32" s="1"/>
  <c r="AM86" i="32" s="1"/>
  <c r="P85" i="32"/>
  <c r="Q85" i="32" s="1"/>
  <c r="R85" i="32" s="1"/>
  <c r="S85" i="32" s="1"/>
  <c r="S84" i="32"/>
  <c r="O83" i="32"/>
  <c r="O77" i="32"/>
  <c r="I75" i="32"/>
  <c r="I76" i="32" s="1"/>
  <c r="O76" i="32" s="1"/>
  <c r="L57" i="32"/>
  <c r="L56" i="32"/>
  <c r="L55" i="32"/>
  <c r="L54" i="32"/>
  <c r="L53" i="32"/>
  <c r="L52" i="32"/>
  <c r="L51" i="32"/>
  <c r="L47" i="32"/>
  <c r="L46" i="32"/>
  <c r="L45" i="32"/>
  <c r="L44" i="32"/>
  <c r="L43" i="32"/>
  <c r="AM42" i="32"/>
  <c r="AL42" i="32"/>
  <c r="AK42" i="32"/>
  <c r="AK41" i="32" s="1"/>
  <c r="AK152" i="32" s="1"/>
  <c r="AJ42" i="32"/>
  <c r="AJ41" i="32" s="1"/>
  <c r="AJ152" i="32" s="1"/>
  <c r="AI42" i="32"/>
  <c r="AI41" i="32" s="1"/>
  <c r="AI152" i="32" s="1"/>
  <c r="AH42" i="32"/>
  <c r="AH41" i="32" s="1"/>
  <c r="AH152" i="32" s="1"/>
  <c r="AG42" i="32"/>
  <c r="AG41" i="32" s="1"/>
  <c r="AG152" i="32" s="1"/>
  <c r="AF42" i="32"/>
  <c r="AF41" i="32" s="1"/>
  <c r="AF152" i="32" s="1"/>
  <c r="AE42" i="32"/>
  <c r="AE41" i="32" s="1"/>
  <c r="AE152" i="32" s="1"/>
  <c r="AD42" i="32"/>
  <c r="AD41" i="32" s="1"/>
  <c r="AD152" i="32" s="1"/>
  <c r="AC42" i="32"/>
  <c r="AC41" i="32" s="1"/>
  <c r="AC152" i="32" s="1"/>
  <c r="AB42" i="32"/>
  <c r="AB41" i="32" s="1"/>
  <c r="AB152" i="32" s="1"/>
  <c r="AA42" i="32"/>
  <c r="AA41" i="32" s="1"/>
  <c r="AA152" i="32" s="1"/>
  <c r="Z42" i="32"/>
  <c r="Z41" i="32" s="1"/>
  <c r="Z152" i="32" s="1"/>
  <c r="Y42" i="32"/>
  <c r="Y41" i="32" s="1"/>
  <c r="Y152" i="32" s="1"/>
  <c r="X42" i="32"/>
  <c r="X41" i="32" s="1"/>
  <c r="X152" i="32" s="1"/>
  <c r="W42" i="32"/>
  <c r="W41" i="32" s="1"/>
  <c r="W152" i="32" s="1"/>
  <c r="V42" i="32"/>
  <c r="V41" i="32" s="1"/>
  <c r="V152" i="32" s="1"/>
  <c r="U42" i="32"/>
  <c r="U41" i="32" s="1"/>
  <c r="U152" i="32" s="1"/>
  <c r="T42" i="32"/>
  <c r="T41" i="32" s="1"/>
  <c r="T152" i="32" s="1"/>
  <c r="S42" i="32"/>
  <c r="S41" i="32" s="1"/>
  <c r="S152" i="32" s="1"/>
  <c r="R42" i="32"/>
  <c r="R41" i="32" s="1"/>
  <c r="R152" i="32" s="1"/>
  <c r="Q42" i="32"/>
  <c r="P42" i="32"/>
  <c r="P41" i="32" s="1"/>
  <c r="P152" i="32" s="1"/>
  <c r="AM41" i="32"/>
  <c r="AM152" i="32" s="1"/>
  <c r="AL41" i="32"/>
  <c r="AL152" i="32" s="1"/>
  <c r="L39" i="32"/>
  <c r="L37" i="32"/>
  <c r="L36" i="32"/>
  <c r="L35" i="32"/>
  <c r="L34" i="32"/>
  <c r="AM32" i="32"/>
  <c r="AM30" i="32" s="1"/>
  <c r="AL32" i="32"/>
  <c r="AL30" i="32" s="1"/>
  <c r="AK32" i="32"/>
  <c r="AK30" i="32" s="1"/>
  <c r="AJ32" i="32"/>
  <c r="AJ30" i="32" s="1"/>
  <c r="AI32" i="32"/>
  <c r="AI30" i="32" s="1"/>
  <c r="AH32" i="32"/>
  <c r="AH30" i="32" s="1"/>
  <c r="AG32" i="32"/>
  <c r="AG30" i="32" s="1"/>
  <c r="AF32" i="32"/>
  <c r="AF30" i="32" s="1"/>
  <c r="AE32" i="32"/>
  <c r="AE30" i="32" s="1"/>
  <c r="AD32" i="32"/>
  <c r="AD30" i="32" s="1"/>
  <c r="AC32" i="32"/>
  <c r="AC30" i="32" s="1"/>
  <c r="AB32" i="32"/>
  <c r="AB30" i="32" s="1"/>
  <c r="AA32" i="32"/>
  <c r="AA30" i="32" s="1"/>
  <c r="Z32" i="32"/>
  <c r="Z30" i="32" s="1"/>
  <c r="Y32" i="32"/>
  <c r="Y30" i="32" s="1"/>
  <c r="X32" i="32"/>
  <c r="X30" i="32" s="1"/>
  <c r="W32" i="32"/>
  <c r="W30" i="32" s="1"/>
  <c r="V32" i="32"/>
  <c r="V30" i="32" s="1"/>
  <c r="U32" i="32"/>
  <c r="U30" i="32" s="1"/>
  <c r="T32" i="32"/>
  <c r="T30" i="32" s="1"/>
  <c r="S32" i="32"/>
  <c r="S30" i="32" s="1"/>
  <c r="R32" i="32"/>
  <c r="R30" i="32" s="1"/>
  <c r="Q32" i="32"/>
  <c r="Q30" i="32" s="1"/>
  <c r="P32" i="32"/>
  <c r="P30" i="32" s="1"/>
  <c r="O32" i="32"/>
  <c r="O30" i="32" s="1"/>
  <c r="L25" i="32"/>
  <c r="L20" i="32"/>
  <c r="L19" i="32"/>
  <c r="L18" i="32"/>
  <c r="L17" i="32"/>
  <c r="L16" i="32"/>
  <c r="O4" i="32"/>
  <c r="P3" i="32"/>
  <c r="P82" i="32" s="1"/>
  <c r="O3" i="32"/>
  <c r="O82" i="32" s="1"/>
  <c r="P2" i="32"/>
  <c r="P4" i="32" s="1"/>
  <c r="P1" i="32"/>
  <c r="Q1" i="32" s="1"/>
  <c r="L38" i="31"/>
  <c r="E304" i="31"/>
  <c r="E305" i="31" s="1"/>
  <c r="Y309" i="31" s="1"/>
  <c r="AM273" i="31"/>
  <c r="AL273" i="31"/>
  <c r="AK273" i="31"/>
  <c r="AJ273" i="31"/>
  <c r="AI273" i="31"/>
  <c r="AH273" i="31"/>
  <c r="AG273" i="31"/>
  <c r="AF273" i="31"/>
  <c r="AE273" i="31"/>
  <c r="AD273" i="31"/>
  <c r="AC273" i="31"/>
  <c r="AB273" i="31"/>
  <c r="AA273" i="31"/>
  <c r="Z273" i="31"/>
  <c r="Y273" i="31"/>
  <c r="X273" i="31"/>
  <c r="W273" i="31"/>
  <c r="V273" i="31"/>
  <c r="U273" i="31"/>
  <c r="T273" i="31"/>
  <c r="S273" i="31"/>
  <c r="R273" i="31"/>
  <c r="Q273" i="31"/>
  <c r="P273" i="31"/>
  <c r="O273" i="31"/>
  <c r="AM262" i="31"/>
  <c r="AL262" i="31"/>
  <c r="AK262" i="31"/>
  <c r="AJ262" i="31"/>
  <c r="AI262" i="31"/>
  <c r="AH262" i="31"/>
  <c r="AG262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AM257" i="31"/>
  <c r="AL257" i="31"/>
  <c r="AK257" i="31"/>
  <c r="AJ257" i="31"/>
  <c r="AI257" i="31"/>
  <c r="AH257" i="31"/>
  <c r="AG257" i="31"/>
  <c r="AF257" i="31"/>
  <c r="AE257" i="31"/>
  <c r="AD257" i="31"/>
  <c r="AC257" i="31"/>
  <c r="AB257" i="31"/>
  <c r="AA257" i="31"/>
  <c r="Z257" i="31"/>
  <c r="Y257" i="31"/>
  <c r="X257" i="31"/>
  <c r="W257" i="31"/>
  <c r="V257" i="31"/>
  <c r="U257" i="31"/>
  <c r="T257" i="31"/>
  <c r="S257" i="31"/>
  <c r="R257" i="31"/>
  <c r="Q257" i="31"/>
  <c r="P257" i="31"/>
  <c r="O257" i="31"/>
  <c r="AM253" i="31"/>
  <c r="AL253" i="31"/>
  <c r="AK253" i="31"/>
  <c r="AJ253" i="31"/>
  <c r="AI253" i="31"/>
  <c r="AH253" i="31"/>
  <c r="AG253" i="31"/>
  <c r="AF253" i="31"/>
  <c r="AE253" i="31"/>
  <c r="AD253" i="31"/>
  <c r="AC253" i="31"/>
  <c r="AB253" i="31"/>
  <c r="AA253" i="31"/>
  <c r="Z253" i="31"/>
  <c r="Y253" i="31"/>
  <c r="X253" i="31"/>
  <c r="W253" i="31"/>
  <c r="V253" i="31"/>
  <c r="U253" i="31"/>
  <c r="T253" i="31"/>
  <c r="S253" i="31"/>
  <c r="R253" i="31"/>
  <c r="Q253" i="31"/>
  <c r="P253" i="31"/>
  <c r="O253" i="31"/>
  <c r="I251" i="31"/>
  <c r="AM249" i="31"/>
  <c r="AL249" i="31"/>
  <c r="AK249" i="31"/>
  <c r="AJ249" i="31"/>
  <c r="AI249" i="31"/>
  <c r="AH249" i="31"/>
  <c r="AG249" i="31"/>
  <c r="AF249" i="31"/>
  <c r="AE249" i="31"/>
  <c r="AD249" i="31"/>
  <c r="AC249" i="31"/>
  <c r="AB249" i="31"/>
  <c r="AA249" i="31"/>
  <c r="Z249" i="31"/>
  <c r="Y249" i="31"/>
  <c r="X249" i="31"/>
  <c r="W249" i="31"/>
  <c r="V249" i="31"/>
  <c r="U249" i="31"/>
  <c r="T249" i="31"/>
  <c r="S249" i="31"/>
  <c r="R249" i="31"/>
  <c r="Q249" i="31"/>
  <c r="P249" i="31"/>
  <c r="O249" i="31"/>
  <c r="I247" i="31"/>
  <c r="O240" i="31"/>
  <c r="AM232" i="31"/>
  <c r="AL232" i="31"/>
  <c r="AK232" i="31"/>
  <c r="AJ232" i="31"/>
  <c r="AI232" i="31"/>
  <c r="AH232" i="31"/>
  <c r="AG232" i="31"/>
  <c r="AF232" i="31"/>
  <c r="AE232" i="31"/>
  <c r="AD232" i="31"/>
  <c r="AC232" i="31"/>
  <c r="AB232" i="31"/>
  <c r="AA232" i="31"/>
  <c r="Z232" i="31"/>
  <c r="Y232" i="31"/>
  <c r="X232" i="31"/>
  <c r="W232" i="31"/>
  <c r="V232" i="31"/>
  <c r="U232" i="31"/>
  <c r="T232" i="31"/>
  <c r="S232" i="31"/>
  <c r="R232" i="31"/>
  <c r="Q232" i="31"/>
  <c r="P232" i="31"/>
  <c r="O232" i="31"/>
  <c r="AM228" i="31"/>
  <c r="AL228" i="31"/>
  <c r="AK228" i="31"/>
  <c r="AJ228" i="31"/>
  <c r="AI228" i="31"/>
  <c r="AH228" i="31"/>
  <c r="AG228" i="31"/>
  <c r="AF228" i="31"/>
  <c r="AE228" i="31"/>
  <c r="AD228" i="31"/>
  <c r="AC228" i="31"/>
  <c r="AB228" i="31"/>
  <c r="AA228" i="31"/>
  <c r="Z228" i="31"/>
  <c r="Y228" i="31"/>
  <c r="X228" i="31"/>
  <c r="W228" i="31"/>
  <c r="V228" i="31"/>
  <c r="U228" i="31"/>
  <c r="T228" i="31"/>
  <c r="S228" i="31"/>
  <c r="R228" i="31"/>
  <c r="Q228" i="31"/>
  <c r="P228" i="31"/>
  <c r="O228" i="31"/>
  <c r="I226" i="31"/>
  <c r="AM224" i="31"/>
  <c r="AL224" i="31"/>
  <c r="AK224" i="31"/>
  <c r="AJ224" i="31"/>
  <c r="AI224" i="31"/>
  <c r="AH224" i="31"/>
  <c r="AG224" i="31"/>
  <c r="AF224" i="31"/>
  <c r="AE224" i="31"/>
  <c r="AD224" i="31"/>
  <c r="AC224" i="31"/>
  <c r="AB224" i="31"/>
  <c r="AA224" i="31"/>
  <c r="Z224" i="31"/>
  <c r="Y224" i="31"/>
  <c r="X224" i="31"/>
  <c r="W224" i="31"/>
  <c r="V224" i="31"/>
  <c r="U224" i="31"/>
  <c r="T224" i="31"/>
  <c r="S224" i="31"/>
  <c r="R224" i="31"/>
  <c r="Q224" i="31"/>
  <c r="P224" i="31"/>
  <c r="O224" i="31"/>
  <c r="I222" i="31"/>
  <c r="G166" i="31"/>
  <c r="G165" i="31"/>
  <c r="C152" i="31"/>
  <c r="C151" i="31"/>
  <c r="O142" i="31"/>
  <c r="L134" i="31"/>
  <c r="L114" i="31"/>
  <c r="L110" i="31"/>
  <c r="H99" i="31"/>
  <c r="O96" i="31"/>
  <c r="R92" i="31"/>
  <c r="Q92" i="31"/>
  <c r="P92" i="31"/>
  <c r="O92" i="31"/>
  <c r="P93" i="31" s="1"/>
  <c r="Q93" i="31" s="1"/>
  <c r="R93" i="31" s="1"/>
  <c r="P91" i="31"/>
  <c r="Q91" i="31" s="1"/>
  <c r="R91" i="31" s="1"/>
  <c r="S91" i="31" s="1"/>
  <c r="S90" i="31"/>
  <c r="T90" i="31" s="1"/>
  <c r="U90" i="31" s="1"/>
  <c r="V90" i="31" s="1"/>
  <c r="W90" i="31" s="1"/>
  <c r="X90" i="31" s="1"/>
  <c r="Y90" i="31" s="1"/>
  <c r="Z90" i="31" s="1"/>
  <c r="AA90" i="31" s="1"/>
  <c r="AB90" i="31" s="1"/>
  <c r="AC90" i="31" s="1"/>
  <c r="AD90" i="31" s="1"/>
  <c r="AE90" i="31" s="1"/>
  <c r="AF90" i="31" s="1"/>
  <c r="AG90" i="31" s="1"/>
  <c r="AH90" i="31" s="1"/>
  <c r="AI90" i="31" s="1"/>
  <c r="AJ90" i="31" s="1"/>
  <c r="AK90" i="31" s="1"/>
  <c r="AL90" i="31" s="1"/>
  <c r="AM90" i="31" s="1"/>
  <c r="Q89" i="31"/>
  <c r="R89" i="31" s="1"/>
  <c r="S89" i="31" s="1"/>
  <c r="P89" i="31"/>
  <c r="S88" i="31"/>
  <c r="T89" i="31" s="1"/>
  <c r="P87" i="31"/>
  <c r="Q87" i="31" s="1"/>
  <c r="R87" i="31" s="1"/>
  <c r="S87" i="31" s="1"/>
  <c r="T87" i="31" s="1"/>
  <c r="U87" i="31" s="1"/>
  <c r="V87" i="31" s="1"/>
  <c r="W87" i="31" s="1"/>
  <c r="X87" i="31" s="1"/>
  <c r="Y87" i="31" s="1"/>
  <c r="Z87" i="31" s="1"/>
  <c r="AA87" i="31" s="1"/>
  <c r="AB87" i="31" s="1"/>
  <c r="AC87" i="31" s="1"/>
  <c r="AD87" i="31" s="1"/>
  <c r="AE87" i="31" s="1"/>
  <c r="AF87" i="31" s="1"/>
  <c r="AG87" i="31" s="1"/>
  <c r="AH87" i="31" s="1"/>
  <c r="AI87" i="31" s="1"/>
  <c r="AJ87" i="31" s="1"/>
  <c r="AK87" i="31" s="1"/>
  <c r="AL87" i="31" s="1"/>
  <c r="AM87" i="31" s="1"/>
  <c r="S86" i="31"/>
  <c r="T86" i="31" s="1"/>
  <c r="U86" i="31" s="1"/>
  <c r="V86" i="31" s="1"/>
  <c r="W86" i="31" s="1"/>
  <c r="X86" i="31" s="1"/>
  <c r="Y86" i="31" s="1"/>
  <c r="Z86" i="31" s="1"/>
  <c r="AA86" i="31" s="1"/>
  <c r="AB86" i="31" s="1"/>
  <c r="AC86" i="31" s="1"/>
  <c r="AD86" i="31" s="1"/>
  <c r="AE86" i="31" s="1"/>
  <c r="AF86" i="31" s="1"/>
  <c r="AG86" i="31" s="1"/>
  <c r="AH86" i="31" s="1"/>
  <c r="AI86" i="31" s="1"/>
  <c r="AJ86" i="31" s="1"/>
  <c r="AK86" i="31" s="1"/>
  <c r="AL86" i="31" s="1"/>
  <c r="AM86" i="31" s="1"/>
  <c r="Q85" i="31"/>
  <c r="R85" i="31" s="1"/>
  <c r="S85" i="31" s="1"/>
  <c r="T85" i="31" s="1"/>
  <c r="P85" i="31"/>
  <c r="S84" i="31"/>
  <c r="S92" i="31" s="1"/>
  <c r="O83" i="31"/>
  <c r="O77" i="31"/>
  <c r="I75" i="31"/>
  <c r="I76" i="31" s="1"/>
  <c r="L57" i="31"/>
  <c r="L56" i="31"/>
  <c r="L55" i="31"/>
  <c r="L54" i="31"/>
  <c r="L53" i="31"/>
  <c r="L52" i="31"/>
  <c r="L51" i="31"/>
  <c r="L47" i="31"/>
  <c r="L46" i="31"/>
  <c r="L45" i="31"/>
  <c r="L44" i="31"/>
  <c r="L43" i="31"/>
  <c r="AM42" i="31"/>
  <c r="AM41" i="31" s="1"/>
  <c r="AM152" i="31" s="1"/>
  <c r="AL42" i="31"/>
  <c r="AL41" i="31" s="1"/>
  <c r="AL152" i="31" s="1"/>
  <c r="AK42" i="31"/>
  <c r="AK41" i="31" s="1"/>
  <c r="AK152" i="31" s="1"/>
  <c r="AJ42" i="31"/>
  <c r="AJ41" i="31" s="1"/>
  <c r="AJ152" i="31" s="1"/>
  <c r="AI42" i="31"/>
  <c r="AI41" i="31" s="1"/>
  <c r="AI152" i="31" s="1"/>
  <c r="AH42" i="31"/>
  <c r="AH41" i="31" s="1"/>
  <c r="AH152" i="31" s="1"/>
  <c r="AG42" i="31"/>
  <c r="AG41" i="31" s="1"/>
  <c r="AG152" i="31" s="1"/>
  <c r="AF42" i="31"/>
  <c r="AF41" i="31" s="1"/>
  <c r="AF152" i="31" s="1"/>
  <c r="AE42" i="31"/>
  <c r="AE41" i="31" s="1"/>
  <c r="AE152" i="31" s="1"/>
  <c r="AD42" i="31"/>
  <c r="AD41" i="31" s="1"/>
  <c r="AD152" i="31" s="1"/>
  <c r="AC42" i="31"/>
  <c r="AC41" i="31" s="1"/>
  <c r="AC152" i="31" s="1"/>
  <c r="AB42" i="31"/>
  <c r="AB41" i="31" s="1"/>
  <c r="AB152" i="31" s="1"/>
  <c r="AA42" i="31"/>
  <c r="AA41" i="31" s="1"/>
  <c r="AA152" i="31" s="1"/>
  <c r="Z42" i="31"/>
  <c r="Z41" i="31" s="1"/>
  <c r="Z152" i="31" s="1"/>
  <c r="Y42" i="31"/>
  <c r="Y41" i="31" s="1"/>
  <c r="Y152" i="31" s="1"/>
  <c r="X42" i="31"/>
  <c r="X41" i="31" s="1"/>
  <c r="X152" i="31" s="1"/>
  <c r="W42" i="31"/>
  <c r="W41" i="31" s="1"/>
  <c r="W152" i="31" s="1"/>
  <c r="V42" i="31"/>
  <c r="V41" i="31" s="1"/>
  <c r="V152" i="31" s="1"/>
  <c r="U42" i="31"/>
  <c r="U41" i="31" s="1"/>
  <c r="U152" i="31" s="1"/>
  <c r="T42" i="31"/>
  <c r="T41" i="31" s="1"/>
  <c r="T152" i="31" s="1"/>
  <c r="S42" i="31"/>
  <c r="S41" i="31" s="1"/>
  <c r="S152" i="31" s="1"/>
  <c r="R42" i="31"/>
  <c r="R41" i="31" s="1"/>
  <c r="R152" i="31" s="1"/>
  <c r="Q42" i="31"/>
  <c r="Q41" i="31" s="1"/>
  <c r="Q152" i="31" s="1"/>
  <c r="P42" i="31"/>
  <c r="P41" i="31" s="1"/>
  <c r="P152" i="31" s="1"/>
  <c r="L39" i="31"/>
  <c r="L37" i="31"/>
  <c r="L36" i="31"/>
  <c r="L35" i="31"/>
  <c r="L34" i="31"/>
  <c r="AM32" i="31"/>
  <c r="AM30" i="31" s="1"/>
  <c r="AL32" i="31"/>
  <c r="AL30" i="31" s="1"/>
  <c r="AK32" i="31"/>
  <c r="AK30" i="31" s="1"/>
  <c r="AJ32" i="31"/>
  <c r="AJ30" i="31" s="1"/>
  <c r="AI32" i="31"/>
  <c r="AI30" i="31" s="1"/>
  <c r="AH32" i="31"/>
  <c r="AH30" i="31" s="1"/>
  <c r="AG32" i="31"/>
  <c r="AG30" i="31" s="1"/>
  <c r="AF32" i="31"/>
  <c r="AF30" i="31" s="1"/>
  <c r="AE32" i="31"/>
  <c r="AE30" i="31" s="1"/>
  <c r="AD32" i="31"/>
  <c r="AD30" i="31" s="1"/>
  <c r="AC32" i="31"/>
  <c r="AC30" i="31" s="1"/>
  <c r="AB32" i="31"/>
  <c r="AB30" i="31" s="1"/>
  <c r="AA32" i="31"/>
  <c r="AA30" i="31" s="1"/>
  <c r="Z32" i="31"/>
  <c r="Z30" i="31" s="1"/>
  <c r="Y32" i="31"/>
  <c r="Y30" i="31" s="1"/>
  <c r="X32" i="31"/>
  <c r="X30" i="31" s="1"/>
  <c r="W32" i="31"/>
  <c r="W30" i="31" s="1"/>
  <c r="V32" i="31"/>
  <c r="V30" i="31" s="1"/>
  <c r="U32" i="31"/>
  <c r="U30" i="31" s="1"/>
  <c r="T32" i="31"/>
  <c r="T30" i="31" s="1"/>
  <c r="S32" i="31"/>
  <c r="S30" i="31" s="1"/>
  <c r="R32" i="31"/>
  <c r="R30" i="31" s="1"/>
  <c r="Q32" i="31"/>
  <c r="Q30" i="31" s="1"/>
  <c r="P32" i="31"/>
  <c r="P30" i="31" s="1"/>
  <c r="L25" i="31"/>
  <c r="L20" i="31"/>
  <c r="L19" i="31"/>
  <c r="L18" i="31"/>
  <c r="L17" i="31"/>
  <c r="L16" i="31"/>
  <c r="O4" i="31"/>
  <c r="P3" i="31"/>
  <c r="O3" i="31"/>
  <c r="P2" i="31"/>
  <c r="P1" i="31"/>
  <c r="Q1" i="31" s="1"/>
  <c r="R1" i="31" s="1"/>
  <c r="O32" i="27"/>
  <c r="O30" i="27" s="1"/>
  <c r="E304" i="27"/>
  <c r="E305" i="27" s="1"/>
  <c r="AM273" i="27"/>
  <c r="AL273" i="27"/>
  <c r="AK273" i="27"/>
  <c r="AJ273" i="27"/>
  <c r="AI273" i="27"/>
  <c r="AH273" i="27"/>
  <c r="AG273" i="27"/>
  <c r="AF273" i="27"/>
  <c r="AE273" i="27"/>
  <c r="AD273" i="27"/>
  <c r="AC273" i="27"/>
  <c r="AB273" i="27"/>
  <c r="AA273" i="27"/>
  <c r="Z273" i="27"/>
  <c r="Y273" i="27"/>
  <c r="X273" i="27"/>
  <c r="W273" i="27"/>
  <c r="V273" i="27"/>
  <c r="U273" i="27"/>
  <c r="T273" i="27"/>
  <c r="S273" i="27"/>
  <c r="R273" i="27"/>
  <c r="Q273" i="27"/>
  <c r="P273" i="27"/>
  <c r="O273" i="27"/>
  <c r="AM262" i="27"/>
  <c r="AL262" i="27"/>
  <c r="AK262" i="27"/>
  <c r="AJ262" i="27"/>
  <c r="AI262" i="27"/>
  <c r="AH262" i="27"/>
  <c r="AG262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AM257" i="27"/>
  <c r="AL257" i="27"/>
  <c r="AK257" i="27"/>
  <c r="AJ257" i="27"/>
  <c r="AI257" i="27"/>
  <c r="AH257" i="27"/>
  <c r="AG257" i="27"/>
  <c r="AF257" i="27"/>
  <c r="AE257" i="27"/>
  <c r="AD257" i="27"/>
  <c r="AC257" i="27"/>
  <c r="AB257" i="27"/>
  <c r="AA257" i="27"/>
  <c r="Z257" i="27"/>
  <c r="Y257" i="27"/>
  <c r="X257" i="27"/>
  <c r="W257" i="27"/>
  <c r="V257" i="27"/>
  <c r="U257" i="27"/>
  <c r="T257" i="27"/>
  <c r="S257" i="27"/>
  <c r="R257" i="27"/>
  <c r="Q257" i="27"/>
  <c r="P257" i="27"/>
  <c r="O257" i="27"/>
  <c r="AM253" i="27"/>
  <c r="AL253" i="27"/>
  <c r="AK253" i="27"/>
  <c r="AJ253" i="27"/>
  <c r="AI253" i="27"/>
  <c r="AH253" i="27"/>
  <c r="AG253" i="27"/>
  <c r="AF253" i="27"/>
  <c r="AE253" i="27"/>
  <c r="AD253" i="27"/>
  <c r="AC253" i="27"/>
  <c r="AB253" i="27"/>
  <c r="AA253" i="27"/>
  <c r="Z253" i="27"/>
  <c r="Y253" i="27"/>
  <c r="X253" i="27"/>
  <c r="W253" i="27"/>
  <c r="V253" i="27"/>
  <c r="U253" i="27"/>
  <c r="T253" i="27"/>
  <c r="S253" i="27"/>
  <c r="R253" i="27"/>
  <c r="Q253" i="27"/>
  <c r="P253" i="27"/>
  <c r="O253" i="27"/>
  <c r="I251" i="27"/>
  <c r="AM249" i="27"/>
  <c r="AL249" i="27"/>
  <c r="AK249" i="27"/>
  <c r="AJ249" i="27"/>
  <c r="AI249" i="27"/>
  <c r="AH249" i="27"/>
  <c r="AG249" i="27"/>
  <c r="AF249" i="27"/>
  <c r="AE249" i="27"/>
  <c r="AD249" i="27"/>
  <c r="AC249" i="27"/>
  <c r="AB249" i="27"/>
  <c r="AA249" i="27"/>
  <c r="Z249" i="27"/>
  <c r="Y249" i="27"/>
  <c r="X249" i="27"/>
  <c r="W249" i="27"/>
  <c r="V249" i="27"/>
  <c r="U249" i="27"/>
  <c r="T249" i="27"/>
  <c r="S249" i="27"/>
  <c r="R249" i="27"/>
  <c r="Q249" i="27"/>
  <c r="P249" i="27"/>
  <c r="O249" i="27"/>
  <c r="I247" i="27"/>
  <c r="O240" i="27"/>
  <c r="AM232" i="27"/>
  <c r="AL232" i="27"/>
  <c r="AK232" i="27"/>
  <c r="AJ232" i="27"/>
  <c r="AI232" i="27"/>
  <c r="AH232" i="27"/>
  <c r="AG232" i="27"/>
  <c r="AF232" i="27"/>
  <c r="AE232" i="27"/>
  <c r="AD232" i="27"/>
  <c r="AC232" i="27"/>
  <c r="AB232" i="27"/>
  <c r="AA232" i="27"/>
  <c r="Z232" i="27"/>
  <c r="Y232" i="27"/>
  <c r="X232" i="27"/>
  <c r="W232" i="27"/>
  <c r="V232" i="27"/>
  <c r="U232" i="27"/>
  <c r="T232" i="27"/>
  <c r="S232" i="27"/>
  <c r="R232" i="27"/>
  <c r="Q232" i="27"/>
  <c r="P232" i="27"/>
  <c r="O232" i="27"/>
  <c r="AM228" i="27"/>
  <c r="AL228" i="27"/>
  <c r="AK228" i="27"/>
  <c r="AJ228" i="27"/>
  <c r="AI228" i="27"/>
  <c r="AH228" i="27"/>
  <c r="AG228" i="27"/>
  <c r="AF228" i="27"/>
  <c r="AE228" i="27"/>
  <c r="AD228" i="27"/>
  <c r="AC228" i="27"/>
  <c r="AB228" i="27"/>
  <c r="AA228" i="27"/>
  <c r="Z228" i="27"/>
  <c r="Y228" i="27"/>
  <c r="X228" i="27"/>
  <c r="W228" i="27"/>
  <c r="V228" i="27"/>
  <c r="U228" i="27"/>
  <c r="T228" i="27"/>
  <c r="S228" i="27"/>
  <c r="R228" i="27"/>
  <c r="Q228" i="27"/>
  <c r="P228" i="27"/>
  <c r="O228" i="27"/>
  <c r="I226" i="27"/>
  <c r="AM224" i="27"/>
  <c r="AL224" i="27"/>
  <c r="AK224" i="27"/>
  <c r="AJ224" i="27"/>
  <c r="AI224" i="27"/>
  <c r="AH224" i="27"/>
  <c r="AG224" i="27"/>
  <c r="AF224" i="27"/>
  <c r="AE224" i="27"/>
  <c r="AD224" i="27"/>
  <c r="AC224" i="27"/>
  <c r="AB224" i="27"/>
  <c r="AA224" i="27"/>
  <c r="Z224" i="27"/>
  <c r="Y224" i="27"/>
  <c r="X224" i="27"/>
  <c r="W224" i="27"/>
  <c r="V224" i="27"/>
  <c r="U224" i="27"/>
  <c r="T224" i="27"/>
  <c r="S224" i="27"/>
  <c r="R224" i="27"/>
  <c r="Q224" i="27"/>
  <c r="P224" i="27"/>
  <c r="O224" i="27"/>
  <c r="I222" i="27"/>
  <c r="G166" i="27"/>
  <c r="G165" i="27"/>
  <c r="C152" i="27"/>
  <c r="C151" i="27"/>
  <c r="O142" i="27"/>
  <c r="L134" i="27"/>
  <c r="L114" i="27"/>
  <c r="L110" i="27"/>
  <c r="H99" i="27"/>
  <c r="O96" i="27"/>
  <c r="R92" i="27"/>
  <c r="Q92" i="27"/>
  <c r="P92" i="27"/>
  <c r="O92" i="27"/>
  <c r="P93" i="27" s="1"/>
  <c r="Q93" i="27" s="1"/>
  <c r="R93" i="27" s="1"/>
  <c r="P91" i="27"/>
  <c r="Q91" i="27" s="1"/>
  <c r="R91" i="27" s="1"/>
  <c r="S91" i="27" s="1"/>
  <c r="T91" i="27" s="1"/>
  <c r="U91" i="27" s="1"/>
  <c r="V91" i="27" s="1"/>
  <c r="W91" i="27" s="1"/>
  <c r="X91" i="27" s="1"/>
  <c r="Y91" i="27" s="1"/>
  <c r="S90" i="27"/>
  <c r="T90" i="27" s="1"/>
  <c r="U90" i="27" s="1"/>
  <c r="V90" i="27" s="1"/>
  <c r="W90" i="27" s="1"/>
  <c r="X90" i="27" s="1"/>
  <c r="Y90" i="27" s="1"/>
  <c r="Z90" i="27" s="1"/>
  <c r="AA90" i="27" s="1"/>
  <c r="AB90" i="27" s="1"/>
  <c r="AC90" i="27" s="1"/>
  <c r="AD90" i="27" s="1"/>
  <c r="AE90" i="27" s="1"/>
  <c r="AF90" i="27" s="1"/>
  <c r="AG90" i="27" s="1"/>
  <c r="AH90" i="27" s="1"/>
  <c r="AI90" i="27" s="1"/>
  <c r="AJ90" i="27" s="1"/>
  <c r="AK90" i="27" s="1"/>
  <c r="AL90" i="27" s="1"/>
  <c r="AM90" i="27" s="1"/>
  <c r="P89" i="27"/>
  <c r="Q89" i="27" s="1"/>
  <c r="R89" i="27" s="1"/>
  <c r="S89" i="27" s="1"/>
  <c r="T89" i="27" s="1"/>
  <c r="U89" i="27" s="1"/>
  <c r="S88" i="27"/>
  <c r="T88" i="27" s="1"/>
  <c r="U88" i="27" s="1"/>
  <c r="V88" i="27" s="1"/>
  <c r="W88" i="27" s="1"/>
  <c r="X88" i="27" s="1"/>
  <c r="Y88" i="27" s="1"/>
  <c r="Z88" i="27" s="1"/>
  <c r="AA88" i="27" s="1"/>
  <c r="AB88" i="27" s="1"/>
  <c r="AC88" i="27" s="1"/>
  <c r="AD88" i="27" s="1"/>
  <c r="AE88" i="27" s="1"/>
  <c r="AF88" i="27" s="1"/>
  <c r="AG88" i="27" s="1"/>
  <c r="AH88" i="27" s="1"/>
  <c r="AI88" i="27" s="1"/>
  <c r="AJ88" i="27" s="1"/>
  <c r="AK88" i="27" s="1"/>
  <c r="AL88" i="27" s="1"/>
  <c r="AM88" i="27" s="1"/>
  <c r="P87" i="27"/>
  <c r="Q87" i="27" s="1"/>
  <c r="R87" i="27" s="1"/>
  <c r="S87" i="27" s="1"/>
  <c r="S86" i="27"/>
  <c r="T86" i="27" s="1"/>
  <c r="U86" i="27" s="1"/>
  <c r="V86" i="27" s="1"/>
  <c r="W86" i="27" s="1"/>
  <c r="X86" i="27" s="1"/>
  <c r="Y86" i="27" s="1"/>
  <c r="Z86" i="27" s="1"/>
  <c r="AA86" i="27" s="1"/>
  <c r="AB86" i="27" s="1"/>
  <c r="AC86" i="27" s="1"/>
  <c r="AD86" i="27" s="1"/>
  <c r="AE86" i="27" s="1"/>
  <c r="AF86" i="27" s="1"/>
  <c r="AG86" i="27" s="1"/>
  <c r="AH86" i="27" s="1"/>
  <c r="AI86" i="27" s="1"/>
  <c r="AJ86" i="27" s="1"/>
  <c r="AK86" i="27" s="1"/>
  <c r="AL86" i="27" s="1"/>
  <c r="AM86" i="27" s="1"/>
  <c r="P85" i="27"/>
  <c r="Q85" i="27" s="1"/>
  <c r="R85" i="27" s="1"/>
  <c r="S85" i="27" s="1"/>
  <c r="S84" i="27"/>
  <c r="S92" i="27" s="1"/>
  <c r="O83" i="27"/>
  <c r="O77" i="27"/>
  <c r="I75" i="27"/>
  <c r="J75" i="27" s="1"/>
  <c r="L57" i="27"/>
  <c r="L56" i="27"/>
  <c r="L55" i="27"/>
  <c r="L54" i="27"/>
  <c r="L53" i="27"/>
  <c r="L52" i="27"/>
  <c r="L51" i="27"/>
  <c r="L47" i="27"/>
  <c r="L46" i="27"/>
  <c r="L45" i="27"/>
  <c r="L44" i="27"/>
  <c r="L43" i="27"/>
  <c r="AM42" i="27"/>
  <c r="AL42" i="27"/>
  <c r="AL41" i="27" s="1"/>
  <c r="AL152" i="27" s="1"/>
  <c r="AK42" i="27"/>
  <c r="AK41" i="27" s="1"/>
  <c r="AK152" i="27" s="1"/>
  <c r="AJ42" i="27"/>
  <c r="AJ41" i="27" s="1"/>
  <c r="AJ152" i="27" s="1"/>
  <c r="AI42" i="27"/>
  <c r="AI41" i="27" s="1"/>
  <c r="AI152" i="27" s="1"/>
  <c r="AH42" i="27"/>
  <c r="AH41" i="27" s="1"/>
  <c r="AH152" i="27" s="1"/>
  <c r="AG42" i="27"/>
  <c r="AG41" i="27" s="1"/>
  <c r="AG152" i="27" s="1"/>
  <c r="AF42" i="27"/>
  <c r="AF41" i="27" s="1"/>
  <c r="AF152" i="27" s="1"/>
  <c r="AE42" i="27"/>
  <c r="AE41" i="27" s="1"/>
  <c r="AE152" i="27" s="1"/>
  <c r="AD42" i="27"/>
  <c r="AD41" i="27" s="1"/>
  <c r="AD152" i="27" s="1"/>
  <c r="AC42" i="27"/>
  <c r="AC41" i="27" s="1"/>
  <c r="AC152" i="27" s="1"/>
  <c r="AB42" i="27"/>
  <c r="AB41" i="27" s="1"/>
  <c r="AB152" i="27" s="1"/>
  <c r="AA42" i="27"/>
  <c r="AA41" i="27" s="1"/>
  <c r="AA152" i="27" s="1"/>
  <c r="Z42" i="27"/>
  <c r="Z41" i="27" s="1"/>
  <c r="Z152" i="27" s="1"/>
  <c r="Y42" i="27"/>
  <c r="Y41" i="27" s="1"/>
  <c r="Y152" i="27" s="1"/>
  <c r="X42" i="27"/>
  <c r="X41" i="27" s="1"/>
  <c r="X152" i="27" s="1"/>
  <c r="W42" i="27"/>
  <c r="W41" i="27" s="1"/>
  <c r="W152" i="27" s="1"/>
  <c r="V42" i="27"/>
  <c r="V41" i="27" s="1"/>
  <c r="V152" i="27" s="1"/>
  <c r="U42" i="27"/>
  <c r="U41" i="27" s="1"/>
  <c r="U152" i="27" s="1"/>
  <c r="T42" i="27"/>
  <c r="T41" i="27" s="1"/>
  <c r="T152" i="27" s="1"/>
  <c r="S42" i="27"/>
  <c r="S41" i="27" s="1"/>
  <c r="S152" i="27" s="1"/>
  <c r="R42" i="27"/>
  <c r="R41" i="27" s="1"/>
  <c r="R152" i="27" s="1"/>
  <c r="Q42" i="27"/>
  <c r="Q41" i="27" s="1"/>
  <c r="Q152" i="27" s="1"/>
  <c r="P42" i="27"/>
  <c r="AM41" i="27"/>
  <c r="AM152" i="27" s="1"/>
  <c r="L39" i="27"/>
  <c r="L37" i="27"/>
  <c r="L36" i="27"/>
  <c r="L35" i="27"/>
  <c r="L34" i="27"/>
  <c r="AM32" i="27"/>
  <c r="AM30" i="27" s="1"/>
  <c r="AL32" i="27"/>
  <c r="AL30" i="27" s="1"/>
  <c r="AK32" i="27"/>
  <c r="AK30" i="27" s="1"/>
  <c r="AJ32" i="27"/>
  <c r="AJ30" i="27" s="1"/>
  <c r="AI32" i="27"/>
  <c r="AI30" i="27" s="1"/>
  <c r="AH32" i="27"/>
  <c r="AH30" i="27" s="1"/>
  <c r="AG32" i="27"/>
  <c r="AG30" i="27" s="1"/>
  <c r="AF32" i="27"/>
  <c r="AF30" i="27" s="1"/>
  <c r="AE32" i="27"/>
  <c r="AE30" i="27" s="1"/>
  <c r="AD32" i="27"/>
  <c r="AD30" i="27" s="1"/>
  <c r="AC32" i="27"/>
  <c r="AC30" i="27" s="1"/>
  <c r="AB32" i="27"/>
  <c r="AB30" i="27" s="1"/>
  <c r="AA32" i="27"/>
  <c r="AA30" i="27" s="1"/>
  <c r="Z32" i="27"/>
  <c r="Z30" i="27" s="1"/>
  <c r="Y32" i="27"/>
  <c r="Y30" i="27" s="1"/>
  <c r="X32" i="27"/>
  <c r="X30" i="27" s="1"/>
  <c r="W32" i="27"/>
  <c r="W30" i="27" s="1"/>
  <c r="V32" i="27"/>
  <c r="V30" i="27" s="1"/>
  <c r="U32" i="27"/>
  <c r="U30" i="27" s="1"/>
  <c r="T32" i="27"/>
  <c r="T30" i="27" s="1"/>
  <c r="S32" i="27"/>
  <c r="S30" i="27" s="1"/>
  <c r="R32" i="27"/>
  <c r="R30" i="27" s="1"/>
  <c r="Q32" i="27"/>
  <c r="Q30" i="27" s="1"/>
  <c r="P32" i="27"/>
  <c r="P30" i="27" s="1"/>
  <c r="L25" i="27"/>
  <c r="L20" i="27"/>
  <c r="L19" i="27"/>
  <c r="L18" i="27"/>
  <c r="L17" i="27"/>
  <c r="L16" i="27"/>
  <c r="O4" i="27"/>
  <c r="O3" i="27"/>
  <c r="O82" i="27" s="1"/>
  <c r="P2" i="27"/>
  <c r="P1" i="27"/>
  <c r="L38" i="24"/>
  <c r="E304" i="24"/>
  <c r="E305" i="24" s="1"/>
  <c r="AM273" i="24"/>
  <c r="AL273" i="24"/>
  <c r="AK273" i="24"/>
  <c r="AJ273" i="24"/>
  <c r="AI273" i="24"/>
  <c r="AH273" i="24"/>
  <c r="AG273" i="24"/>
  <c r="AF273" i="24"/>
  <c r="AE273" i="24"/>
  <c r="AD273" i="24"/>
  <c r="AC273" i="24"/>
  <c r="AB273" i="24"/>
  <c r="AA273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AM262" i="24"/>
  <c r="AL262" i="24"/>
  <c r="AK262" i="24"/>
  <c r="AJ262" i="24"/>
  <c r="AI262" i="24"/>
  <c r="AH262" i="24"/>
  <c r="AG262" i="24"/>
  <c r="AF262" i="24"/>
  <c r="AE262" i="24"/>
  <c r="AD262" i="24"/>
  <c r="AC262" i="24"/>
  <c r="AB262" i="24"/>
  <c r="AA262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AM257" i="24"/>
  <c r="AL257" i="24"/>
  <c r="AK257" i="24"/>
  <c r="AJ257" i="24"/>
  <c r="AI257" i="24"/>
  <c r="AH257" i="24"/>
  <c r="AG257" i="24"/>
  <c r="AF257" i="24"/>
  <c r="AE257" i="24"/>
  <c r="AD257" i="24"/>
  <c r="AC257" i="24"/>
  <c r="AB257" i="24"/>
  <c r="AA257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AM253" i="24"/>
  <c r="AL253" i="24"/>
  <c r="AK253" i="24"/>
  <c r="AJ253" i="24"/>
  <c r="AI253" i="24"/>
  <c r="AH253" i="24"/>
  <c r="AG253" i="24"/>
  <c r="AF253" i="24"/>
  <c r="AE253" i="24"/>
  <c r="AD253" i="24"/>
  <c r="AC253" i="24"/>
  <c r="AB253" i="24"/>
  <c r="AA25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I251" i="24"/>
  <c r="AM249" i="24"/>
  <c r="AL249" i="24"/>
  <c r="AK249" i="24"/>
  <c r="AJ249" i="24"/>
  <c r="AI249" i="24"/>
  <c r="AH249" i="24"/>
  <c r="AG249" i="24"/>
  <c r="AF249" i="24"/>
  <c r="AE249" i="24"/>
  <c r="AD249" i="24"/>
  <c r="AC249" i="24"/>
  <c r="AB249" i="24"/>
  <c r="AA249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I247" i="24"/>
  <c r="O240" i="24"/>
  <c r="AM232" i="24"/>
  <c r="AL232" i="24"/>
  <c r="AK232" i="24"/>
  <c r="AJ232" i="24"/>
  <c r="AI232" i="24"/>
  <c r="AH232" i="24"/>
  <c r="AG232" i="24"/>
  <c r="AF232" i="24"/>
  <c r="AE232" i="24"/>
  <c r="AD232" i="24"/>
  <c r="AC232" i="24"/>
  <c r="AB232" i="24"/>
  <c r="AA232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AM228" i="24"/>
  <c r="AL228" i="24"/>
  <c r="AK228" i="24"/>
  <c r="AJ228" i="24"/>
  <c r="AI228" i="24"/>
  <c r="AH228" i="24"/>
  <c r="AG228" i="24"/>
  <c r="AF228" i="24"/>
  <c r="AE228" i="24"/>
  <c r="AD228" i="24"/>
  <c r="AC228" i="24"/>
  <c r="AB228" i="24"/>
  <c r="AA228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I226" i="24"/>
  <c r="AM224" i="24"/>
  <c r="AL224" i="24"/>
  <c r="AK224" i="24"/>
  <c r="AJ224" i="24"/>
  <c r="AI224" i="24"/>
  <c r="AH224" i="24"/>
  <c r="AG224" i="24"/>
  <c r="AF224" i="24"/>
  <c r="AE224" i="24"/>
  <c r="AD224" i="24"/>
  <c r="AC224" i="24"/>
  <c r="AB224" i="24"/>
  <c r="AA224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I222" i="24"/>
  <c r="G166" i="24"/>
  <c r="G165" i="24"/>
  <c r="C152" i="24"/>
  <c r="C151" i="24"/>
  <c r="O142" i="24"/>
  <c r="L134" i="24"/>
  <c r="L114" i="24"/>
  <c r="L110" i="24"/>
  <c r="H99" i="24"/>
  <c r="O96" i="24"/>
  <c r="R92" i="24"/>
  <c r="Q92" i="24"/>
  <c r="P92" i="24"/>
  <c r="O92" i="24"/>
  <c r="P93" i="24" s="1"/>
  <c r="Q93" i="24" s="1"/>
  <c r="P91" i="24"/>
  <c r="Q91" i="24" s="1"/>
  <c r="R91" i="24" s="1"/>
  <c r="S91" i="24" s="1"/>
  <c r="S90" i="24"/>
  <c r="T90" i="24" s="1"/>
  <c r="U90" i="24" s="1"/>
  <c r="V90" i="24" s="1"/>
  <c r="W90" i="24" s="1"/>
  <c r="X90" i="24" s="1"/>
  <c r="Y90" i="24" s="1"/>
  <c r="Z90" i="24" s="1"/>
  <c r="AA90" i="24" s="1"/>
  <c r="AB90" i="24" s="1"/>
  <c r="AC90" i="24" s="1"/>
  <c r="AD90" i="24" s="1"/>
  <c r="AE90" i="24" s="1"/>
  <c r="AF90" i="24" s="1"/>
  <c r="AG90" i="24" s="1"/>
  <c r="AH90" i="24" s="1"/>
  <c r="AI90" i="24" s="1"/>
  <c r="AJ90" i="24" s="1"/>
  <c r="AK90" i="24" s="1"/>
  <c r="AL90" i="24" s="1"/>
  <c r="AM90" i="24" s="1"/>
  <c r="P89" i="24"/>
  <c r="Q89" i="24" s="1"/>
  <c r="R89" i="24" s="1"/>
  <c r="S89" i="24" s="1"/>
  <c r="T89" i="24" s="1"/>
  <c r="U89" i="24" s="1"/>
  <c r="V89" i="24" s="1"/>
  <c r="W89" i="24" s="1"/>
  <c r="X89" i="24" s="1"/>
  <c r="Y89" i="24" s="1"/>
  <c r="Z89" i="24" s="1"/>
  <c r="AA89" i="24" s="1"/>
  <c r="S88" i="24"/>
  <c r="T88" i="24" s="1"/>
  <c r="U88" i="24" s="1"/>
  <c r="V88" i="24" s="1"/>
  <c r="W88" i="24" s="1"/>
  <c r="X88" i="24" s="1"/>
  <c r="Y88" i="24" s="1"/>
  <c r="Z88" i="24" s="1"/>
  <c r="AA88" i="24" s="1"/>
  <c r="AB88" i="24" s="1"/>
  <c r="AC88" i="24" s="1"/>
  <c r="AD88" i="24" s="1"/>
  <c r="AE88" i="24" s="1"/>
  <c r="AF88" i="24" s="1"/>
  <c r="AG88" i="24" s="1"/>
  <c r="AH88" i="24" s="1"/>
  <c r="AI88" i="24" s="1"/>
  <c r="AJ88" i="24" s="1"/>
  <c r="AK88" i="24" s="1"/>
  <c r="AL88" i="24" s="1"/>
  <c r="AM88" i="24" s="1"/>
  <c r="P87" i="24"/>
  <c r="Q87" i="24" s="1"/>
  <c r="R87" i="24" s="1"/>
  <c r="S87" i="24" s="1"/>
  <c r="T87" i="24" s="1"/>
  <c r="U87" i="24" s="1"/>
  <c r="V87" i="24" s="1"/>
  <c r="S86" i="24"/>
  <c r="T86" i="24" s="1"/>
  <c r="U86" i="24" s="1"/>
  <c r="V86" i="24" s="1"/>
  <c r="W86" i="24" s="1"/>
  <c r="X86" i="24" s="1"/>
  <c r="Y86" i="24" s="1"/>
  <c r="Z86" i="24" s="1"/>
  <c r="AA86" i="24" s="1"/>
  <c r="AB86" i="24" s="1"/>
  <c r="AC86" i="24" s="1"/>
  <c r="AD86" i="24" s="1"/>
  <c r="AE86" i="24" s="1"/>
  <c r="AF86" i="24" s="1"/>
  <c r="AG86" i="24" s="1"/>
  <c r="AH86" i="24" s="1"/>
  <c r="AI86" i="24" s="1"/>
  <c r="AJ86" i="24" s="1"/>
  <c r="AK86" i="24" s="1"/>
  <c r="AL86" i="24" s="1"/>
  <c r="AM86" i="24" s="1"/>
  <c r="P85" i="24"/>
  <c r="Q85" i="24" s="1"/>
  <c r="R85" i="24" s="1"/>
  <c r="S85" i="24" s="1"/>
  <c r="S84" i="24"/>
  <c r="T84" i="24" s="1"/>
  <c r="T92" i="24" s="1"/>
  <c r="O83" i="24"/>
  <c r="O77" i="24"/>
  <c r="I75" i="24"/>
  <c r="I76" i="24" s="1"/>
  <c r="L57" i="24"/>
  <c r="L56" i="24"/>
  <c r="L55" i="24"/>
  <c r="L54" i="24"/>
  <c r="L53" i="24"/>
  <c r="L52" i="24"/>
  <c r="L51" i="24"/>
  <c r="L47" i="24"/>
  <c r="L46" i="24"/>
  <c r="L45" i="24"/>
  <c r="L44" i="24"/>
  <c r="L43" i="24"/>
  <c r="AM42" i="24"/>
  <c r="AM41" i="24" s="1"/>
  <c r="AM152" i="24" s="1"/>
  <c r="AL42" i="24"/>
  <c r="AL41" i="24" s="1"/>
  <c r="AL152" i="24" s="1"/>
  <c r="AK42" i="24"/>
  <c r="AK41" i="24" s="1"/>
  <c r="AK152" i="24" s="1"/>
  <c r="AJ42" i="24"/>
  <c r="AJ41" i="24" s="1"/>
  <c r="AJ152" i="24" s="1"/>
  <c r="AI42" i="24"/>
  <c r="AI41" i="24" s="1"/>
  <c r="AI152" i="24" s="1"/>
  <c r="AH42" i="24"/>
  <c r="AH41" i="24" s="1"/>
  <c r="AH152" i="24" s="1"/>
  <c r="AG42" i="24"/>
  <c r="AG41" i="24" s="1"/>
  <c r="AG152" i="24" s="1"/>
  <c r="AF42" i="24"/>
  <c r="AF41" i="24" s="1"/>
  <c r="AF152" i="24" s="1"/>
  <c r="AE42" i="24"/>
  <c r="AE41" i="24" s="1"/>
  <c r="AE152" i="24" s="1"/>
  <c r="AD42" i="24"/>
  <c r="AD41" i="24" s="1"/>
  <c r="AD152" i="24" s="1"/>
  <c r="AC42" i="24"/>
  <c r="AC41" i="24" s="1"/>
  <c r="AC152" i="24" s="1"/>
  <c r="AB42" i="24"/>
  <c r="AB41" i="24" s="1"/>
  <c r="AB152" i="24" s="1"/>
  <c r="AA42" i="24"/>
  <c r="AA41" i="24" s="1"/>
  <c r="AA152" i="24" s="1"/>
  <c r="Z42" i="24"/>
  <c r="Z41" i="24" s="1"/>
  <c r="Z152" i="24" s="1"/>
  <c r="Y42" i="24"/>
  <c r="Y41" i="24" s="1"/>
  <c r="Y152" i="24" s="1"/>
  <c r="X42" i="24"/>
  <c r="X41" i="24" s="1"/>
  <c r="X152" i="24" s="1"/>
  <c r="W42" i="24"/>
  <c r="W41" i="24" s="1"/>
  <c r="W152" i="24" s="1"/>
  <c r="V42" i="24"/>
  <c r="V41" i="24" s="1"/>
  <c r="V152" i="24" s="1"/>
  <c r="U42" i="24"/>
  <c r="U41" i="24" s="1"/>
  <c r="U152" i="24" s="1"/>
  <c r="T42" i="24"/>
  <c r="T41" i="24" s="1"/>
  <c r="T152" i="24" s="1"/>
  <c r="S42" i="24"/>
  <c r="S41" i="24" s="1"/>
  <c r="S152" i="24" s="1"/>
  <c r="R42" i="24"/>
  <c r="R41" i="24" s="1"/>
  <c r="R152" i="24" s="1"/>
  <c r="Q42" i="24"/>
  <c r="Q41" i="24" s="1"/>
  <c r="Q152" i="24" s="1"/>
  <c r="P42" i="24"/>
  <c r="P41" i="24" s="1"/>
  <c r="P152" i="24" s="1"/>
  <c r="L39" i="24"/>
  <c r="L37" i="24"/>
  <c r="L36" i="24"/>
  <c r="L35" i="24"/>
  <c r="L34" i="24"/>
  <c r="AM32" i="24"/>
  <c r="AM30" i="24" s="1"/>
  <c r="AL32" i="24"/>
  <c r="AL30" i="24" s="1"/>
  <c r="AK32" i="24"/>
  <c r="AK30" i="24" s="1"/>
  <c r="AJ32" i="24"/>
  <c r="AJ30" i="24" s="1"/>
  <c r="AI32" i="24"/>
  <c r="AI30" i="24" s="1"/>
  <c r="AH32" i="24"/>
  <c r="AH30" i="24" s="1"/>
  <c r="AG32" i="24"/>
  <c r="AG30" i="24" s="1"/>
  <c r="AF32" i="24"/>
  <c r="AF30" i="24" s="1"/>
  <c r="AE32" i="24"/>
  <c r="AE30" i="24" s="1"/>
  <c r="AD32" i="24"/>
  <c r="AD30" i="24" s="1"/>
  <c r="AC32" i="24"/>
  <c r="AC30" i="24" s="1"/>
  <c r="AB32" i="24"/>
  <c r="AB30" i="24" s="1"/>
  <c r="AA32" i="24"/>
  <c r="AA30" i="24" s="1"/>
  <c r="Z32" i="24"/>
  <c r="Z30" i="24" s="1"/>
  <c r="Y32" i="24"/>
  <c r="Y30" i="24" s="1"/>
  <c r="X32" i="24"/>
  <c r="X30" i="24" s="1"/>
  <c r="W32" i="24"/>
  <c r="W30" i="24" s="1"/>
  <c r="V32" i="24"/>
  <c r="V30" i="24" s="1"/>
  <c r="U32" i="24"/>
  <c r="U30" i="24" s="1"/>
  <c r="T32" i="24"/>
  <c r="T30" i="24" s="1"/>
  <c r="S32" i="24"/>
  <c r="S30" i="24" s="1"/>
  <c r="R32" i="24"/>
  <c r="R30" i="24" s="1"/>
  <c r="Q32" i="24"/>
  <c r="Q30" i="24" s="1"/>
  <c r="P32" i="24"/>
  <c r="P30" i="24" s="1"/>
  <c r="L25" i="24"/>
  <c r="L20" i="24"/>
  <c r="L19" i="24"/>
  <c r="L18" i="24"/>
  <c r="L17" i="24"/>
  <c r="L16" i="24"/>
  <c r="O4" i="24"/>
  <c r="O3" i="24"/>
  <c r="O141" i="24" s="1"/>
  <c r="P2" i="24"/>
  <c r="P1" i="24"/>
  <c r="L38" i="20"/>
  <c r="E304" i="20"/>
  <c r="E305" i="20" s="1"/>
  <c r="AM273" i="20"/>
  <c r="AL273" i="20"/>
  <c r="AK273" i="20"/>
  <c r="AJ273" i="20"/>
  <c r="AI273" i="20"/>
  <c r="AH273" i="20"/>
  <c r="AG273" i="20"/>
  <c r="AF273" i="20"/>
  <c r="AE273" i="20"/>
  <c r="AD273" i="20"/>
  <c r="AC273" i="20"/>
  <c r="AB273" i="20"/>
  <c r="AA273" i="20"/>
  <c r="Z273" i="20"/>
  <c r="Y273" i="20"/>
  <c r="X273" i="20"/>
  <c r="W273" i="20"/>
  <c r="V273" i="20"/>
  <c r="U273" i="20"/>
  <c r="T273" i="20"/>
  <c r="S273" i="20"/>
  <c r="R273" i="20"/>
  <c r="Q273" i="20"/>
  <c r="P273" i="20"/>
  <c r="O273" i="20"/>
  <c r="AM262" i="20"/>
  <c r="AL262" i="20"/>
  <c r="AK262" i="20"/>
  <c r="AJ262" i="20"/>
  <c r="AI262" i="20"/>
  <c r="AH262" i="20"/>
  <c r="AG262" i="20"/>
  <c r="AF262" i="20"/>
  <c r="AE262" i="20"/>
  <c r="AD262" i="20"/>
  <c r="AC262" i="20"/>
  <c r="AB262" i="20"/>
  <c r="AA262" i="20"/>
  <c r="Z262" i="20"/>
  <c r="Y262" i="20"/>
  <c r="X262" i="20"/>
  <c r="W262" i="20"/>
  <c r="V262" i="20"/>
  <c r="U262" i="20"/>
  <c r="T262" i="20"/>
  <c r="S262" i="20"/>
  <c r="R262" i="20"/>
  <c r="Q262" i="20"/>
  <c r="P262" i="20"/>
  <c r="O262" i="20"/>
  <c r="AM257" i="20"/>
  <c r="AL257" i="20"/>
  <c r="AK257" i="20"/>
  <c r="AJ257" i="20"/>
  <c r="AI257" i="20"/>
  <c r="AH257" i="20"/>
  <c r="AG257" i="20"/>
  <c r="AF257" i="20"/>
  <c r="AE257" i="20"/>
  <c r="AD257" i="20"/>
  <c r="AC257" i="20"/>
  <c r="AB257" i="20"/>
  <c r="AA257" i="20"/>
  <c r="Z257" i="20"/>
  <c r="Y257" i="20"/>
  <c r="X257" i="20"/>
  <c r="W257" i="20"/>
  <c r="V257" i="20"/>
  <c r="U257" i="20"/>
  <c r="T257" i="20"/>
  <c r="S257" i="20"/>
  <c r="R257" i="20"/>
  <c r="Q257" i="20"/>
  <c r="P257" i="20"/>
  <c r="O257" i="20"/>
  <c r="AM253" i="20"/>
  <c r="AL253" i="20"/>
  <c r="AK253" i="20"/>
  <c r="AJ253" i="20"/>
  <c r="AI253" i="20"/>
  <c r="AH253" i="20"/>
  <c r="AG253" i="20"/>
  <c r="AF253" i="20"/>
  <c r="AE253" i="20"/>
  <c r="AD253" i="20"/>
  <c r="AC253" i="20"/>
  <c r="AB253" i="20"/>
  <c r="AA253" i="20"/>
  <c r="Z253" i="20"/>
  <c r="Y253" i="20"/>
  <c r="X253" i="20"/>
  <c r="W253" i="20"/>
  <c r="V253" i="20"/>
  <c r="U253" i="20"/>
  <c r="T253" i="20"/>
  <c r="S253" i="20"/>
  <c r="R253" i="20"/>
  <c r="Q253" i="20"/>
  <c r="P253" i="20"/>
  <c r="O253" i="20"/>
  <c r="I251" i="20"/>
  <c r="AM249" i="20"/>
  <c r="AL249" i="20"/>
  <c r="AK249" i="20"/>
  <c r="AJ249" i="20"/>
  <c r="AI249" i="20"/>
  <c r="AH249" i="20"/>
  <c r="AG249" i="20"/>
  <c r="AF249" i="20"/>
  <c r="AE249" i="20"/>
  <c r="AD249" i="20"/>
  <c r="AC249" i="20"/>
  <c r="AB249" i="20"/>
  <c r="AA249" i="20"/>
  <c r="Z249" i="20"/>
  <c r="Y249" i="20"/>
  <c r="X249" i="20"/>
  <c r="W249" i="20"/>
  <c r="V249" i="20"/>
  <c r="U249" i="20"/>
  <c r="T249" i="20"/>
  <c r="S249" i="20"/>
  <c r="R249" i="20"/>
  <c r="Q249" i="20"/>
  <c r="P249" i="20"/>
  <c r="O249" i="20"/>
  <c r="I247" i="20"/>
  <c r="O240" i="20"/>
  <c r="AM232" i="20"/>
  <c r="AL232" i="20"/>
  <c r="AK232" i="20"/>
  <c r="AJ232" i="20"/>
  <c r="AI232" i="20"/>
  <c r="AH232" i="20"/>
  <c r="AG232" i="20"/>
  <c r="AF232" i="20"/>
  <c r="AE232" i="20"/>
  <c r="AD232" i="20"/>
  <c r="AC232" i="20"/>
  <c r="AB232" i="20"/>
  <c r="AA232" i="20"/>
  <c r="Z232" i="20"/>
  <c r="Y232" i="20"/>
  <c r="X232" i="20"/>
  <c r="W232" i="20"/>
  <c r="V232" i="20"/>
  <c r="U232" i="20"/>
  <c r="T232" i="20"/>
  <c r="S232" i="20"/>
  <c r="R232" i="20"/>
  <c r="Q232" i="20"/>
  <c r="P232" i="20"/>
  <c r="O232" i="20"/>
  <c r="AM228" i="20"/>
  <c r="AL228" i="20"/>
  <c r="AK228" i="20"/>
  <c r="AJ228" i="20"/>
  <c r="AI228" i="20"/>
  <c r="AH228" i="20"/>
  <c r="AG228" i="20"/>
  <c r="AF228" i="20"/>
  <c r="AE228" i="20"/>
  <c r="AD228" i="20"/>
  <c r="AC228" i="20"/>
  <c r="AB228" i="20"/>
  <c r="AA228" i="20"/>
  <c r="Z228" i="20"/>
  <c r="Y228" i="20"/>
  <c r="X228" i="20"/>
  <c r="W228" i="20"/>
  <c r="V228" i="20"/>
  <c r="U228" i="20"/>
  <c r="T228" i="20"/>
  <c r="S228" i="20"/>
  <c r="R228" i="20"/>
  <c r="Q228" i="20"/>
  <c r="P228" i="20"/>
  <c r="O228" i="20"/>
  <c r="I226" i="20"/>
  <c r="AM224" i="20"/>
  <c r="AL224" i="20"/>
  <c r="AK224" i="20"/>
  <c r="AJ224" i="20"/>
  <c r="AI224" i="20"/>
  <c r="AH224" i="20"/>
  <c r="AG224" i="20"/>
  <c r="AF224" i="20"/>
  <c r="AE224" i="20"/>
  <c r="AD224" i="20"/>
  <c r="AC224" i="20"/>
  <c r="AB224" i="20"/>
  <c r="AA224" i="20"/>
  <c r="Z224" i="20"/>
  <c r="Y224" i="20"/>
  <c r="X224" i="20"/>
  <c r="W224" i="20"/>
  <c r="V224" i="20"/>
  <c r="U224" i="20"/>
  <c r="T224" i="20"/>
  <c r="S224" i="20"/>
  <c r="R224" i="20"/>
  <c r="Q224" i="20"/>
  <c r="P224" i="20"/>
  <c r="O224" i="20"/>
  <c r="I222" i="20"/>
  <c r="G166" i="20"/>
  <c r="G165" i="20"/>
  <c r="C152" i="20"/>
  <c r="C151" i="20"/>
  <c r="O142" i="20"/>
  <c r="L134" i="20"/>
  <c r="L114" i="20"/>
  <c r="L110" i="20"/>
  <c r="O96" i="20"/>
  <c r="R92" i="20"/>
  <c r="Q92" i="20"/>
  <c r="P92" i="20"/>
  <c r="O92" i="20"/>
  <c r="P93" i="20" s="1"/>
  <c r="Q93" i="20" s="1"/>
  <c r="P91" i="20"/>
  <c r="Q91" i="20" s="1"/>
  <c r="R91" i="20" s="1"/>
  <c r="S91" i="20" s="1"/>
  <c r="S90" i="20"/>
  <c r="T90" i="20" s="1"/>
  <c r="U90" i="20" s="1"/>
  <c r="V90" i="20" s="1"/>
  <c r="W90" i="20" s="1"/>
  <c r="X90" i="20" s="1"/>
  <c r="Y90" i="20" s="1"/>
  <c r="Z90" i="20" s="1"/>
  <c r="AA90" i="20" s="1"/>
  <c r="AB90" i="20" s="1"/>
  <c r="AC90" i="20" s="1"/>
  <c r="AD90" i="20" s="1"/>
  <c r="AE90" i="20" s="1"/>
  <c r="AF90" i="20" s="1"/>
  <c r="AG90" i="20" s="1"/>
  <c r="AH90" i="20" s="1"/>
  <c r="AI90" i="20" s="1"/>
  <c r="AJ90" i="20" s="1"/>
  <c r="AK90" i="20" s="1"/>
  <c r="AL90" i="20" s="1"/>
  <c r="AM90" i="20" s="1"/>
  <c r="Q89" i="20"/>
  <c r="R89" i="20" s="1"/>
  <c r="S89" i="20" s="1"/>
  <c r="T89" i="20" s="1"/>
  <c r="U89" i="20" s="1"/>
  <c r="V89" i="20" s="1"/>
  <c r="W89" i="20" s="1"/>
  <c r="X89" i="20" s="1"/>
  <c r="Y89" i="20" s="1"/>
  <c r="P89" i="20"/>
  <c r="S88" i="20"/>
  <c r="T88" i="20" s="1"/>
  <c r="U88" i="20" s="1"/>
  <c r="V88" i="20" s="1"/>
  <c r="W88" i="20" s="1"/>
  <c r="X88" i="20" s="1"/>
  <c r="Y88" i="20" s="1"/>
  <c r="Z88" i="20" s="1"/>
  <c r="AA88" i="20" s="1"/>
  <c r="AB88" i="20" s="1"/>
  <c r="AC88" i="20" s="1"/>
  <c r="AD88" i="20" s="1"/>
  <c r="AE88" i="20" s="1"/>
  <c r="AF88" i="20" s="1"/>
  <c r="AG88" i="20" s="1"/>
  <c r="AH88" i="20" s="1"/>
  <c r="AI88" i="20" s="1"/>
  <c r="AJ88" i="20" s="1"/>
  <c r="AK88" i="20" s="1"/>
  <c r="AL88" i="20" s="1"/>
  <c r="AM88" i="20" s="1"/>
  <c r="P87" i="20"/>
  <c r="Q87" i="20" s="1"/>
  <c r="R87" i="20" s="1"/>
  <c r="S87" i="20" s="1"/>
  <c r="S86" i="20"/>
  <c r="T86" i="20" s="1"/>
  <c r="U86" i="20" s="1"/>
  <c r="V86" i="20" s="1"/>
  <c r="W86" i="20" s="1"/>
  <c r="X86" i="20" s="1"/>
  <c r="Y86" i="20" s="1"/>
  <c r="Z86" i="20" s="1"/>
  <c r="AA86" i="20" s="1"/>
  <c r="AB86" i="20" s="1"/>
  <c r="AC86" i="20" s="1"/>
  <c r="AD86" i="20" s="1"/>
  <c r="AE86" i="20" s="1"/>
  <c r="AF86" i="20" s="1"/>
  <c r="AG86" i="20" s="1"/>
  <c r="AH86" i="20" s="1"/>
  <c r="AI86" i="20" s="1"/>
  <c r="AJ86" i="20" s="1"/>
  <c r="AK86" i="20" s="1"/>
  <c r="AL86" i="20" s="1"/>
  <c r="AM86" i="20" s="1"/>
  <c r="P85" i="20"/>
  <c r="Q85" i="20" s="1"/>
  <c r="R85" i="20" s="1"/>
  <c r="S85" i="20" s="1"/>
  <c r="S84" i="20"/>
  <c r="T84" i="20" s="1"/>
  <c r="O83" i="20"/>
  <c r="O77" i="20"/>
  <c r="I75" i="20"/>
  <c r="J75" i="20" s="1"/>
  <c r="L57" i="20"/>
  <c r="L56" i="20"/>
  <c r="L55" i="20"/>
  <c r="L54" i="20"/>
  <c r="L53" i="20"/>
  <c r="L52" i="20"/>
  <c r="L51" i="20"/>
  <c r="L47" i="20"/>
  <c r="L46" i="20"/>
  <c r="L45" i="20"/>
  <c r="L44" i="20"/>
  <c r="L43" i="20"/>
  <c r="AM42" i="20"/>
  <c r="AM41" i="20" s="1"/>
  <c r="AM152" i="20" s="1"/>
  <c r="AL42" i="20"/>
  <c r="AL41" i="20" s="1"/>
  <c r="AL152" i="20" s="1"/>
  <c r="AK42" i="20"/>
  <c r="AK41" i="20" s="1"/>
  <c r="AK152" i="20" s="1"/>
  <c r="AJ42" i="20"/>
  <c r="AJ41" i="20" s="1"/>
  <c r="AJ152" i="20" s="1"/>
  <c r="AJ152" i="33" s="1"/>
  <c r="AI42" i="20"/>
  <c r="AI41" i="20" s="1"/>
  <c r="AI152" i="20" s="1"/>
  <c r="AI152" i="33" s="1"/>
  <c r="AH42" i="20"/>
  <c r="AH41" i="20" s="1"/>
  <c r="AH152" i="20" s="1"/>
  <c r="AH152" i="33" s="1"/>
  <c r="AG42" i="20"/>
  <c r="AG41" i="20" s="1"/>
  <c r="AG152" i="20" s="1"/>
  <c r="AF42" i="20"/>
  <c r="AF41" i="20" s="1"/>
  <c r="AF152" i="20" s="1"/>
  <c r="AE42" i="20"/>
  <c r="AE41" i="20" s="1"/>
  <c r="AE152" i="20" s="1"/>
  <c r="AD42" i="20"/>
  <c r="AD41" i="20" s="1"/>
  <c r="AD152" i="20" s="1"/>
  <c r="AC42" i="20"/>
  <c r="AC41" i="20" s="1"/>
  <c r="AC152" i="20" s="1"/>
  <c r="AB42" i="20"/>
  <c r="AB41" i="20" s="1"/>
  <c r="AB152" i="20" s="1"/>
  <c r="AA42" i="20"/>
  <c r="AA41" i="20" s="1"/>
  <c r="AA152" i="20" s="1"/>
  <c r="Z42" i="20"/>
  <c r="Z41" i="20" s="1"/>
  <c r="Z152" i="20" s="1"/>
  <c r="Y42" i="20"/>
  <c r="Y41" i="20" s="1"/>
  <c r="Y152" i="20" s="1"/>
  <c r="X42" i="20"/>
  <c r="X41" i="20" s="1"/>
  <c r="X152" i="20" s="1"/>
  <c r="X152" i="33" s="1"/>
  <c r="W42" i="20"/>
  <c r="W41" i="20" s="1"/>
  <c r="W152" i="20" s="1"/>
  <c r="W152" i="33" s="1"/>
  <c r="V42" i="20"/>
  <c r="V41" i="20" s="1"/>
  <c r="V152" i="20" s="1"/>
  <c r="V152" i="33" s="1"/>
  <c r="U42" i="20"/>
  <c r="U41" i="20" s="1"/>
  <c r="U152" i="20" s="1"/>
  <c r="T42" i="20"/>
  <c r="T41" i="20" s="1"/>
  <c r="T152" i="20" s="1"/>
  <c r="S42" i="20"/>
  <c r="S41" i="20" s="1"/>
  <c r="S152" i="20" s="1"/>
  <c r="R42" i="20"/>
  <c r="R41" i="20" s="1"/>
  <c r="R152" i="20" s="1"/>
  <c r="Q42" i="20"/>
  <c r="Q41" i="20" s="1"/>
  <c r="Q152" i="20" s="1"/>
  <c r="P42" i="20"/>
  <c r="L39" i="20"/>
  <c r="L37" i="20"/>
  <c r="L36" i="20"/>
  <c r="L35" i="20"/>
  <c r="L34" i="20"/>
  <c r="AM32" i="20"/>
  <c r="AM30" i="20" s="1"/>
  <c r="AL32" i="20"/>
  <c r="AL30" i="20" s="1"/>
  <c r="AK32" i="20"/>
  <c r="AK30" i="20" s="1"/>
  <c r="AJ32" i="20"/>
  <c r="AJ30" i="20" s="1"/>
  <c r="AI32" i="20"/>
  <c r="AI30" i="20" s="1"/>
  <c r="AH32" i="20"/>
  <c r="AH30" i="20" s="1"/>
  <c r="AG32" i="20"/>
  <c r="AG30" i="20" s="1"/>
  <c r="AF32" i="20"/>
  <c r="AF30" i="20" s="1"/>
  <c r="AE32" i="20"/>
  <c r="AE30" i="20" s="1"/>
  <c r="AD32" i="20"/>
  <c r="AD30" i="20" s="1"/>
  <c r="AC32" i="20"/>
  <c r="AC30" i="20" s="1"/>
  <c r="AB32" i="20"/>
  <c r="AB30" i="20" s="1"/>
  <c r="AA32" i="20"/>
  <c r="AA30" i="20" s="1"/>
  <c r="Z32" i="20"/>
  <c r="Z30" i="20" s="1"/>
  <c r="Y32" i="20"/>
  <c r="Y30" i="20" s="1"/>
  <c r="X32" i="20"/>
  <c r="X30" i="20" s="1"/>
  <c r="W32" i="20"/>
  <c r="W30" i="20" s="1"/>
  <c r="V32" i="20"/>
  <c r="V30" i="20" s="1"/>
  <c r="U32" i="20"/>
  <c r="U30" i="20" s="1"/>
  <c r="T32" i="20"/>
  <c r="T30" i="20" s="1"/>
  <c r="S32" i="20"/>
  <c r="S30" i="20" s="1"/>
  <c r="R32" i="20"/>
  <c r="R30" i="20" s="1"/>
  <c r="Q32" i="20"/>
  <c r="Q30" i="20" s="1"/>
  <c r="P32" i="20"/>
  <c r="P30" i="20" s="1"/>
  <c r="O32" i="20"/>
  <c r="O30" i="20" s="1"/>
  <c r="L25" i="20"/>
  <c r="L20" i="20"/>
  <c r="L19" i="20"/>
  <c r="L18" i="20"/>
  <c r="L17" i="20"/>
  <c r="L16" i="20"/>
  <c r="O4" i="20"/>
  <c r="O3" i="20"/>
  <c r="P2" i="20"/>
  <c r="P142" i="20" s="1"/>
  <c r="P1" i="20"/>
  <c r="Q1" i="20" s="1"/>
  <c r="Z30" i="33" l="1"/>
  <c r="AL30" i="33"/>
  <c r="AA30" i="33"/>
  <c r="AE30" i="33"/>
  <c r="S30" i="33"/>
  <c r="X30" i="33"/>
  <c r="AJ30" i="33"/>
  <c r="P30" i="33"/>
  <c r="AB30" i="33"/>
  <c r="Q30" i="33"/>
  <c r="AC30" i="33"/>
  <c r="Z152" i="33"/>
  <c r="AL152" i="33"/>
  <c r="AC152" i="33"/>
  <c r="S152" i="33"/>
  <c r="AE152" i="33"/>
  <c r="R152" i="33"/>
  <c r="T152" i="33"/>
  <c r="AF152" i="33"/>
  <c r="Y152" i="33"/>
  <c r="AD152" i="33"/>
  <c r="U152" i="33"/>
  <c r="AG152" i="33"/>
  <c r="AK152" i="33"/>
  <c r="AA152" i="33"/>
  <c r="AM152" i="33"/>
  <c r="AB152" i="33"/>
  <c r="AH30" i="33"/>
  <c r="V30" i="33"/>
  <c r="R30" i="33"/>
  <c r="AD30" i="33"/>
  <c r="AM30" i="33"/>
  <c r="T30" i="33"/>
  <c r="W30" i="33"/>
  <c r="AI30" i="33"/>
  <c r="AF30" i="33"/>
  <c r="Y30" i="33"/>
  <c r="AK30" i="33"/>
  <c r="U30" i="33"/>
  <c r="AG30" i="33"/>
  <c r="T85" i="32"/>
  <c r="Q2" i="32"/>
  <c r="T91" i="31"/>
  <c r="U91" i="31" s="1"/>
  <c r="S93" i="31"/>
  <c r="T93" i="31" s="1"/>
  <c r="U93" i="31" s="1"/>
  <c r="T84" i="31"/>
  <c r="T92" i="31" s="1"/>
  <c r="U85" i="31"/>
  <c r="S93" i="27"/>
  <c r="T93" i="27" s="1"/>
  <c r="T87" i="27"/>
  <c r="U87" i="27" s="1"/>
  <c r="V87" i="27" s="1"/>
  <c r="W87" i="27" s="1"/>
  <c r="X87" i="27" s="1"/>
  <c r="Y87" i="27" s="1"/>
  <c r="Z87" i="27" s="1"/>
  <c r="AA87" i="27" s="1"/>
  <c r="AB87" i="27" s="1"/>
  <c r="AC87" i="27" s="1"/>
  <c r="AD87" i="27" s="1"/>
  <c r="AE87" i="27" s="1"/>
  <c r="AF87" i="27" s="1"/>
  <c r="AG87" i="27" s="1"/>
  <c r="AH87" i="27" s="1"/>
  <c r="AI87" i="27" s="1"/>
  <c r="AJ87" i="27" s="1"/>
  <c r="AK87" i="27" s="1"/>
  <c r="AL87" i="27" s="1"/>
  <c r="AM87" i="27" s="1"/>
  <c r="T91" i="24"/>
  <c r="R93" i="24"/>
  <c r="S93" i="24" s="1"/>
  <c r="R93" i="20"/>
  <c r="S93" i="20" s="1"/>
  <c r="P83" i="20"/>
  <c r="T85" i="20"/>
  <c r="U85" i="20" s="1"/>
  <c r="T87" i="32"/>
  <c r="U87" i="32" s="1"/>
  <c r="V87" i="32" s="1"/>
  <c r="R93" i="32"/>
  <c r="S93" i="32" s="1"/>
  <c r="U89" i="31"/>
  <c r="V89" i="31" s="1"/>
  <c r="W89" i="31" s="1"/>
  <c r="X89" i="31" s="1"/>
  <c r="Y89" i="31" s="1"/>
  <c r="Z89" i="31" s="1"/>
  <c r="AA89" i="31" s="1"/>
  <c r="AB89" i="31" s="1"/>
  <c r="AC89" i="31" s="1"/>
  <c r="AD89" i="31" s="1"/>
  <c r="AE89" i="31" s="1"/>
  <c r="AF89" i="31" s="1"/>
  <c r="AG89" i="31" s="1"/>
  <c r="AH89" i="31" s="1"/>
  <c r="AI89" i="31" s="1"/>
  <c r="AJ89" i="31" s="1"/>
  <c r="AK89" i="31" s="1"/>
  <c r="AL89" i="31" s="1"/>
  <c r="AM89" i="31" s="1"/>
  <c r="V85" i="31"/>
  <c r="T88" i="31"/>
  <c r="U88" i="31" s="1"/>
  <c r="V88" i="31" s="1"/>
  <c r="W88" i="31" s="1"/>
  <c r="X88" i="31" s="1"/>
  <c r="Y88" i="31" s="1"/>
  <c r="Z88" i="31" s="1"/>
  <c r="AA88" i="31" s="1"/>
  <c r="AB88" i="31" s="1"/>
  <c r="AC88" i="31" s="1"/>
  <c r="AD88" i="31" s="1"/>
  <c r="AE88" i="31" s="1"/>
  <c r="AF88" i="31" s="1"/>
  <c r="AG88" i="31" s="1"/>
  <c r="AH88" i="31" s="1"/>
  <c r="AI88" i="31" s="1"/>
  <c r="AJ88" i="31" s="1"/>
  <c r="AK88" i="31" s="1"/>
  <c r="AL88" i="31" s="1"/>
  <c r="AM88" i="31" s="1"/>
  <c r="U84" i="31"/>
  <c r="V91" i="31"/>
  <c r="W91" i="31" s="1"/>
  <c r="X91" i="31" s="1"/>
  <c r="Y91" i="31" s="1"/>
  <c r="Z91" i="31" s="1"/>
  <c r="AA91" i="31" s="1"/>
  <c r="AB91" i="31" s="1"/>
  <c r="AC91" i="31" s="1"/>
  <c r="AD91" i="31" s="1"/>
  <c r="AE91" i="31" s="1"/>
  <c r="AF91" i="31" s="1"/>
  <c r="AG91" i="31" s="1"/>
  <c r="AH91" i="31" s="1"/>
  <c r="AI91" i="31" s="1"/>
  <c r="AJ91" i="31" s="1"/>
  <c r="AK91" i="31" s="1"/>
  <c r="AL91" i="31" s="1"/>
  <c r="AM91" i="31" s="1"/>
  <c r="Z91" i="27"/>
  <c r="AA91" i="27" s="1"/>
  <c r="AB91" i="27" s="1"/>
  <c r="AC91" i="27" s="1"/>
  <c r="AD91" i="27" s="1"/>
  <c r="AE91" i="27" s="1"/>
  <c r="AF91" i="27" s="1"/>
  <c r="AG91" i="27" s="1"/>
  <c r="AH91" i="27" s="1"/>
  <c r="AI91" i="27" s="1"/>
  <c r="AJ91" i="27" s="1"/>
  <c r="AK91" i="27" s="1"/>
  <c r="AL91" i="27" s="1"/>
  <c r="AM91" i="27" s="1"/>
  <c r="T85" i="27"/>
  <c r="U91" i="24"/>
  <c r="V91" i="24" s="1"/>
  <c r="W91" i="24" s="1"/>
  <c r="X91" i="24" s="1"/>
  <c r="Y91" i="24" s="1"/>
  <c r="Z91" i="24" s="1"/>
  <c r="AA91" i="24" s="1"/>
  <c r="AB91" i="24" s="1"/>
  <c r="AC91" i="24" s="1"/>
  <c r="AD91" i="24" s="1"/>
  <c r="AE91" i="24" s="1"/>
  <c r="AF91" i="24" s="1"/>
  <c r="AG91" i="24" s="1"/>
  <c r="AH91" i="24" s="1"/>
  <c r="AI91" i="24" s="1"/>
  <c r="AJ91" i="24" s="1"/>
  <c r="AK91" i="24" s="1"/>
  <c r="AL91" i="24" s="1"/>
  <c r="AM91" i="24" s="1"/>
  <c r="U84" i="24"/>
  <c r="U92" i="24" s="1"/>
  <c r="T85" i="24"/>
  <c r="U85" i="24" s="1"/>
  <c r="W87" i="24"/>
  <c r="X87" i="24" s="1"/>
  <c r="Y87" i="24" s="1"/>
  <c r="Z87" i="24" s="1"/>
  <c r="AA87" i="24" s="1"/>
  <c r="AB87" i="24" s="1"/>
  <c r="AC87" i="24" s="1"/>
  <c r="AD87" i="24" s="1"/>
  <c r="AE87" i="24" s="1"/>
  <c r="AF87" i="24" s="1"/>
  <c r="AG87" i="24" s="1"/>
  <c r="AH87" i="24" s="1"/>
  <c r="AI87" i="24" s="1"/>
  <c r="AJ87" i="24" s="1"/>
  <c r="AK87" i="24" s="1"/>
  <c r="AL87" i="24" s="1"/>
  <c r="AM87" i="24" s="1"/>
  <c r="S92" i="24"/>
  <c r="Z89" i="20"/>
  <c r="AA89" i="20" s="1"/>
  <c r="AB89" i="20" s="1"/>
  <c r="AC89" i="20" s="1"/>
  <c r="AD89" i="20" s="1"/>
  <c r="AE89" i="20" s="1"/>
  <c r="AF89" i="20" s="1"/>
  <c r="AG89" i="20" s="1"/>
  <c r="AH89" i="20" s="1"/>
  <c r="AI89" i="20" s="1"/>
  <c r="AJ89" i="20" s="1"/>
  <c r="AK89" i="20" s="1"/>
  <c r="AL89" i="20" s="1"/>
  <c r="AM89" i="20" s="1"/>
  <c r="T91" i="20"/>
  <c r="U91" i="20" s="1"/>
  <c r="V91" i="20" s="1"/>
  <c r="W91" i="20" s="1"/>
  <c r="X91" i="20" s="1"/>
  <c r="Y91" i="20" s="1"/>
  <c r="Z91" i="20" s="1"/>
  <c r="AA91" i="20" s="1"/>
  <c r="AB91" i="20" s="1"/>
  <c r="AC91" i="20" s="1"/>
  <c r="AD91" i="20" s="1"/>
  <c r="AE91" i="20" s="1"/>
  <c r="AF91" i="20" s="1"/>
  <c r="AG91" i="20" s="1"/>
  <c r="AH91" i="20" s="1"/>
  <c r="AI91" i="20" s="1"/>
  <c r="AJ91" i="20" s="1"/>
  <c r="AK91" i="20" s="1"/>
  <c r="AL91" i="20" s="1"/>
  <c r="AM91" i="20" s="1"/>
  <c r="P3" i="20"/>
  <c r="P82" i="20" s="1"/>
  <c r="T87" i="20"/>
  <c r="U87" i="20" s="1"/>
  <c r="V87" i="20" s="1"/>
  <c r="W87" i="20" s="1"/>
  <c r="X87" i="20" s="1"/>
  <c r="Y87" i="20" s="1"/>
  <c r="Z87" i="20" s="1"/>
  <c r="AA87" i="20" s="1"/>
  <c r="AB87" i="20" s="1"/>
  <c r="AC87" i="20" s="1"/>
  <c r="AD87" i="20" s="1"/>
  <c r="AE87" i="20" s="1"/>
  <c r="AF87" i="20" s="1"/>
  <c r="AG87" i="20" s="1"/>
  <c r="AH87" i="20" s="1"/>
  <c r="AI87" i="20" s="1"/>
  <c r="AJ87" i="20" s="1"/>
  <c r="AK87" i="20" s="1"/>
  <c r="AL87" i="20" s="1"/>
  <c r="AM87" i="20" s="1"/>
  <c r="P4" i="20"/>
  <c r="P96" i="20"/>
  <c r="X84" i="33"/>
  <c r="Y85" i="33" s="1"/>
  <c r="W92" i="33"/>
  <c r="X93" i="33" s="1"/>
  <c r="Q77" i="33"/>
  <c r="P223" i="33"/>
  <c r="P231" i="33"/>
  <c r="P227" i="33"/>
  <c r="T1" i="33"/>
  <c r="S3" i="33"/>
  <c r="S142" i="33"/>
  <c r="S96" i="33"/>
  <c r="S83" i="33"/>
  <c r="T2" i="33"/>
  <c r="S4" i="33"/>
  <c r="R141" i="33"/>
  <c r="R95" i="33"/>
  <c r="R82" i="33"/>
  <c r="R78" i="33"/>
  <c r="O309" i="32"/>
  <c r="V309" i="32"/>
  <c r="W309" i="32"/>
  <c r="X309" i="32"/>
  <c r="Y309" i="32"/>
  <c r="AA309" i="32"/>
  <c r="AH309" i="32"/>
  <c r="AI309" i="32"/>
  <c r="AK309" i="32"/>
  <c r="AM309" i="32"/>
  <c r="AL309" i="27"/>
  <c r="Y309" i="27"/>
  <c r="X309" i="27"/>
  <c r="V309" i="27"/>
  <c r="S309" i="27"/>
  <c r="P309" i="27"/>
  <c r="AM309" i="27"/>
  <c r="O309" i="27"/>
  <c r="AK309" i="27"/>
  <c r="AB309" i="27"/>
  <c r="AA309" i="27"/>
  <c r="AJ309" i="27"/>
  <c r="AH309" i="27"/>
  <c r="AE309" i="27"/>
  <c r="AL309" i="20"/>
  <c r="P309" i="20"/>
  <c r="AJ309" i="20"/>
  <c r="Z309" i="20"/>
  <c r="W309" i="20"/>
  <c r="V309" i="20"/>
  <c r="O309" i="20"/>
  <c r="I76" i="27"/>
  <c r="O76" i="27" s="1"/>
  <c r="J75" i="24"/>
  <c r="I76" i="20"/>
  <c r="O76" i="20" s="1"/>
  <c r="L32" i="32"/>
  <c r="K38" i="32" s="1"/>
  <c r="Q3" i="32"/>
  <c r="R1" i="32"/>
  <c r="Q41" i="32"/>
  <c r="Q152" i="32" s="1"/>
  <c r="Q152" i="33" s="1"/>
  <c r="P142" i="32"/>
  <c r="P96" i="32"/>
  <c r="P83" i="32"/>
  <c r="L30" i="32"/>
  <c r="Q83" i="32"/>
  <c r="Q142" i="32"/>
  <c r="Q96" i="32"/>
  <c r="R2" i="32"/>
  <c r="O141" i="32"/>
  <c r="O95" i="32"/>
  <c r="O164" i="32"/>
  <c r="O75" i="32"/>
  <c r="O22" i="32" s="1"/>
  <c r="O14" i="32" s="1"/>
  <c r="O214" i="32" s="1"/>
  <c r="P163" i="32"/>
  <c r="P141" i="32"/>
  <c r="P95" i="32"/>
  <c r="P167" i="32"/>
  <c r="P78" i="32"/>
  <c r="P76" i="32" s="1"/>
  <c r="Q4" i="32"/>
  <c r="J75" i="32"/>
  <c r="T91" i="32"/>
  <c r="U91" i="32" s="1"/>
  <c r="V91" i="32" s="1"/>
  <c r="W91" i="32" s="1"/>
  <c r="X91" i="32" s="1"/>
  <c r="Y91" i="32" s="1"/>
  <c r="Z91" i="32" s="1"/>
  <c r="AA91" i="32" s="1"/>
  <c r="AB91" i="32" s="1"/>
  <c r="AC91" i="32" s="1"/>
  <c r="AD91" i="32" s="1"/>
  <c r="AE91" i="32" s="1"/>
  <c r="AF91" i="32" s="1"/>
  <c r="AG91" i="32" s="1"/>
  <c r="AH91" i="32" s="1"/>
  <c r="AI91" i="32" s="1"/>
  <c r="AJ91" i="32" s="1"/>
  <c r="AK91" i="32" s="1"/>
  <c r="AL91" i="32" s="1"/>
  <c r="AM91" i="32" s="1"/>
  <c r="O99" i="32"/>
  <c r="T84" i="32"/>
  <c r="U85" i="32" s="1"/>
  <c r="S92" i="32"/>
  <c r="T89" i="32"/>
  <c r="U89" i="32" s="1"/>
  <c r="V89" i="32" s="1"/>
  <c r="W89" i="32" s="1"/>
  <c r="X89" i="32" s="1"/>
  <c r="Y89" i="32" s="1"/>
  <c r="Z89" i="32" s="1"/>
  <c r="AA89" i="32" s="1"/>
  <c r="AB89" i="32" s="1"/>
  <c r="AC89" i="32" s="1"/>
  <c r="AD89" i="32" s="1"/>
  <c r="AE89" i="32" s="1"/>
  <c r="AF89" i="32" s="1"/>
  <c r="AG89" i="32" s="1"/>
  <c r="AH89" i="32" s="1"/>
  <c r="AI89" i="32" s="1"/>
  <c r="AJ89" i="32" s="1"/>
  <c r="AK89" i="32" s="1"/>
  <c r="AL89" i="32" s="1"/>
  <c r="AM89" i="32" s="1"/>
  <c r="W87" i="32"/>
  <c r="X87" i="32" s="1"/>
  <c r="Y87" i="32" s="1"/>
  <c r="Z87" i="32" s="1"/>
  <c r="AA87" i="32" s="1"/>
  <c r="AB87" i="32" s="1"/>
  <c r="AC87" i="32" s="1"/>
  <c r="AD87" i="32" s="1"/>
  <c r="AE87" i="32" s="1"/>
  <c r="AF87" i="32" s="1"/>
  <c r="AG87" i="32" s="1"/>
  <c r="AH87" i="32" s="1"/>
  <c r="AI87" i="32" s="1"/>
  <c r="AJ87" i="32" s="1"/>
  <c r="AK87" i="32" s="1"/>
  <c r="AL87" i="32" s="1"/>
  <c r="AM87" i="32" s="1"/>
  <c r="P309" i="32"/>
  <c r="AB309" i="32"/>
  <c r="Q309" i="32"/>
  <c r="AC309" i="32"/>
  <c r="R309" i="32"/>
  <c r="AD309" i="32"/>
  <c r="S309" i="32"/>
  <c r="AE309" i="32"/>
  <c r="T309" i="32"/>
  <c r="AF309" i="32"/>
  <c r="U309" i="32"/>
  <c r="AG309" i="32"/>
  <c r="AJ309" i="32"/>
  <c r="Z309" i="32"/>
  <c r="O32" i="31"/>
  <c r="O30" i="31" s="1"/>
  <c r="L30" i="31" s="1"/>
  <c r="L32" i="31"/>
  <c r="K38" i="31" s="1"/>
  <c r="S1" i="31"/>
  <c r="R3" i="31"/>
  <c r="P167" i="31"/>
  <c r="P141" i="31"/>
  <c r="P78" i="31"/>
  <c r="P76" i="31" s="1"/>
  <c r="P75" i="31" s="1"/>
  <c r="P22" i="31" s="1"/>
  <c r="P14" i="31" s="1"/>
  <c r="P214" i="31" s="1"/>
  <c r="Q3" i="31"/>
  <c r="J75" i="31"/>
  <c r="O82" i="31"/>
  <c r="O164" i="31"/>
  <c r="O95" i="31"/>
  <c r="O141" i="31"/>
  <c r="P82" i="31"/>
  <c r="P163" i="31"/>
  <c r="P142" i="31"/>
  <c r="P96" i="31"/>
  <c r="Q2" i="31"/>
  <c r="P83" i="31"/>
  <c r="P4" i="31"/>
  <c r="O76" i="31"/>
  <c r="O99" i="31" s="1"/>
  <c r="P95" i="31"/>
  <c r="AD309" i="31"/>
  <c r="R309" i="31"/>
  <c r="AC309" i="31"/>
  <c r="Q309" i="31"/>
  <c r="AJ309" i="31"/>
  <c r="V309" i="31"/>
  <c r="AH309" i="31"/>
  <c r="T309" i="31"/>
  <c r="AG309" i="31"/>
  <c r="S309" i="31"/>
  <c r="AF309" i="31"/>
  <c r="P309" i="31"/>
  <c r="W309" i="31"/>
  <c r="U309" i="31"/>
  <c r="AM309" i="31"/>
  <c r="O309" i="31"/>
  <c r="AL309" i="31"/>
  <c r="AE309" i="31"/>
  <c r="AB309" i="31"/>
  <c r="Z309" i="31"/>
  <c r="AA309" i="31"/>
  <c r="AI309" i="31"/>
  <c r="X309" i="31"/>
  <c r="AK309" i="31"/>
  <c r="L38" i="27"/>
  <c r="L32" i="27" s="1"/>
  <c r="K35" i="27" s="1"/>
  <c r="V89" i="27"/>
  <c r="W89" i="27" s="1"/>
  <c r="X89" i="27" s="1"/>
  <c r="Y89" i="27" s="1"/>
  <c r="Z89" i="27" s="1"/>
  <c r="AA89" i="27" s="1"/>
  <c r="AB89" i="27" s="1"/>
  <c r="AC89" i="27" s="1"/>
  <c r="AD89" i="27" s="1"/>
  <c r="AE89" i="27" s="1"/>
  <c r="AF89" i="27" s="1"/>
  <c r="AG89" i="27" s="1"/>
  <c r="AH89" i="27" s="1"/>
  <c r="AI89" i="27" s="1"/>
  <c r="AJ89" i="27" s="1"/>
  <c r="AK89" i="27" s="1"/>
  <c r="AL89" i="27" s="1"/>
  <c r="AM89" i="27" s="1"/>
  <c r="P3" i="27"/>
  <c r="Q1" i="27"/>
  <c r="L30" i="27"/>
  <c r="P41" i="27"/>
  <c r="P152" i="27" s="1"/>
  <c r="P142" i="27"/>
  <c r="P96" i="27"/>
  <c r="P83" i="27"/>
  <c r="P4" i="27"/>
  <c r="Q2" i="27"/>
  <c r="O164" i="27"/>
  <c r="O141" i="27"/>
  <c r="O95" i="27"/>
  <c r="T84" i="27"/>
  <c r="Q309" i="27"/>
  <c r="AC309" i="27"/>
  <c r="R309" i="27"/>
  <c r="AD309" i="27"/>
  <c r="T309" i="27"/>
  <c r="AF309" i="27"/>
  <c r="U309" i="27"/>
  <c r="AG309" i="27"/>
  <c r="W309" i="27"/>
  <c r="AI309" i="27"/>
  <c r="Z309" i="27"/>
  <c r="L32" i="24"/>
  <c r="K37" i="24" s="1"/>
  <c r="AB89" i="24"/>
  <c r="AC89" i="24" s="1"/>
  <c r="AD89" i="24" s="1"/>
  <c r="AE89" i="24" s="1"/>
  <c r="AF89" i="24" s="1"/>
  <c r="AG89" i="24" s="1"/>
  <c r="AH89" i="24" s="1"/>
  <c r="AI89" i="24" s="1"/>
  <c r="AJ89" i="24" s="1"/>
  <c r="AK89" i="24" s="1"/>
  <c r="AL89" i="24" s="1"/>
  <c r="AM89" i="24" s="1"/>
  <c r="P3" i="24"/>
  <c r="Q1" i="24"/>
  <c r="P142" i="24"/>
  <c r="P96" i="24"/>
  <c r="P83" i="24"/>
  <c r="P4" i="24"/>
  <c r="Q2" i="24"/>
  <c r="O82" i="24"/>
  <c r="O164" i="24"/>
  <c r="O95" i="24"/>
  <c r="O32" i="24"/>
  <c r="O30" i="24" s="1"/>
  <c r="V84" i="24"/>
  <c r="O76" i="24"/>
  <c r="O99" i="24" s="1"/>
  <c r="AL309" i="24"/>
  <c r="Z309" i="24"/>
  <c r="AE309" i="24"/>
  <c r="S309" i="24"/>
  <c r="AD309" i="24"/>
  <c r="R309" i="24"/>
  <c r="AC309" i="24"/>
  <c r="Q309" i="24"/>
  <c r="AB309" i="24"/>
  <c r="P309" i="24"/>
  <c r="AI309" i="24"/>
  <c r="AH309" i="24"/>
  <c r="AG309" i="24"/>
  <c r="AF309" i="24"/>
  <c r="AA309" i="24"/>
  <c r="Y309" i="24"/>
  <c r="X309" i="24"/>
  <c r="W309" i="24"/>
  <c r="V309" i="24"/>
  <c r="AM309" i="24"/>
  <c r="U309" i="24"/>
  <c r="AK309" i="24"/>
  <c r="T309" i="24"/>
  <c r="AJ309" i="24"/>
  <c r="O309" i="24"/>
  <c r="L32" i="20"/>
  <c r="K38" i="20" s="1"/>
  <c r="Q3" i="20"/>
  <c r="R1" i="20"/>
  <c r="L30" i="20"/>
  <c r="U84" i="20"/>
  <c r="T92" i="20"/>
  <c r="Q2" i="20"/>
  <c r="P41" i="20"/>
  <c r="P152" i="20" s="1"/>
  <c r="P152" i="33" s="1"/>
  <c r="S92" i="20"/>
  <c r="T93" i="20" s="1"/>
  <c r="O164" i="20"/>
  <c r="O82" i="20"/>
  <c r="O141" i="20"/>
  <c r="O95" i="20"/>
  <c r="P141" i="20"/>
  <c r="P78" i="20"/>
  <c r="AK309" i="20"/>
  <c r="Y309" i="20"/>
  <c r="AF309" i="20"/>
  <c r="T309" i="20"/>
  <c r="AE309" i="20"/>
  <c r="S309" i="20"/>
  <c r="AD309" i="20"/>
  <c r="R309" i="20"/>
  <c r="AC309" i="20"/>
  <c r="Q309" i="20"/>
  <c r="AM309" i="20"/>
  <c r="U309" i="20"/>
  <c r="AI309" i="20"/>
  <c r="AH309" i="20"/>
  <c r="AG309" i="20"/>
  <c r="AB309" i="20"/>
  <c r="AA309" i="20"/>
  <c r="X309" i="20"/>
  <c r="O12" i="32" l="1"/>
  <c r="P12" i="31"/>
  <c r="D9" i="18"/>
  <c r="O30" i="33"/>
  <c r="O99" i="20"/>
  <c r="O76" i="33"/>
  <c r="T93" i="32"/>
  <c r="U85" i="27"/>
  <c r="T93" i="24"/>
  <c r="U93" i="24" s="1"/>
  <c r="V93" i="24" s="1"/>
  <c r="W85" i="31"/>
  <c r="U92" i="31"/>
  <c r="V93" i="31" s="1"/>
  <c r="V84" i="31"/>
  <c r="V85" i="24"/>
  <c r="W85" i="24" s="1"/>
  <c r="X85" i="24" s="1"/>
  <c r="U93" i="20"/>
  <c r="P95" i="20"/>
  <c r="P163" i="20"/>
  <c r="P167" i="20"/>
  <c r="O32" i="33"/>
  <c r="L34" i="33"/>
  <c r="AD214" i="33"/>
  <c r="R214" i="33"/>
  <c r="AC214" i="33"/>
  <c r="Q214" i="33"/>
  <c r="Z214" i="33"/>
  <c r="Y214" i="33"/>
  <c r="AJ214" i="33"/>
  <c r="W214" i="33"/>
  <c r="V214" i="33"/>
  <c r="U214" i="33"/>
  <c r="T214" i="33"/>
  <c r="AE214" i="33"/>
  <c r="AB214" i="33"/>
  <c r="P214" i="33"/>
  <c r="AM214" i="33"/>
  <c r="AA214" i="33"/>
  <c r="AL214" i="33"/>
  <c r="AK214" i="33"/>
  <c r="X214" i="33"/>
  <c r="AI214" i="33"/>
  <c r="AH214" i="33"/>
  <c r="AG214" i="33"/>
  <c r="AF214" i="33"/>
  <c r="S214" i="33"/>
  <c r="U1" i="33"/>
  <c r="T3" i="33"/>
  <c r="R77" i="33"/>
  <c r="O227" i="33"/>
  <c r="O231" i="33"/>
  <c r="O223" i="33"/>
  <c r="X92" i="33"/>
  <c r="Y93" i="33" s="1"/>
  <c r="Y84" i="33"/>
  <c r="T142" i="33"/>
  <c r="T4" i="33"/>
  <c r="T83" i="33"/>
  <c r="T96" i="33"/>
  <c r="U2" i="33"/>
  <c r="S95" i="33"/>
  <c r="S82" i="33"/>
  <c r="S78" i="33"/>
  <c r="S141" i="33"/>
  <c r="P76" i="20"/>
  <c r="L309" i="27"/>
  <c r="E319" i="27" s="1"/>
  <c r="I163" i="32"/>
  <c r="O163" i="32" s="1"/>
  <c r="O279" i="32" s="1"/>
  <c r="K9" i="18"/>
  <c r="I163" i="31"/>
  <c r="O163" i="31" s="1"/>
  <c r="O279" i="31" s="1"/>
  <c r="J9" i="18"/>
  <c r="I163" i="27"/>
  <c r="O163" i="27" s="1"/>
  <c r="I9" i="18"/>
  <c r="I163" i="20"/>
  <c r="O163" i="20" s="1"/>
  <c r="O279" i="20" s="1"/>
  <c r="G9" i="18"/>
  <c r="K34" i="31"/>
  <c r="K34" i="32"/>
  <c r="K35" i="31"/>
  <c r="K35" i="32"/>
  <c r="K36" i="32"/>
  <c r="K37" i="32"/>
  <c r="R3" i="32"/>
  <c r="S1" i="32"/>
  <c r="Q167" i="32"/>
  <c r="Q163" i="32"/>
  <c r="Q141" i="32"/>
  <c r="Q95" i="32"/>
  <c r="Q78" i="32"/>
  <c r="Q82" i="32"/>
  <c r="O358" i="32"/>
  <c r="O308" i="32"/>
  <c r="O143" i="32"/>
  <c r="O123" i="32"/>
  <c r="O62" i="32"/>
  <c r="T92" i="32"/>
  <c r="U93" i="32" s="1"/>
  <c r="U84" i="32"/>
  <c r="V85" i="32" s="1"/>
  <c r="L309" i="32"/>
  <c r="E319" i="32" s="1"/>
  <c r="R142" i="32"/>
  <c r="R96" i="32"/>
  <c r="R83" i="32"/>
  <c r="R4" i="32"/>
  <c r="S2" i="32"/>
  <c r="P99" i="32"/>
  <c r="P75" i="32"/>
  <c r="P22" i="32" s="1"/>
  <c r="P14" i="32" s="1"/>
  <c r="P77" i="32"/>
  <c r="K36" i="31"/>
  <c r="K37" i="31"/>
  <c r="P308" i="31"/>
  <c r="P311" i="31" s="1"/>
  <c r="P358" i="31"/>
  <c r="P143" i="31"/>
  <c r="P123" i="31"/>
  <c r="P122" i="31" s="1"/>
  <c r="P62" i="31"/>
  <c r="L309" i="31"/>
  <c r="E319" i="31" s="1"/>
  <c r="Q142" i="31"/>
  <c r="Q96" i="31"/>
  <c r="Q4" i="31"/>
  <c r="Q83" i="31"/>
  <c r="R2" i="31"/>
  <c r="P77" i="31"/>
  <c r="O75" i="31"/>
  <c r="O22" i="31" s="1"/>
  <c r="O14" i="31" s="1"/>
  <c r="R141" i="31"/>
  <c r="R167" i="31"/>
  <c r="R78" i="31"/>
  <c r="R163" i="31"/>
  <c r="R82" i="31"/>
  <c r="R95" i="31"/>
  <c r="P99" i="31"/>
  <c r="Q167" i="31"/>
  <c r="Q141" i="31"/>
  <c r="Q78" i="31"/>
  <c r="Q163" i="31"/>
  <c r="Q95" i="31"/>
  <c r="Q82" i="31"/>
  <c r="S3" i="31"/>
  <c r="T1" i="31"/>
  <c r="K38" i="27"/>
  <c r="K34" i="27"/>
  <c r="T92" i="27"/>
  <c r="U93" i="27" s="1"/>
  <c r="U84" i="27"/>
  <c r="P163" i="27"/>
  <c r="P141" i="27"/>
  <c r="P167" i="27"/>
  <c r="P95" i="27"/>
  <c r="P78" i="27"/>
  <c r="P82" i="27"/>
  <c r="O99" i="27"/>
  <c r="O75" i="27"/>
  <c r="O22" i="27" s="1"/>
  <c r="O14" i="27" s="1"/>
  <c r="Q142" i="27"/>
  <c r="Q96" i="27"/>
  <c r="Q83" i="27"/>
  <c r="Q4" i="27"/>
  <c r="R2" i="27"/>
  <c r="K37" i="27"/>
  <c r="K36" i="27"/>
  <c r="Q3" i="27"/>
  <c r="R1" i="27"/>
  <c r="K36" i="24"/>
  <c r="K35" i="24"/>
  <c r="O75" i="24"/>
  <c r="O22" i="24" s="1"/>
  <c r="O14" i="24" s="1"/>
  <c r="K38" i="24"/>
  <c r="L30" i="24"/>
  <c r="D18" i="18" s="1"/>
  <c r="Q3" i="24"/>
  <c r="R1" i="24"/>
  <c r="P82" i="24"/>
  <c r="P78" i="24"/>
  <c r="P167" i="24"/>
  <c r="P163" i="24"/>
  <c r="P95" i="24"/>
  <c r="P141" i="24"/>
  <c r="Q142" i="24"/>
  <c r="Q83" i="24"/>
  <c r="Q4" i="24"/>
  <c r="R2" i="24"/>
  <c r="Q96" i="24"/>
  <c r="L309" i="24"/>
  <c r="E319" i="24" s="1"/>
  <c r="K34" i="24"/>
  <c r="V92" i="24"/>
  <c r="W93" i="24" s="1"/>
  <c r="W84" i="24"/>
  <c r="K35" i="20"/>
  <c r="K36" i="20"/>
  <c r="K37" i="20"/>
  <c r="K34" i="20"/>
  <c r="V85" i="20"/>
  <c r="S1" i="20"/>
  <c r="R3" i="20"/>
  <c r="Q142" i="20"/>
  <c r="Q83" i="20"/>
  <c r="R2" i="20"/>
  <c r="Q96" i="20"/>
  <c r="Q4" i="20"/>
  <c r="Q141" i="20"/>
  <c r="Q167" i="20"/>
  <c r="Q163" i="20"/>
  <c r="Q95" i="20"/>
  <c r="Q82" i="20"/>
  <c r="Q78" i="20"/>
  <c r="U92" i="20"/>
  <c r="V84" i="20"/>
  <c r="O75" i="20"/>
  <c r="O22" i="20" s="1"/>
  <c r="O14" i="20" s="1"/>
  <c r="L309" i="20"/>
  <c r="E319" i="20" s="1"/>
  <c r="P77" i="20"/>
  <c r="O135" i="2"/>
  <c r="P214" i="32" l="1"/>
  <c r="P12" i="32"/>
  <c r="O214" i="31"/>
  <c r="O12" i="31"/>
  <c r="O214" i="27"/>
  <c r="O12" i="27"/>
  <c r="O214" i="24"/>
  <c r="O12" i="24"/>
  <c r="O12" i="20"/>
  <c r="O214" i="20"/>
  <c r="O22" i="33"/>
  <c r="O99" i="33"/>
  <c r="O75" i="33"/>
  <c r="P99" i="20"/>
  <c r="V85" i="27"/>
  <c r="V93" i="20"/>
  <c r="W84" i="31"/>
  <c r="V92" i="31"/>
  <c r="W93" i="31" s="1"/>
  <c r="X85" i="31"/>
  <c r="W85" i="20"/>
  <c r="X85" i="20" s="1"/>
  <c r="P75" i="20"/>
  <c r="P22" i="20" s="1"/>
  <c r="P14" i="20" s="1"/>
  <c r="L32" i="33"/>
  <c r="K34" i="33" s="1"/>
  <c r="L14" i="33"/>
  <c r="O214" i="33"/>
  <c r="S77" i="33"/>
  <c r="Z84" i="33"/>
  <c r="Y92" i="33"/>
  <c r="Z93" i="33" s="1"/>
  <c r="U142" i="33"/>
  <c r="U83" i="33"/>
  <c r="V2" i="33"/>
  <c r="U96" i="33"/>
  <c r="U4" i="33"/>
  <c r="T78" i="33"/>
  <c r="T82" i="33"/>
  <c r="T141" i="33"/>
  <c r="T95" i="33"/>
  <c r="U3" i="33"/>
  <c r="V1" i="33"/>
  <c r="Z85" i="33"/>
  <c r="O165" i="32"/>
  <c r="O354" i="32" s="1"/>
  <c r="I164" i="20"/>
  <c r="P164" i="20" s="1"/>
  <c r="P165" i="20" s="1"/>
  <c r="P354" i="20" s="1"/>
  <c r="I164" i="27"/>
  <c r="P164" i="27" s="1"/>
  <c r="P279" i="27" s="1"/>
  <c r="I167" i="27"/>
  <c r="O167" i="27" s="1"/>
  <c r="I164" i="32"/>
  <c r="P164" i="32" s="1"/>
  <c r="P279" i="32" s="1"/>
  <c r="I167" i="32"/>
  <c r="O167" i="32" s="1"/>
  <c r="I164" i="31"/>
  <c r="P164" i="31" s="1"/>
  <c r="P279" i="31" s="1"/>
  <c r="O165" i="31"/>
  <c r="O166" i="31" s="1"/>
  <c r="I167" i="31"/>
  <c r="O167" i="31" s="1"/>
  <c r="I163" i="24"/>
  <c r="I167" i="24" s="1"/>
  <c r="O167" i="24" s="1"/>
  <c r="H9" i="18"/>
  <c r="I167" i="20"/>
  <c r="O167" i="20" s="1"/>
  <c r="O165" i="20"/>
  <c r="O354" i="20" s="1"/>
  <c r="S142" i="32"/>
  <c r="S96" i="32"/>
  <c r="S83" i="32"/>
  <c r="S4" i="32"/>
  <c r="T2" i="32"/>
  <c r="O63" i="32"/>
  <c r="O122" i="32"/>
  <c r="Q77" i="32"/>
  <c r="Q76" i="32"/>
  <c r="O220" i="32"/>
  <c r="O311" i="32"/>
  <c r="O310" i="32"/>
  <c r="S3" i="32"/>
  <c r="T1" i="32"/>
  <c r="U92" i="32"/>
  <c r="V93" i="32" s="1"/>
  <c r="V84" i="32"/>
  <c r="R141" i="32"/>
  <c r="R82" i="32"/>
  <c r="R167" i="32"/>
  <c r="R163" i="32"/>
  <c r="R78" i="32"/>
  <c r="R95" i="32"/>
  <c r="P308" i="32"/>
  <c r="P143" i="32"/>
  <c r="P358" i="32"/>
  <c r="P123" i="32"/>
  <c r="P62" i="32"/>
  <c r="S167" i="31"/>
  <c r="S163" i="31"/>
  <c r="S141" i="31"/>
  <c r="S82" i="31"/>
  <c r="S78" i="31"/>
  <c r="S95" i="31"/>
  <c r="T3" i="31"/>
  <c r="U1" i="31"/>
  <c r="Q77" i="31"/>
  <c r="Q76" i="31"/>
  <c r="R77" i="31"/>
  <c r="R76" i="31"/>
  <c r="P67" i="31"/>
  <c r="P63" i="31"/>
  <c r="P68" i="31" s="1"/>
  <c r="O358" i="31"/>
  <c r="O308" i="31"/>
  <c r="O123" i="31"/>
  <c r="O143" i="31"/>
  <c r="O62" i="31"/>
  <c r="R142" i="31"/>
  <c r="R83" i="31"/>
  <c r="S2" i="31"/>
  <c r="R96" i="31"/>
  <c r="R4" i="31"/>
  <c r="P237" i="31"/>
  <c r="P213" i="31"/>
  <c r="P261" i="31"/>
  <c r="P310" i="31"/>
  <c r="P220" i="31"/>
  <c r="Q163" i="27"/>
  <c r="Q141" i="27"/>
  <c r="Q167" i="27"/>
  <c r="Q95" i="27"/>
  <c r="Q78" i="27"/>
  <c r="Q82" i="27"/>
  <c r="R142" i="27"/>
  <c r="R96" i="27"/>
  <c r="R4" i="27"/>
  <c r="S2" i="27"/>
  <c r="R83" i="27"/>
  <c r="O358" i="27"/>
  <c r="O308" i="27"/>
  <c r="O143" i="27"/>
  <c r="O123" i="27"/>
  <c r="O62" i="27"/>
  <c r="P77" i="27"/>
  <c r="P76" i="27"/>
  <c r="O279" i="27"/>
  <c r="O165" i="27"/>
  <c r="R3" i="27"/>
  <c r="S1" i="27"/>
  <c r="U92" i="27"/>
  <c r="V93" i="27" s="1"/>
  <c r="V84" i="27"/>
  <c r="W85" i="27" s="1"/>
  <c r="Q78" i="24"/>
  <c r="Q167" i="24"/>
  <c r="Q163" i="24"/>
  <c r="Q95" i="24"/>
  <c r="Q82" i="24"/>
  <c r="Q141" i="24"/>
  <c r="R3" i="24"/>
  <c r="S1" i="24"/>
  <c r="R142" i="24"/>
  <c r="R96" i="24"/>
  <c r="R4" i="24"/>
  <c r="S2" i="24"/>
  <c r="R83" i="24"/>
  <c r="P77" i="24"/>
  <c r="P76" i="24"/>
  <c r="X93" i="24"/>
  <c r="O358" i="24"/>
  <c r="O308" i="24"/>
  <c r="O143" i="24"/>
  <c r="O123" i="24"/>
  <c r="O62" i="24"/>
  <c r="W92" i="24"/>
  <c r="X84" i="24"/>
  <c r="O358" i="20"/>
  <c r="O308" i="20"/>
  <c r="O143" i="20"/>
  <c r="O123" i="20"/>
  <c r="O62" i="20"/>
  <c r="S3" i="20"/>
  <c r="T1" i="20"/>
  <c r="Q77" i="20"/>
  <c r="Q76" i="20"/>
  <c r="R141" i="20"/>
  <c r="R167" i="20"/>
  <c r="R163" i="20"/>
  <c r="R95" i="20"/>
  <c r="R82" i="20"/>
  <c r="R78" i="20"/>
  <c r="R142" i="20"/>
  <c r="R83" i="20"/>
  <c r="R4" i="20"/>
  <c r="S2" i="20"/>
  <c r="R96" i="20"/>
  <c r="V92" i="20"/>
  <c r="W93" i="20" s="1"/>
  <c r="W84" i="20"/>
  <c r="D25" i="18"/>
  <c r="K19" i="18"/>
  <c r="I19" i="18"/>
  <c r="H19" i="18"/>
  <c r="G19" i="18"/>
  <c r="P12" i="20" l="1"/>
  <c r="P214" i="20"/>
  <c r="O12" i="33"/>
  <c r="O212" i="33" s="1"/>
  <c r="P76" i="33"/>
  <c r="O123" i="33"/>
  <c r="O62" i="33"/>
  <c r="O143" i="33"/>
  <c r="P122" i="32"/>
  <c r="W92" i="31"/>
  <c r="X93" i="31" s="1"/>
  <c r="X84" i="31"/>
  <c r="P308" i="20"/>
  <c r="P311" i="20" s="1"/>
  <c r="P62" i="20"/>
  <c r="P123" i="20"/>
  <c r="P143" i="20"/>
  <c r="P358" i="20"/>
  <c r="AA85" i="33"/>
  <c r="K35" i="33"/>
  <c r="K38" i="33"/>
  <c r="K37" i="33"/>
  <c r="K36" i="33"/>
  <c r="K39" i="33"/>
  <c r="K20" i="33"/>
  <c r="K16" i="33"/>
  <c r="K19" i="33"/>
  <c r="K17" i="33"/>
  <c r="K18" i="33"/>
  <c r="V142" i="33"/>
  <c r="V96" i="33"/>
  <c r="V4" i="33"/>
  <c r="W2" i="33"/>
  <c r="V83" i="33"/>
  <c r="T77" i="33"/>
  <c r="U141" i="33"/>
  <c r="U78" i="33"/>
  <c r="U82" i="33"/>
  <c r="U95" i="33"/>
  <c r="V3" i="33"/>
  <c r="W1" i="33"/>
  <c r="Z92" i="33"/>
  <c r="AA93" i="33" s="1"/>
  <c r="AA84" i="33"/>
  <c r="P70" i="31"/>
  <c r="P111" i="31" s="1"/>
  <c r="P166" i="20"/>
  <c r="P162" i="20" s="1"/>
  <c r="O166" i="32"/>
  <c r="O162" i="32" s="1"/>
  <c r="R164" i="20"/>
  <c r="P279" i="20"/>
  <c r="Q164" i="20"/>
  <c r="Q165" i="20" s="1"/>
  <c r="Q166" i="20" s="1"/>
  <c r="Q162" i="20" s="1"/>
  <c r="Q164" i="32"/>
  <c r="Q279" i="32" s="1"/>
  <c r="P165" i="32"/>
  <c r="P354" i="32" s="1"/>
  <c r="R164" i="32"/>
  <c r="P165" i="27"/>
  <c r="P354" i="27" s="1"/>
  <c r="O354" i="31"/>
  <c r="Q164" i="27"/>
  <c r="Q279" i="27" s="1"/>
  <c r="R164" i="31"/>
  <c r="O162" i="31"/>
  <c r="Q164" i="31"/>
  <c r="Q165" i="31" s="1"/>
  <c r="Q166" i="31" s="1"/>
  <c r="Q162" i="31" s="1"/>
  <c r="P165" i="31"/>
  <c r="P166" i="31" s="1"/>
  <c r="P162" i="31" s="1"/>
  <c r="S164" i="31"/>
  <c r="O163" i="24"/>
  <c r="O165" i="24" s="1"/>
  <c r="I164" i="24"/>
  <c r="P164" i="24" s="1"/>
  <c r="O166" i="20"/>
  <c r="O162" i="20" s="1"/>
  <c r="P220" i="32"/>
  <c r="R77" i="32"/>
  <c r="R76" i="32"/>
  <c r="T3" i="32"/>
  <c r="U1" i="32"/>
  <c r="O213" i="32"/>
  <c r="O237" i="32"/>
  <c r="O261" i="32"/>
  <c r="P311" i="32"/>
  <c r="P310" i="32"/>
  <c r="S167" i="32"/>
  <c r="S78" i="32"/>
  <c r="S163" i="32"/>
  <c r="S141" i="32"/>
  <c r="S95" i="32"/>
  <c r="S82" i="32"/>
  <c r="S164" i="32"/>
  <c r="V92" i="32"/>
  <c r="W93" i="32" s="1"/>
  <c r="W84" i="32"/>
  <c r="O68" i="32"/>
  <c r="Q99" i="32"/>
  <c r="Q75" i="32"/>
  <c r="Q22" i="32" s="1"/>
  <c r="Q14" i="32" s="1"/>
  <c r="O227" i="32"/>
  <c r="O226" i="32" s="1"/>
  <c r="O231" i="32"/>
  <c r="O230" i="32" s="1"/>
  <c r="O223" i="32"/>
  <c r="O222" i="32" s="1"/>
  <c r="T142" i="32"/>
  <c r="T96" i="32"/>
  <c r="T83" i="32"/>
  <c r="T4" i="32"/>
  <c r="U2" i="32"/>
  <c r="P67" i="32"/>
  <c r="P63" i="32"/>
  <c r="W85" i="32"/>
  <c r="P212" i="31"/>
  <c r="P211" i="31"/>
  <c r="R75" i="31"/>
  <c r="R22" i="31" s="1"/>
  <c r="R14" i="31" s="1"/>
  <c r="R99" i="31"/>
  <c r="O122" i="31"/>
  <c r="U3" i="31"/>
  <c r="V1" i="31"/>
  <c r="O63" i="31"/>
  <c r="T164" i="31"/>
  <c r="T163" i="31"/>
  <c r="T141" i="31"/>
  <c r="T167" i="31"/>
  <c r="T82" i="31"/>
  <c r="T95" i="31"/>
  <c r="T78" i="31"/>
  <c r="O220" i="31"/>
  <c r="P101" i="31"/>
  <c r="O311" i="31"/>
  <c r="O310" i="31"/>
  <c r="S142" i="31"/>
  <c r="S96" i="31"/>
  <c r="S83" i="31"/>
  <c r="T2" i="31"/>
  <c r="S4" i="31"/>
  <c r="S77" i="31"/>
  <c r="S76" i="31"/>
  <c r="Q75" i="31"/>
  <c r="Q22" i="31" s="1"/>
  <c r="Q14" i="31" s="1"/>
  <c r="Q99" i="31"/>
  <c r="P223" i="31"/>
  <c r="P222" i="31" s="1"/>
  <c r="P231" i="31"/>
  <c r="P230" i="31" s="1"/>
  <c r="P227" i="31"/>
  <c r="P226" i="31" s="1"/>
  <c r="S3" i="27"/>
  <c r="T1" i="27"/>
  <c r="O122" i="27"/>
  <c r="R163" i="27"/>
  <c r="R141" i="27"/>
  <c r="R167" i="27"/>
  <c r="R164" i="27"/>
  <c r="R95" i="27"/>
  <c r="R78" i="27"/>
  <c r="R82" i="27"/>
  <c r="O220" i="27"/>
  <c r="O311" i="27"/>
  <c r="O310" i="27"/>
  <c r="S96" i="27"/>
  <c r="S142" i="27"/>
  <c r="S4" i="27"/>
  <c r="T2" i="27"/>
  <c r="S83" i="27"/>
  <c r="W84" i="27"/>
  <c r="X85" i="27" s="1"/>
  <c r="V92" i="27"/>
  <c r="W93" i="27" s="1"/>
  <c r="O63" i="27"/>
  <c r="O354" i="27"/>
  <c r="O166" i="27"/>
  <c r="P99" i="27"/>
  <c r="P75" i="27"/>
  <c r="P22" i="27" s="1"/>
  <c r="P14" i="27" s="1"/>
  <c r="Q77" i="27"/>
  <c r="Q76" i="27"/>
  <c r="S142" i="24"/>
  <c r="S96" i="24"/>
  <c r="S4" i="24"/>
  <c r="T2" i="24"/>
  <c r="S83" i="24"/>
  <c r="X92" i="24"/>
  <c r="Y93" i="24" s="1"/>
  <c r="Y84" i="24"/>
  <c r="O63" i="24"/>
  <c r="O122" i="24"/>
  <c r="Q77" i="24"/>
  <c r="Q76" i="24"/>
  <c r="Y85" i="24"/>
  <c r="Z85" i="24" s="1"/>
  <c r="O220" i="24"/>
  <c r="P75" i="24"/>
  <c r="P99" i="24"/>
  <c r="S3" i="24"/>
  <c r="T1" i="24"/>
  <c r="O311" i="24"/>
  <c r="O310" i="24"/>
  <c r="R167" i="24"/>
  <c r="R163" i="24"/>
  <c r="R141" i="24"/>
  <c r="R82" i="24"/>
  <c r="R78" i="24"/>
  <c r="R95" i="24"/>
  <c r="R77" i="20"/>
  <c r="R76" i="20"/>
  <c r="X84" i="20"/>
  <c r="W92" i="20"/>
  <c r="X93" i="20" s="1"/>
  <c r="O63" i="20"/>
  <c r="Q75" i="20"/>
  <c r="Q22" i="20" s="1"/>
  <c r="Q14" i="20" s="1"/>
  <c r="Q99" i="20"/>
  <c r="O122" i="20"/>
  <c r="O220" i="20"/>
  <c r="O311" i="20"/>
  <c r="O310" i="20"/>
  <c r="S142" i="20"/>
  <c r="S96" i="20"/>
  <c r="T2" i="20"/>
  <c r="S83" i="20"/>
  <c r="S4" i="20"/>
  <c r="U1" i="20"/>
  <c r="T3" i="20"/>
  <c r="S167" i="20"/>
  <c r="S163" i="20"/>
  <c r="S141" i="20"/>
  <c r="S95" i="20"/>
  <c r="S82" i="20"/>
  <c r="S164" i="20"/>
  <c r="S78" i="20"/>
  <c r="Q214" i="32" l="1"/>
  <c r="Q12" i="32"/>
  <c r="Q214" i="31"/>
  <c r="Q12" i="31"/>
  <c r="R214" i="31"/>
  <c r="R12" i="31"/>
  <c r="P214" i="27"/>
  <c r="P12" i="27"/>
  <c r="Q214" i="20"/>
  <c r="Q12" i="20"/>
  <c r="P99" i="33"/>
  <c r="P75" i="33"/>
  <c r="P333" i="33" s="1"/>
  <c r="P22" i="24"/>
  <c r="P14" i="24" s="1"/>
  <c r="Q76" i="33"/>
  <c r="O63" i="33"/>
  <c r="O122" i="33"/>
  <c r="P220" i="20"/>
  <c r="P227" i="20" s="1"/>
  <c r="P226" i="20" s="1"/>
  <c r="P122" i="20"/>
  <c r="P213" i="32"/>
  <c r="P212" i="32" s="1"/>
  <c r="P261" i="32"/>
  <c r="P237" i="32"/>
  <c r="P68" i="32"/>
  <c r="P70" i="32" s="1"/>
  <c r="P310" i="20"/>
  <c r="Y84" i="31"/>
  <c r="X92" i="31"/>
  <c r="Y93" i="31" s="1"/>
  <c r="Y85" i="31"/>
  <c r="Z85" i="31" s="1"/>
  <c r="P67" i="20"/>
  <c r="O333" i="33"/>
  <c r="M4" i="35"/>
  <c r="L4" i="35"/>
  <c r="N4" i="35"/>
  <c r="K4" i="35"/>
  <c r="P63" i="20"/>
  <c r="U77" i="33"/>
  <c r="W142" i="33"/>
  <c r="W83" i="33"/>
  <c r="X2" i="33"/>
  <c r="W96" i="33"/>
  <c r="W4" i="33"/>
  <c r="W3" i="33"/>
  <c r="X1" i="33"/>
  <c r="V141" i="33"/>
  <c r="V95" i="33"/>
  <c r="V82" i="33"/>
  <c r="V78" i="33"/>
  <c r="AA92" i="33"/>
  <c r="AB93" i="33" s="1"/>
  <c r="AB84" i="33"/>
  <c r="AB85" i="33"/>
  <c r="Q223" i="33"/>
  <c r="Q231" i="33"/>
  <c r="Q227" i="33"/>
  <c r="Q279" i="20"/>
  <c r="R279" i="20"/>
  <c r="R165" i="20"/>
  <c r="R354" i="20" s="1"/>
  <c r="Q354" i="20"/>
  <c r="R165" i="32"/>
  <c r="R166" i="32" s="1"/>
  <c r="R162" i="32" s="1"/>
  <c r="Q165" i="32"/>
  <c r="Q166" i="32" s="1"/>
  <c r="Q162" i="32" s="1"/>
  <c r="P166" i="32"/>
  <c r="P162" i="32" s="1"/>
  <c r="R279" i="32"/>
  <c r="P166" i="27"/>
  <c r="P162" i="27" s="1"/>
  <c r="Q165" i="27"/>
  <c r="Q354" i="27" s="1"/>
  <c r="P279" i="24"/>
  <c r="P279" i="33" s="1"/>
  <c r="P165" i="24"/>
  <c r="P166" i="24" s="1"/>
  <c r="P162" i="24" s="1"/>
  <c r="O279" i="24"/>
  <c r="O279" i="33" s="1"/>
  <c r="P354" i="31"/>
  <c r="Q279" i="31"/>
  <c r="S165" i="31"/>
  <c r="S354" i="31" s="1"/>
  <c r="S279" i="31"/>
  <c r="P207" i="31"/>
  <c r="P117" i="31" s="1"/>
  <c r="P146" i="31" s="1"/>
  <c r="R165" i="31"/>
  <c r="R354" i="31" s="1"/>
  <c r="R279" i="31"/>
  <c r="R164" i="24"/>
  <c r="Q164" i="24"/>
  <c r="Q279" i="24" s="1"/>
  <c r="S77" i="32"/>
  <c r="S76" i="32"/>
  <c r="X85" i="32"/>
  <c r="P101" i="32"/>
  <c r="S279" i="32"/>
  <c r="O211" i="32"/>
  <c r="O212" i="32"/>
  <c r="S165" i="32"/>
  <c r="Q308" i="32"/>
  <c r="Q358" i="32"/>
  <c r="Q143" i="32"/>
  <c r="Q62" i="32"/>
  <c r="Q123" i="32"/>
  <c r="P231" i="32"/>
  <c r="P230" i="32" s="1"/>
  <c r="P227" i="32"/>
  <c r="P226" i="32" s="1"/>
  <c r="P223" i="32"/>
  <c r="P222" i="32" s="1"/>
  <c r="W92" i="32"/>
  <c r="X84" i="32"/>
  <c r="T167" i="32"/>
  <c r="T163" i="32"/>
  <c r="T164" i="32"/>
  <c r="T141" i="32"/>
  <c r="T95" i="32"/>
  <c r="T82" i="32"/>
  <c r="T78" i="32"/>
  <c r="X93" i="32"/>
  <c r="U142" i="32"/>
  <c r="U96" i="32"/>
  <c r="U83" i="32"/>
  <c r="U4" i="32"/>
  <c r="V2" i="32"/>
  <c r="R75" i="32"/>
  <c r="R22" i="32" s="1"/>
  <c r="R14" i="32" s="1"/>
  <c r="R99" i="32"/>
  <c r="U3" i="32"/>
  <c r="V1" i="32"/>
  <c r="Q354" i="31"/>
  <c r="T165" i="31"/>
  <c r="T166" i="31" s="1"/>
  <c r="T162" i="31" s="1"/>
  <c r="T279" i="31"/>
  <c r="Q358" i="31"/>
  <c r="Q308" i="31"/>
  <c r="Q143" i="31"/>
  <c r="Q123" i="31"/>
  <c r="Q62" i="31"/>
  <c r="T83" i="31"/>
  <c r="T96" i="31"/>
  <c r="T4" i="31"/>
  <c r="U2" i="31"/>
  <c r="T142" i="31"/>
  <c r="S75" i="31"/>
  <c r="S22" i="31" s="1"/>
  <c r="S14" i="31" s="1"/>
  <c r="S99" i="31"/>
  <c r="O223" i="31"/>
  <c r="O222" i="31" s="1"/>
  <c r="O227" i="31"/>
  <c r="O226" i="31" s="1"/>
  <c r="O231" i="31"/>
  <c r="O230" i="31" s="1"/>
  <c r="O68" i="31"/>
  <c r="V3" i="31"/>
  <c r="W1" i="31"/>
  <c r="P209" i="31"/>
  <c r="P205" i="31"/>
  <c r="P103" i="31" s="1"/>
  <c r="U164" i="31"/>
  <c r="U163" i="31"/>
  <c r="U82" i="31"/>
  <c r="U167" i="31"/>
  <c r="U141" i="31"/>
  <c r="U95" i="31"/>
  <c r="U78" i="31"/>
  <c r="R358" i="31"/>
  <c r="R308" i="31"/>
  <c r="R143" i="31"/>
  <c r="R123" i="31"/>
  <c r="R122" i="31" s="1"/>
  <c r="R62" i="31"/>
  <c r="R63" i="31" s="1"/>
  <c r="R68" i="31" s="1"/>
  <c r="T77" i="31"/>
  <c r="T76" i="31"/>
  <c r="O237" i="31"/>
  <c r="O213" i="31"/>
  <c r="O261" i="31"/>
  <c r="O261" i="27"/>
  <c r="O237" i="27"/>
  <c r="O213" i="27"/>
  <c r="T142" i="27"/>
  <c r="T96" i="27"/>
  <c r="T4" i="27"/>
  <c r="U2" i="27"/>
  <c r="T83" i="27"/>
  <c r="Q99" i="27"/>
  <c r="Q75" i="27"/>
  <c r="Q22" i="27" s="1"/>
  <c r="Q14" i="27" s="1"/>
  <c r="O223" i="27"/>
  <c r="O222" i="27" s="1"/>
  <c r="O231" i="27"/>
  <c r="O230" i="27" s="1"/>
  <c r="O227" i="27"/>
  <c r="O226" i="27" s="1"/>
  <c r="X84" i="27"/>
  <c r="W92" i="27"/>
  <c r="X93" i="27" s="1"/>
  <c r="O68" i="27"/>
  <c r="R77" i="27"/>
  <c r="R76" i="27"/>
  <c r="T3" i="27"/>
  <c r="U1" i="27"/>
  <c r="R165" i="27"/>
  <c r="R279" i="27"/>
  <c r="P358" i="27"/>
  <c r="P308" i="27"/>
  <c r="P123" i="27"/>
  <c r="P62" i="27"/>
  <c r="P143" i="27"/>
  <c r="O162" i="27"/>
  <c r="S164" i="27"/>
  <c r="S163" i="27"/>
  <c r="S141" i="27"/>
  <c r="S95" i="27"/>
  <c r="S167" i="27"/>
  <c r="S78" i="27"/>
  <c r="S82" i="27"/>
  <c r="Z93" i="24"/>
  <c r="T142" i="24"/>
  <c r="T96" i="24"/>
  <c r="U2" i="24"/>
  <c r="T4" i="24"/>
  <c r="T83" i="24"/>
  <c r="O68" i="24"/>
  <c r="Q75" i="24"/>
  <c r="Q22" i="24" s="1"/>
  <c r="Q14" i="24" s="1"/>
  <c r="Q99" i="24"/>
  <c r="R77" i="24"/>
  <c r="R76" i="24"/>
  <c r="S164" i="24"/>
  <c r="S167" i="24"/>
  <c r="S163" i="24"/>
  <c r="S141" i="24"/>
  <c r="S95" i="24"/>
  <c r="S82" i="24"/>
  <c r="S78" i="24"/>
  <c r="T3" i="24"/>
  <c r="U1" i="24"/>
  <c r="Y92" i="24"/>
  <c r="Z84" i="24"/>
  <c r="O231" i="24"/>
  <c r="O230" i="24" s="1"/>
  <c r="O227" i="24"/>
  <c r="O226" i="24" s="1"/>
  <c r="O223" i="24"/>
  <c r="O222" i="24" s="1"/>
  <c r="O261" i="24"/>
  <c r="O213" i="24"/>
  <c r="O237" i="24"/>
  <c r="P308" i="24"/>
  <c r="P358" i="24"/>
  <c r="P123" i="24"/>
  <c r="P143" i="24"/>
  <c r="P62" i="24"/>
  <c r="O354" i="24"/>
  <c r="O166" i="24"/>
  <c r="O261" i="20"/>
  <c r="O213" i="20"/>
  <c r="O237" i="20"/>
  <c r="R75" i="20"/>
  <c r="R22" i="20" s="1"/>
  <c r="R14" i="20" s="1"/>
  <c r="R99" i="20"/>
  <c r="T163" i="20"/>
  <c r="T141" i="20"/>
  <c r="T167" i="20"/>
  <c r="T164" i="20"/>
  <c r="T82" i="20"/>
  <c r="T78" i="20"/>
  <c r="T95" i="20"/>
  <c r="T142" i="20"/>
  <c r="T96" i="20"/>
  <c r="T83" i="20"/>
  <c r="T4" i="20"/>
  <c r="U2" i="20"/>
  <c r="U3" i="20"/>
  <c r="V1" i="20"/>
  <c r="O231" i="20"/>
  <c r="O230" i="20" s="1"/>
  <c r="O227" i="20"/>
  <c r="O226" i="20" s="1"/>
  <c r="O223" i="20"/>
  <c r="O222" i="20" s="1"/>
  <c r="S279" i="20"/>
  <c r="Q308" i="20"/>
  <c r="Q143" i="20"/>
  <c r="Q358" i="20"/>
  <c r="Q62" i="20"/>
  <c r="Q123" i="20"/>
  <c r="O68" i="20"/>
  <c r="S165" i="20"/>
  <c r="X92" i="20"/>
  <c r="Y93" i="20" s="1"/>
  <c r="Y84" i="20"/>
  <c r="S77" i="20"/>
  <c r="S76" i="20"/>
  <c r="Y85" i="20"/>
  <c r="O12" i="5"/>
  <c r="D21" i="4"/>
  <c r="I44" i="4"/>
  <c r="I43" i="4"/>
  <c r="K43" i="4" s="1"/>
  <c r="K45" i="4" s="1"/>
  <c r="C6" i="4"/>
  <c r="C5" i="4"/>
  <c r="C4" i="4"/>
  <c r="KR2" i="4"/>
  <c r="KQ2" i="4"/>
  <c r="KP2" i="4"/>
  <c r="KO2" i="4"/>
  <c r="KN2" i="4"/>
  <c r="KM2" i="4"/>
  <c r="KL2" i="4"/>
  <c r="KK2" i="4"/>
  <c r="KJ2" i="4"/>
  <c r="KI2" i="4"/>
  <c r="KH2" i="4"/>
  <c r="KG2" i="4"/>
  <c r="KF2" i="4"/>
  <c r="KE2" i="4"/>
  <c r="KD2" i="4"/>
  <c r="KC2" i="4"/>
  <c r="KB2" i="4"/>
  <c r="KA2" i="4"/>
  <c r="JZ2" i="4"/>
  <c r="JY2" i="4"/>
  <c r="JX2" i="4"/>
  <c r="JW2" i="4"/>
  <c r="JV2" i="4"/>
  <c r="JU2" i="4"/>
  <c r="JT2" i="4"/>
  <c r="JS2" i="4"/>
  <c r="JR2" i="4"/>
  <c r="JQ2" i="4"/>
  <c r="JP2" i="4"/>
  <c r="JO2" i="4"/>
  <c r="JN2" i="4"/>
  <c r="JM2" i="4"/>
  <c r="JL2" i="4"/>
  <c r="JK2" i="4"/>
  <c r="JJ2" i="4"/>
  <c r="JI2" i="4"/>
  <c r="JH2" i="4"/>
  <c r="JG2" i="4"/>
  <c r="JF2" i="4"/>
  <c r="JE2" i="4"/>
  <c r="JD2" i="4"/>
  <c r="JC2" i="4"/>
  <c r="JB2" i="4"/>
  <c r="JA2" i="4"/>
  <c r="IZ2" i="4"/>
  <c r="IY2" i="4"/>
  <c r="IX2" i="4"/>
  <c r="IW2" i="4"/>
  <c r="IV2" i="4"/>
  <c r="IU2" i="4"/>
  <c r="IT2" i="4"/>
  <c r="IS2" i="4"/>
  <c r="IR2" i="4"/>
  <c r="IQ2" i="4"/>
  <c r="IP2" i="4"/>
  <c r="IO2" i="4"/>
  <c r="IN2" i="4"/>
  <c r="IM2" i="4"/>
  <c r="IL2" i="4"/>
  <c r="IK2" i="4"/>
  <c r="IJ2" i="4"/>
  <c r="II2" i="4"/>
  <c r="IH2" i="4"/>
  <c r="IG2" i="4"/>
  <c r="IF2" i="4"/>
  <c r="IE2" i="4"/>
  <c r="ID2" i="4"/>
  <c r="IC2" i="4"/>
  <c r="IB2" i="4"/>
  <c r="IA2" i="4"/>
  <c r="HZ2" i="4"/>
  <c r="HY2" i="4"/>
  <c r="HX2" i="4"/>
  <c r="HW2" i="4"/>
  <c r="HV2" i="4"/>
  <c r="HU2" i="4"/>
  <c r="HT2" i="4"/>
  <c r="HS2" i="4"/>
  <c r="HR2" i="4"/>
  <c r="HQ2" i="4"/>
  <c r="HP2" i="4"/>
  <c r="HO2" i="4"/>
  <c r="HN2" i="4"/>
  <c r="HM2" i="4"/>
  <c r="HL2" i="4"/>
  <c r="HK2" i="4"/>
  <c r="HJ2" i="4"/>
  <c r="HI2" i="4"/>
  <c r="HH2" i="4"/>
  <c r="HG2" i="4"/>
  <c r="HF2" i="4"/>
  <c r="HE2" i="4"/>
  <c r="HD2" i="4"/>
  <c r="HC2" i="4"/>
  <c r="HB2" i="4"/>
  <c r="HA2" i="4"/>
  <c r="GZ2" i="4"/>
  <c r="GY2" i="4"/>
  <c r="GX2" i="4"/>
  <c r="GW2" i="4"/>
  <c r="GV2" i="4"/>
  <c r="GU2" i="4"/>
  <c r="GT2" i="4"/>
  <c r="GS2" i="4"/>
  <c r="GR2" i="4"/>
  <c r="GQ2" i="4"/>
  <c r="GP2" i="4"/>
  <c r="GO2" i="4"/>
  <c r="GN2" i="4"/>
  <c r="GM2" i="4"/>
  <c r="GL2" i="4"/>
  <c r="GK2" i="4"/>
  <c r="GJ2" i="4"/>
  <c r="GI2" i="4"/>
  <c r="GH2" i="4"/>
  <c r="GG2" i="4"/>
  <c r="GF2" i="4"/>
  <c r="GE2" i="4"/>
  <c r="GD2" i="4"/>
  <c r="GC2" i="4"/>
  <c r="GB2" i="4"/>
  <c r="GA2" i="4"/>
  <c r="FZ2" i="4"/>
  <c r="FY2" i="4"/>
  <c r="FX2" i="4"/>
  <c r="FW2" i="4"/>
  <c r="FV2" i="4"/>
  <c r="FU2" i="4"/>
  <c r="FT2" i="4"/>
  <c r="FS2" i="4"/>
  <c r="FR2" i="4"/>
  <c r="FQ2" i="4"/>
  <c r="FP2" i="4"/>
  <c r="FO2" i="4"/>
  <c r="FN2" i="4"/>
  <c r="FM2" i="4"/>
  <c r="FL2" i="4"/>
  <c r="FK2" i="4"/>
  <c r="FJ2" i="4"/>
  <c r="FI2" i="4"/>
  <c r="FH2" i="4"/>
  <c r="FG2" i="4"/>
  <c r="FF2" i="4"/>
  <c r="FE2" i="4"/>
  <c r="FD2" i="4"/>
  <c r="FC2" i="4"/>
  <c r="FB2" i="4"/>
  <c r="FA2" i="4"/>
  <c r="EZ2" i="4"/>
  <c r="EY2" i="4"/>
  <c r="EX2" i="4"/>
  <c r="EW2" i="4"/>
  <c r="EV2" i="4"/>
  <c r="EU2" i="4"/>
  <c r="ET2" i="4"/>
  <c r="ES2" i="4"/>
  <c r="ER2" i="4"/>
  <c r="EQ2" i="4"/>
  <c r="EP2" i="4"/>
  <c r="EO2" i="4"/>
  <c r="EN2" i="4"/>
  <c r="EM2" i="4"/>
  <c r="EL2" i="4"/>
  <c r="EK2" i="4"/>
  <c r="EJ2" i="4"/>
  <c r="EI2" i="4"/>
  <c r="EH2" i="4"/>
  <c r="EG2" i="4"/>
  <c r="EF2" i="4"/>
  <c r="EE2" i="4"/>
  <c r="ED2" i="4"/>
  <c r="EC2" i="4"/>
  <c r="EB2" i="4"/>
  <c r="EA2" i="4"/>
  <c r="DZ2" i="4"/>
  <c r="DY2" i="4"/>
  <c r="DX2" i="4"/>
  <c r="DW2" i="4"/>
  <c r="DV2" i="4"/>
  <c r="DU2" i="4"/>
  <c r="DT2" i="4"/>
  <c r="DS2" i="4"/>
  <c r="DR2" i="4"/>
  <c r="DQ2" i="4"/>
  <c r="DP2" i="4"/>
  <c r="DO2" i="4"/>
  <c r="DN2" i="4"/>
  <c r="DM2" i="4"/>
  <c r="DL2" i="4"/>
  <c r="DK2" i="4"/>
  <c r="DJ2" i="4"/>
  <c r="DI2" i="4"/>
  <c r="DH2" i="4"/>
  <c r="DG2" i="4"/>
  <c r="DF2" i="4"/>
  <c r="DE2" i="4"/>
  <c r="DD2" i="4"/>
  <c r="DC2" i="4"/>
  <c r="DB2" i="4"/>
  <c r="DA2" i="4"/>
  <c r="CZ2" i="4"/>
  <c r="CY2" i="4"/>
  <c r="CX2" i="4"/>
  <c r="CW2" i="4"/>
  <c r="CV2" i="4"/>
  <c r="CU2" i="4"/>
  <c r="CT2" i="4"/>
  <c r="CS2" i="4"/>
  <c r="CR2" i="4"/>
  <c r="CQ2" i="4"/>
  <c r="CP2" i="4"/>
  <c r="CO2" i="4"/>
  <c r="CN2" i="4"/>
  <c r="CM2" i="4"/>
  <c r="CL2" i="4"/>
  <c r="CK2" i="4"/>
  <c r="CJ2" i="4"/>
  <c r="CI2" i="4"/>
  <c r="CH2" i="4"/>
  <c r="CG2" i="4"/>
  <c r="CF2" i="4"/>
  <c r="CE2" i="4"/>
  <c r="CD2" i="4"/>
  <c r="CC2" i="4"/>
  <c r="CB2" i="4"/>
  <c r="CA2" i="4"/>
  <c r="BZ2" i="4"/>
  <c r="BY2" i="4"/>
  <c r="BX2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R214" i="32" l="1"/>
  <c r="R12" i="32"/>
  <c r="S214" i="31"/>
  <c r="S12" i="31"/>
  <c r="Q214" i="27"/>
  <c r="Q12" i="27"/>
  <c r="P214" i="24"/>
  <c r="P12" i="24"/>
  <c r="Q214" i="24"/>
  <c r="Q12" i="24"/>
  <c r="R214" i="20"/>
  <c r="R12" i="20"/>
  <c r="Q22" i="33"/>
  <c r="P22" i="33"/>
  <c r="P143" i="33"/>
  <c r="R76" i="33"/>
  <c r="P62" i="33"/>
  <c r="Q99" i="33"/>
  <c r="Q75" i="33"/>
  <c r="Q333" i="33" s="1"/>
  <c r="P123" i="33"/>
  <c r="P231" i="20"/>
  <c r="P230" i="20" s="1"/>
  <c r="P207" i="20" s="1"/>
  <c r="P223" i="20"/>
  <c r="P222" i="20" s="1"/>
  <c r="O68" i="33"/>
  <c r="O222" i="33"/>
  <c r="Q279" i="33"/>
  <c r="O226" i="33"/>
  <c r="O230" i="33"/>
  <c r="P68" i="20"/>
  <c r="P213" i="20"/>
  <c r="P212" i="20" s="1"/>
  <c r="P101" i="20"/>
  <c r="P261" i="20"/>
  <c r="P237" i="20"/>
  <c r="P211" i="32"/>
  <c r="P209" i="32" s="1"/>
  <c r="P111" i="32"/>
  <c r="Y92" i="31"/>
  <c r="Z93" i="31" s="1"/>
  <c r="Z84" i="31"/>
  <c r="AA85" i="31" s="1"/>
  <c r="Z85" i="20"/>
  <c r="O21" i="33"/>
  <c r="AB92" i="33"/>
  <c r="AC93" i="33" s="1"/>
  <c r="AC84" i="33"/>
  <c r="X96" i="33"/>
  <c r="X83" i="33"/>
  <c r="Y2" i="33"/>
  <c r="X4" i="33"/>
  <c r="X142" i="33"/>
  <c r="V77" i="33"/>
  <c r="AC85" i="33"/>
  <c r="X3" i="33"/>
  <c r="Y1" i="33"/>
  <c r="W141" i="33"/>
  <c r="W78" i="33"/>
  <c r="W95" i="33"/>
  <c r="W82" i="33"/>
  <c r="R223" i="33"/>
  <c r="R231" i="33"/>
  <c r="R227" i="33"/>
  <c r="L43" i="4"/>
  <c r="L45" i="4" s="1"/>
  <c r="R166" i="20"/>
  <c r="R162" i="20" s="1"/>
  <c r="R354" i="32"/>
  <c r="P354" i="24"/>
  <c r="Q354" i="32"/>
  <c r="Q166" i="27"/>
  <c r="Q162" i="27" s="1"/>
  <c r="S166" i="31"/>
  <c r="S162" i="31" s="1"/>
  <c r="P137" i="31"/>
  <c r="R166" i="31"/>
  <c r="R162" i="31" s="1"/>
  <c r="R165" i="24"/>
  <c r="R354" i="24" s="1"/>
  <c r="R279" i="24"/>
  <c r="R279" i="33" s="1"/>
  <c r="Q165" i="24"/>
  <c r="Q354" i="24" s="1"/>
  <c r="T279" i="32"/>
  <c r="V96" i="32"/>
  <c r="V83" i="32"/>
  <c r="V142" i="32"/>
  <c r="V4" i="32"/>
  <c r="W2" i="32"/>
  <c r="T165" i="32"/>
  <c r="S354" i="32"/>
  <c r="S166" i="32"/>
  <c r="X92" i="32"/>
  <c r="Y84" i="32"/>
  <c r="V3" i="32"/>
  <c r="W1" i="32"/>
  <c r="Q122" i="32"/>
  <c r="Y85" i="32"/>
  <c r="T77" i="32"/>
  <c r="T76" i="32"/>
  <c r="U167" i="32"/>
  <c r="U163" i="32"/>
  <c r="U164" i="32"/>
  <c r="U78" i="32"/>
  <c r="U82" i="32"/>
  <c r="U141" i="32"/>
  <c r="U95" i="32"/>
  <c r="Q63" i="32"/>
  <c r="O209" i="32"/>
  <c r="P207" i="32"/>
  <c r="P117" i="32" s="1"/>
  <c r="Q220" i="32"/>
  <c r="Q311" i="32"/>
  <c r="Q310" i="32"/>
  <c r="Y93" i="32"/>
  <c r="S75" i="32"/>
  <c r="S22" i="32" s="1"/>
  <c r="S14" i="32" s="1"/>
  <c r="S99" i="32"/>
  <c r="R358" i="32"/>
  <c r="R308" i="32"/>
  <c r="R123" i="32"/>
  <c r="R143" i="32"/>
  <c r="R62" i="32"/>
  <c r="T354" i="31"/>
  <c r="U279" i="31"/>
  <c r="R311" i="31"/>
  <c r="R310" i="31"/>
  <c r="Q63" i="31"/>
  <c r="Q122" i="31"/>
  <c r="O211" i="31"/>
  <c r="O212" i="31"/>
  <c r="U77" i="31"/>
  <c r="U76" i="31"/>
  <c r="Q311" i="31"/>
  <c r="Q310" i="31"/>
  <c r="S358" i="31"/>
  <c r="S308" i="31"/>
  <c r="S123" i="31"/>
  <c r="S122" i="31" s="1"/>
  <c r="S62" i="31"/>
  <c r="S63" i="31" s="1"/>
  <c r="S68" i="31" s="1"/>
  <c r="S143" i="31"/>
  <c r="T75" i="31"/>
  <c r="T22" i="31" s="1"/>
  <c r="T14" i="31" s="1"/>
  <c r="T99" i="31"/>
  <c r="R220" i="31"/>
  <c r="Q220" i="31"/>
  <c r="U165" i="31"/>
  <c r="U142" i="31"/>
  <c r="U83" i="31"/>
  <c r="U96" i="31"/>
  <c r="U4" i="31"/>
  <c r="V2" i="31"/>
  <c r="R237" i="31"/>
  <c r="R261" i="31"/>
  <c r="R213" i="31"/>
  <c r="P125" i="31"/>
  <c r="W3" i="31"/>
  <c r="X1" i="31"/>
  <c r="V164" i="31"/>
  <c r="V141" i="31"/>
  <c r="V163" i="31"/>
  <c r="V82" i="31"/>
  <c r="V95" i="31"/>
  <c r="V78" i="31"/>
  <c r="V167" i="31"/>
  <c r="S279" i="27"/>
  <c r="T164" i="27"/>
  <c r="T167" i="27"/>
  <c r="T95" i="27"/>
  <c r="T141" i="27"/>
  <c r="T78" i="27"/>
  <c r="T163" i="27"/>
  <c r="T82" i="27"/>
  <c r="O212" i="27"/>
  <c r="O211" i="27"/>
  <c r="P67" i="27"/>
  <c r="P63" i="27"/>
  <c r="Y84" i="27"/>
  <c r="X92" i="27"/>
  <c r="Y93" i="27" s="1"/>
  <c r="P220" i="27"/>
  <c r="R99" i="27"/>
  <c r="R75" i="27"/>
  <c r="R22" i="27" s="1"/>
  <c r="R14" i="27" s="1"/>
  <c r="P122" i="27"/>
  <c r="S77" i="27"/>
  <c r="S76" i="27"/>
  <c r="P311" i="27"/>
  <c r="P310" i="27"/>
  <c r="R354" i="27"/>
  <c r="R166" i="27"/>
  <c r="Q308" i="27"/>
  <c r="Q358" i="27"/>
  <c r="Q143" i="27"/>
  <c r="Q123" i="27"/>
  <c r="Q122" i="27" s="1"/>
  <c r="Q62" i="27"/>
  <c r="Q63" i="27" s="1"/>
  <c r="Q68" i="27" s="1"/>
  <c r="U142" i="27"/>
  <c r="U96" i="27"/>
  <c r="U4" i="27"/>
  <c r="U83" i="27"/>
  <c r="V2" i="27"/>
  <c r="S165" i="27"/>
  <c r="U3" i="27"/>
  <c r="V1" i="27"/>
  <c r="Y85" i="27"/>
  <c r="O212" i="24"/>
  <c r="O211" i="24"/>
  <c r="P220" i="24"/>
  <c r="Z92" i="24"/>
  <c r="AA93" i="24" s="1"/>
  <c r="AA84" i="24"/>
  <c r="U3" i="24"/>
  <c r="V1" i="24"/>
  <c r="S165" i="24"/>
  <c r="S279" i="24"/>
  <c r="U142" i="24"/>
  <c r="U96" i="24"/>
  <c r="U83" i="24"/>
  <c r="U4" i="24"/>
  <c r="V2" i="24"/>
  <c r="R99" i="24"/>
  <c r="R75" i="24"/>
  <c r="R22" i="24" s="1"/>
  <c r="R14" i="24" s="1"/>
  <c r="P63" i="24"/>
  <c r="P67" i="24"/>
  <c r="P122" i="24"/>
  <c r="Q308" i="24"/>
  <c r="Q358" i="24"/>
  <c r="Q143" i="24"/>
  <c r="Q123" i="24"/>
  <c r="Q122" i="24" s="1"/>
  <c r="Q62" i="24"/>
  <c r="Q63" i="24" s="1"/>
  <c r="Q68" i="24" s="1"/>
  <c r="S77" i="24"/>
  <c r="S76" i="24"/>
  <c r="P311" i="24"/>
  <c r="P310" i="24"/>
  <c r="T164" i="24"/>
  <c r="T163" i="24"/>
  <c r="T141" i="24"/>
  <c r="T95" i="24"/>
  <c r="T78" i="24"/>
  <c r="T167" i="24"/>
  <c r="T82" i="24"/>
  <c r="O162" i="24"/>
  <c r="AA85" i="24"/>
  <c r="T279" i="20"/>
  <c r="S166" i="20"/>
  <c r="S354" i="20"/>
  <c r="T165" i="20"/>
  <c r="T77" i="20"/>
  <c r="T76" i="20"/>
  <c r="O211" i="20"/>
  <c r="O212" i="20"/>
  <c r="S75" i="20"/>
  <c r="S22" i="20" s="1"/>
  <c r="S14" i="20" s="1"/>
  <c r="S99" i="20"/>
  <c r="Q63" i="20"/>
  <c r="U163" i="20"/>
  <c r="U164" i="20"/>
  <c r="U141" i="20"/>
  <c r="U167" i="20"/>
  <c r="U82" i="20"/>
  <c r="U78" i="20"/>
  <c r="U95" i="20"/>
  <c r="Q122" i="20"/>
  <c r="V3" i="20"/>
  <c r="W1" i="20"/>
  <c r="Y92" i="20"/>
  <c r="Z93" i="20" s="1"/>
  <c r="Z84" i="20"/>
  <c r="Q220" i="20"/>
  <c r="U83" i="20"/>
  <c r="U142" i="20"/>
  <c r="U4" i="20"/>
  <c r="V2" i="20"/>
  <c r="U96" i="20"/>
  <c r="Q311" i="20"/>
  <c r="Q310" i="20"/>
  <c r="R358" i="20"/>
  <c r="R308" i="20"/>
  <c r="R143" i="20"/>
  <c r="R62" i="20"/>
  <c r="R123" i="20"/>
  <c r="P12" i="5"/>
  <c r="K44" i="4"/>
  <c r="J44" i="4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S214" i="32" l="1"/>
  <c r="S12" i="32"/>
  <c r="T214" i="31"/>
  <c r="T12" i="31"/>
  <c r="Q12" i="33"/>
  <c r="Q212" i="33" s="1"/>
  <c r="R214" i="27"/>
  <c r="R12" i="27"/>
  <c r="R214" i="24"/>
  <c r="R12" i="24"/>
  <c r="P12" i="33"/>
  <c r="P212" i="33" s="1"/>
  <c r="S214" i="20"/>
  <c r="S12" i="20"/>
  <c r="R22" i="33"/>
  <c r="P67" i="33"/>
  <c r="P122" i="33"/>
  <c r="Q143" i="33"/>
  <c r="Q63" i="33"/>
  <c r="R75" i="33"/>
  <c r="R333" i="33" s="1"/>
  <c r="S76" i="33"/>
  <c r="P63" i="33"/>
  <c r="R99" i="33"/>
  <c r="Q122" i="33"/>
  <c r="P205" i="32"/>
  <c r="P103" i="32" s="1"/>
  <c r="P125" i="32" s="1"/>
  <c r="S279" i="33"/>
  <c r="Q123" i="33"/>
  <c r="Q62" i="33"/>
  <c r="P70" i="20"/>
  <c r="P111" i="20" s="1"/>
  <c r="R122" i="20"/>
  <c r="P211" i="20"/>
  <c r="P205" i="20" s="1"/>
  <c r="Z85" i="32"/>
  <c r="R63" i="32"/>
  <c r="R122" i="32"/>
  <c r="AA84" i="31"/>
  <c r="Z92" i="31"/>
  <c r="AA93" i="31" s="1"/>
  <c r="AB85" i="31"/>
  <c r="Z85" i="27"/>
  <c r="AB85" i="24"/>
  <c r="R63" i="20"/>
  <c r="P117" i="20"/>
  <c r="P21" i="33"/>
  <c r="AD85" i="33"/>
  <c r="Y96" i="33"/>
  <c r="Y83" i="33"/>
  <c r="Z2" i="33"/>
  <c r="Y142" i="33"/>
  <c r="Y4" i="33"/>
  <c r="AC92" i="33"/>
  <c r="AD93" i="33" s="1"/>
  <c r="AD84" i="33"/>
  <c r="Z1" i="33"/>
  <c r="Y3" i="33"/>
  <c r="X141" i="33"/>
  <c r="X95" i="33"/>
  <c r="X82" i="33"/>
  <c r="X78" i="33"/>
  <c r="S227" i="33"/>
  <c r="S231" i="33"/>
  <c r="S223" i="33"/>
  <c r="W77" i="33"/>
  <c r="M43" i="4"/>
  <c r="N43" i="4" s="1"/>
  <c r="R166" i="24"/>
  <c r="R162" i="24" s="1"/>
  <c r="Q166" i="24"/>
  <c r="Q162" i="24" s="1"/>
  <c r="Q68" i="32"/>
  <c r="S162" i="32"/>
  <c r="T75" i="32"/>
  <c r="T22" i="32" s="1"/>
  <c r="T14" i="32" s="1"/>
  <c r="T99" i="32"/>
  <c r="U279" i="32"/>
  <c r="Q261" i="32"/>
  <c r="Q237" i="32"/>
  <c r="Q213" i="32"/>
  <c r="Y92" i="32"/>
  <c r="Z93" i="32" s="1"/>
  <c r="Z84" i="32"/>
  <c r="R311" i="32"/>
  <c r="R310" i="32"/>
  <c r="S358" i="32"/>
  <c r="S308" i="32"/>
  <c r="S123" i="32"/>
  <c r="S143" i="32"/>
  <c r="S62" i="32"/>
  <c r="Q231" i="32"/>
  <c r="Q230" i="32" s="1"/>
  <c r="Q227" i="32"/>
  <c r="Q226" i="32" s="1"/>
  <c r="Q223" i="32"/>
  <c r="Q222" i="32" s="1"/>
  <c r="T354" i="32"/>
  <c r="T166" i="32"/>
  <c r="T162" i="32" s="1"/>
  <c r="U77" i="32"/>
  <c r="U76" i="32"/>
  <c r="W3" i="32"/>
  <c r="X1" i="32"/>
  <c r="P146" i="32"/>
  <c r="P137" i="32"/>
  <c r="V163" i="32"/>
  <c r="V167" i="32"/>
  <c r="V164" i="32"/>
  <c r="V78" i="32"/>
  <c r="V95" i="32"/>
  <c r="V82" i="32"/>
  <c r="V141" i="32"/>
  <c r="W96" i="32"/>
  <c r="W83" i="32"/>
  <c r="W142" i="32"/>
  <c r="X2" i="32"/>
  <c r="W4" i="32"/>
  <c r="U165" i="32"/>
  <c r="R220" i="32"/>
  <c r="Q237" i="31"/>
  <c r="Q213" i="31"/>
  <c r="Q261" i="31"/>
  <c r="V96" i="31"/>
  <c r="W2" i="31"/>
  <c r="V83" i="31"/>
  <c r="V142" i="31"/>
  <c r="V4" i="31"/>
  <c r="V165" i="31"/>
  <c r="Q223" i="31"/>
  <c r="Q222" i="31" s="1"/>
  <c r="Q231" i="31"/>
  <c r="Q230" i="31" s="1"/>
  <c r="Q227" i="31"/>
  <c r="Q226" i="31" s="1"/>
  <c r="S220" i="31"/>
  <c r="T308" i="31"/>
  <c r="T358" i="31"/>
  <c r="T143" i="31"/>
  <c r="T123" i="31"/>
  <c r="T62" i="31"/>
  <c r="Q68" i="31"/>
  <c r="S237" i="31"/>
  <c r="S261" i="31"/>
  <c r="S213" i="31"/>
  <c r="X3" i="31"/>
  <c r="Y1" i="31"/>
  <c r="U75" i="31"/>
  <c r="U22" i="31" s="1"/>
  <c r="U14" i="31" s="1"/>
  <c r="U99" i="31"/>
  <c r="W164" i="31"/>
  <c r="W95" i="31"/>
  <c r="W78" i="31"/>
  <c r="W167" i="31"/>
  <c r="W163" i="31"/>
  <c r="W82" i="31"/>
  <c r="W141" i="31"/>
  <c r="S311" i="31"/>
  <c r="S310" i="31"/>
  <c r="V279" i="31"/>
  <c r="R223" i="31"/>
  <c r="R222" i="31" s="1"/>
  <c r="R231" i="31"/>
  <c r="R230" i="31" s="1"/>
  <c r="R227" i="31"/>
  <c r="R226" i="31" s="1"/>
  <c r="O209" i="31"/>
  <c r="U354" i="31"/>
  <c r="U166" i="31"/>
  <c r="U162" i="31" s="1"/>
  <c r="V77" i="31"/>
  <c r="V76" i="31"/>
  <c r="R211" i="31"/>
  <c r="R212" i="31"/>
  <c r="T165" i="27"/>
  <c r="T166" i="27" s="1"/>
  <c r="T162" i="27" s="1"/>
  <c r="Q311" i="27"/>
  <c r="Q310" i="27"/>
  <c r="T279" i="27"/>
  <c r="V3" i="27"/>
  <c r="W1" i="27"/>
  <c r="R358" i="27"/>
  <c r="R308" i="27"/>
  <c r="R143" i="27"/>
  <c r="R123" i="27"/>
  <c r="R62" i="27"/>
  <c r="R63" i="27" s="1"/>
  <c r="R68" i="27" s="1"/>
  <c r="T77" i="27"/>
  <c r="T76" i="27"/>
  <c r="P237" i="27"/>
  <c r="P261" i="27"/>
  <c r="P213" i="27"/>
  <c r="U164" i="27"/>
  <c r="U141" i="27"/>
  <c r="U167" i="27"/>
  <c r="U78" i="27"/>
  <c r="U163" i="27"/>
  <c r="U95" i="27"/>
  <c r="U82" i="27"/>
  <c r="S99" i="27"/>
  <c r="S75" i="27"/>
  <c r="S22" i="27" s="1"/>
  <c r="S14" i="27" s="1"/>
  <c r="R162" i="27"/>
  <c r="V142" i="27"/>
  <c r="V96" i="27"/>
  <c r="V83" i="27"/>
  <c r="V4" i="27"/>
  <c r="W2" i="27"/>
  <c r="P68" i="27"/>
  <c r="P101" i="27"/>
  <c r="P223" i="27"/>
  <c r="P222" i="27" s="1"/>
  <c r="P231" i="27"/>
  <c r="P230" i="27" s="1"/>
  <c r="P227" i="27"/>
  <c r="P226" i="27" s="1"/>
  <c r="O209" i="27"/>
  <c r="Q261" i="27"/>
  <c r="Q213" i="27"/>
  <c r="Q237" i="27"/>
  <c r="S354" i="27"/>
  <c r="S166" i="27"/>
  <c r="S162" i="27" s="1"/>
  <c r="Q220" i="27"/>
  <c r="Y92" i="27"/>
  <c r="Z93" i="27" s="1"/>
  <c r="Z84" i="27"/>
  <c r="Q311" i="24"/>
  <c r="Q310" i="24"/>
  <c r="P68" i="24"/>
  <c r="U164" i="24"/>
  <c r="U141" i="24"/>
  <c r="U163" i="24"/>
  <c r="U95" i="24"/>
  <c r="U167" i="24"/>
  <c r="U78" i="24"/>
  <c r="U82" i="24"/>
  <c r="T165" i="24"/>
  <c r="V3" i="24"/>
  <c r="W1" i="24"/>
  <c r="R358" i="24"/>
  <c r="R308" i="24"/>
  <c r="R143" i="24"/>
  <c r="R62" i="24"/>
  <c r="R123" i="24"/>
  <c r="R122" i="24" s="1"/>
  <c r="S354" i="24"/>
  <c r="S166" i="24"/>
  <c r="P101" i="24"/>
  <c r="S75" i="24"/>
  <c r="S22" i="24" s="1"/>
  <c r="S14" i="24" s="1"/>
  <c r="S99" i="24"/>
  <c r="P237" i="24"/>
  <c r="P261" i="24"/>
  <c r="P213" i="24"/>
  <c r="T77" i="24"/>
  <c r="T76" i="24"/>
  <c r="T76" i="33" s="1"/>
  <c r="P231" i="24"/>
  <c r="P230" i="24" s="1"/>
  <c r="P227" i="24"/>
  <c r="P226" i="24" s="1"/>
  <c r="P223" i="24"/>
  <c r="P222" i="24" s="1"/>
  <c r="O209" i="24"/>
  <c r="V142" i="24"/>
  <c r="V96" i="24"/>
  <c r="V83" i="24"/>
  <c r="V4" i="24"/>
  <c r="W2" i="24"/>
  <c r="Q261" i="24"/>
  <c r="Q237" i="24"/>
  <c r="Q213" i="24"/>
  <c r="Q220" i="24"/>
  <c r="T279" i="24"/>
  <c r="AB84" i="24"/>
  <c r="AA92" i="24"/>
  <c r="AB93" i="24" s="1"/>
  <c r="V164" i="20"/>
  <c r="V82" i="20"/>
  <c r="V163" i="20"/>
  <c r="V167" i="20"/>
  <c r="V141" i="20"/>
  <c r="V78" i="20"/>
  <c r="V95" i="20"/>
  <c r="T75" i="20"/>
  <c r="T22" i="20" s="1"/>
  <c r="T14" i="20" s="1"/>
  <c r="T99" i="20"/>
  <c r="U279" i="20"/>
  <c r="U165" i="20"/>
  <c r="T354" i="20"/>
  <c r="T166" i="20"/>
  <c r="T162" i="20" s="1"/>
  <c r="W3" i="20"/>
  <c r="X1" i="20"/>
  <c r="Q261" i="20"/>
  <c r="Q213" i="20"/>
  <c r="Q237" i="20"/>
  <c r="Q68" i="20"/>
  <c r="V96" i="20"/>
  <c r="V83" i="20"/>
  <c r="V142" i="20"/>
  <c r="V4" i="20"/>
  <c r="W2" i="20"/>
  <c r="S358" i="20"/>
  <c r="S308" i="20"/>
  <c r="S143" i="20"/>
  <c r="S62" i="20"/>
  <c r="S123" i="20"/>
  <c r="Q227" i="20"/>
  <c r="Q226" i="20" s="1"/>
  <c r="Q223" i="20"/>
  <c r="Q222" i="20" s="1"/>
  <c r="Q231" i="20"/>
  <c r="Q230" i="20" s="1"/>
  <c r="U77" i="20"/>
  <c r="U76" i="20"/>
  <c r="R220" i="20"/>
  <c r="R311" i="20"/>
  <c r="R310" i="20"/>
  <c r="AA84" i="20"/>
  <c r="Z92" i="20"/>
  <c r="AA93" i="20" s="1"/>
  <c r="S162" i="20"/>
  <c r="AA85" i="20"/>
  <c r="O209" i="20"/>
  <c r="Q12" i="5"/>
  <c r="R12" i="33" l="1"/>
  <c r="R212" i="33" s="1"/>
  <c r="T214" i="32"/>
  <c r="T12" i="32"/>
  <c r="U214" i="31"/>
  <c r="U12" i="31"/>
  <c r="S214" i="27"/>
  <c r="S12" i="27"/>
  <c r="S214" i="24"/>
  <c r="S12" i="24"/>
  <c r="T214" i="20"/>
  <c r="T12" i="20"/>
  <c r="S22" i="33"/>
  <c r="P222" i="33"/>
  <c r="Q68" i="33"/>
  <c r="R143" i="33"/>
  <c r="P68" i="33"/>
  <c r="P101" i="33"/>
  <c r="S75" i="33"/>
  <c r="S333" i="33" s="1"/>
  <c r="P230" i="33"/>
  <c r="R62" i="33"/>
  <c r="P226" i="33"/>
  <c r="T279" i="33"/>
  <c r="S99" i="33"/>
  <c r="R123" i="33"/>
  <c r="R237" i="20"/>
  <c r="R213" i="20"/>
  <c r="R212" i="20" s="1"/>
  <c r="P209" i="20"/>
  <c r="R261" i="20"/>
  <c r="S122" i="20"/>
  <c r="S237" i="20" s="1"/>
  <c r="R68" i="20"/>
  <c r="P103" i="20"/>
  <c r="AC85" i="24"/>
  <c r="R237" i="32"/>
  <c r="R213" i="32"/>
  <c r="R211" i="32" s="1"/>
  <c r="R261" i="32"/>
  <c r="S63" i="32"/>
  <c r="S122" i="32"/>
  <c r="R68" i="32"/>
  <c r="P137" i="20"/>
  <c r="AA92" i="31"/>
  <c r="AB93" i="31" s="1"/>
  <c r="AB84" i="31"/>
  <c r="AC85" i="31" s="1"/>
  <c r="P146" i="20"/>
  <c r="Q21" i="33"/>
  <c r="AE84" i="33"/>
  <c r="AD92" i="33"/>
  <c r="AE93" i="33" s="1"/>
  <c r="T227" i="33"/>
  <c r="T231" i="33"/>
  <c r="T223" i="33"/>
  <c r="Y141" i="33"/>
  <c r="Y78" i="33"/>
  <c r="Y95" i="33"/>
  <c r="Y82" i="33"/>
  <c r="X77" i="33"/>
  <c r="Z3" i="33"/>
  <c r="AA1" i="33"/>
  <c r="AE85" i="33"/>
  <c r="AF85" i="33" s="1"/>
  <c r="Z96" i="33"/>
  <c r="Z142" i="33"/>
  <c r="Z83" i="33"/>
  <c r="AA2" i="33"/>
  <c r="Z4" i="33"/>
  <c r="M45" i="4"/>
  <c r="P207" i="24"/>
  <c r="V165" i="32"/>
  <c r="V166" i="32" s="1"/>
  <c r="V162" i="32" s="1"/>
  <c r="V279" i="32"/>
  <c r="Z92" i="32"/>
  <c r="AA93" i="32" s="1"/>
  <c r="AA84" i="32"/>
  <c r="R223" i="32"/>
  <c r="R222" i="32" s="1"/>
  <c r="R231" i="32"/>
  <c r="R230" i="32" s="1"/>
  <c r="R227" i="32"/>
  <c r="R226" i="32" s="1"/>
  <c r="V77" i="32"/>
  <c r="V76" i="32"/>
  <c r="S220" i="32"/>
  <c r="Q211" i="32"/>
  <c r="Q212" i="32"/>
  <c r="AA85" i="32"/>
  <c r="S311" i="32"/>
  <c r="S310" i="32"/>
  <c r="X142" i="32"/>
  <c r="X83" i="32"/>
  <c r="X96" i="32"/>
  <c r="Y2" i="32"/>
  <c r="X4" i="32"/>
  <c r="W164" i="32"/>
  <c r="W163" i="32"/>
  <c r="W95" i="32"/>
  <c r="W167" i="32"/>
  <c r="W82" i="32"/>
  <c r="W141" i="32"/>
  <c r="W78" i="32"/>
  <c r="U99" i="32"/>
  <c r="U75" i="32"/>
  <c r="U22" i="32" s="1"/>
  <c r="U14" i="32" s="1"/>
  <c r="U354" i="32"/>
  <c r="U166" i="32"/>
  <c r="U162" i="32" s="1"/>
  <c r="T358" i="32"/>
  <c r="T308" i="32"/>
  <c r="T143" i="32"/>
  <c r="T123" i="32"/>
  <c r="T62" i="32"/>
  <c r="Q207" i="32"/>
  <c r="Q117" i="32" s="1"/>
  <c r="X3" i="32"/>
  <c r="Y1" i="32"/>
  <c r="W279" i="31"/>
  <c r="Q212" i="31"/>
  <c r="Q211" i="31"/>
  <c r="S211" i="31"/>
  <c r="S212" i="31"/>
  <c r="T63" i="31"/>
  <c r="Q207" i="31"/>
  <c r="Q117" i="31" s="1"/>
  <c r="W165" i="31"/>
  <c r="U308" i="31"/>
  <c r="U358" i="31"/>
  <c r="U143" i="31"/>
  <c r="U123" i="31"/>
  <c r="U62" i="31"/>
  <c r="U63" i="31" s="1"/>
  <c r="U68" i="31" s="1"/>
  <c r="T122" i="31"/>
  <c r="T220" i="31"/>
  <c r="V354" i="31"/>
  <c r="V166" i="31"/>
  <c r="V162" i="31" s="1"/>
  <c r="T311" i="31"/>
  <c r="T310" i="31"/>
  <c r="R205" i="31"/>
  <c r="R103" i="31" s="1"/>
  <c r="R209" i="31"/>
  <c r="R207" i="31"/>
  <c r="R117" i="31" s="1"/>
  <c r="Y3" i="31"/>
  <c r="Z1" i="31"/>
  <c r="V75" i="31"/>
  <c r="V22" i="31" s="1"/>
  <c r="V14" i="31" s="1"/>
  <c r="V99" i="31"/>
  <c r="X163" i="31"/>
  <c r="X167" i="31"/>
  <c r="X141" i="31"/>
  <c r="X82" i="31"/>
  <c r="X164" i="31"/>
  <c r="X95" i="31"/>
  <c r="X78" i="31"/>
  <c r="W142" i="31"/>
  <c r="W83" i="31"/>
  <c r="X2" i="31"/>
  <c r="W4" i="31"/>
  <c r="W96" i="31"/>
  <c r="S231" i="31"/>
  <c r="S230" i="31" s="1"/>
  <c r="S227" i="31"/>
  <c r="S226" i="31" s="1"/>
  <c r="S223" i="31"/>
  <c r="S222" i="31" s="1"/>
  <c r="W77" i="31"/>
  <c r="W76" i="31"/>
  <c r="T354" i="27"/>
  <c r="U279" i="27"/>
  <c r="P212" i="27"/>
  <c r="P211" i="27"/>
  <c r="P207" i="27"/>
  <c r="P117" i="27" s="1"/>
  <c r="S358" i="27"/>
  <c r="S308" i="27"/>
  <c r="S143" i="27"/>
  <c r="S123" i="27"/>
  <c r="S122" i="27" s="1"/>
  <c r="S62" i="27"/>
  <c r="W3" i="27"/>
  <c r="X1" i="27"/>
  <c r="Q223" i="27"/>
  <c r="Q222" i="27" s="1"/>
  <c r="Q231" i="27"/>
  <c r="Q230" i="27" s="1"/>
  <c r="Q227" i="27"/>
  <c r="Q226" i="27" s="1"/>
  <c r="W142" i="27"/>
  <c r="W96" i="27"/>
  <c r="W83" i="27"/>
  <c r="W4" i="27"/>
  <c r="X2" i="27"/>
  <c r="V164" i="27"/>
  <c r="V141" i="27"/>
  <c r="V167" i="27"/>
  <c r="V163" i="27"/>
  <c r="V78" i="27"/>
  <c r="V95" i="27"/>
  <c r="V82" i="27"/>
  <c r="U165" i="27"/>
  <c r="P70" i="27"/>
  <c r="R311" i="27"/>
  <c r="R310" i="27"/>
  <c r="Z92" i="27"/>
  <c r="AA93" i="27" s="1"/>
  <c r="AA84" i="27"/>
  <c r="Q212" i="27"/>
  <c r="Q211" i="27"/>
  <c r="AA85" i="27"/>
  <c r="T75" i="27"/>
  <c r="T22" i="27" s="1"/>
  <c r="T14" i="27" s="1"/>
  <c r="T99" i="27"/>
  <c r="R220" i="27"/>
  <c r="U77" i="27"/>
  <c r="U76" i="27"/>
  <c r="R122" i="27"/>
  <c r="R122" i="33" s="1"/>
  <c r="W142" i="24"/>
  <c r="W96" i="24"/>
  <c r="W83" i="24"/>
  <c r="W4" i="24"/>
  <c r="X2" i="24"/>
  <c r="W3" i="24"/>
  <c r="X1" i="24"/>
  <c r="AC84" i="24"/>
  <c r="AB92" i="24"/>
  <c r="AC93" i="24" s="1"/>
  <c r="V164" i="24"/>
  <c r="V141" i="24"/>
  <c r="V167" i="24"/>
  <c r="V163" i="24"/>
  <c r="V95" i="24"/>
  <c r="V78" i="24"/>
  <c r="V82" i="24"/>
  <c r="S358" i="24"/>
  <c r="S308" i="24"/>
  <c r="S143" i="24"/>
  <c r="S62" i="24"/>
  <c r="S63" i="24" s="1"/>
  <c r="S68" i="24" s="1"/>
  <c r="S123" i="24"/>
  <c r="P70" i="24"/>
  <c r="T354" i="24"/>
  <c r="T166" i="24"/>
  <c r="T162" i="24" s="1"/>
  <c r="R237" i="24"/>
  <c r="R261" i="24"/>
  <c r="R213" i="24"/>
  <c r="T75" i="24"/>
  <c r="T22" i="24" s="1"/>
  <c r="T14" i="24" s="1"/>
  <c r="T99" i="24"/>
  <c r="S162" i="24"/>
  <c r="R220" i="24"/>
  <c r="Q231" i="24"/>
  <c r="Q230" i="24" s="1"/>
  <c r="Q223" i="24"/>
  <c r="Q222" i="24" s="1"/>
  <c r="Q227" i="24"/>
  <c r="Q226" i="24" s="1"/>
  <c r="U77" i="24"/>
  <c r="U76" i="24"/>
  <c r="R63" i="24"/>
  <c r="R63" i="33" s="1"/>
  <c r="R311" i="24"/>
  <c r="R310" i="24"/>
  <c r="U279" i="24"/>
  <c r="Q211" i="24"/>
  <c r="Q212" i="24"/>
  <c r="P212" i="24"/>
  <c r="P211" i="24"/>
  <c r="U165" i="24"/>
  <c r="V165" i="20"/>
  <c r="V354" i="20" s="1"/>
  <c r="T358" i="20"/>
  <c r="T308" i="20"/>
  <c r="T143" i="20"/>
  <c r="T123" i="20"/>
  <c r="T62" i="20"/>
  <c r="AA92" i="20"/>
  <c r="AB93" i="20" s="1"/>
  <c r="AB84" i="20"/>
  <c r="S63" i="20"/>
  <c r="U354" i="20"/>
  <c r="U166" i="20"/>
  <c r="U162" i="20" s="1"/>
  <c r="V77" i="20"/>
  <c r="V76" i="20"/>
  <c r="S220" i="20"/>
  <c r="Q212" i="20"/>
  <c r="Q211" i="20"/>
  <c r="U75" i="20"/>
  <c r="U22" i="20" s="1"/>
  <c r="U14" i="20" s="1"/>
  <c r="U99" i="20"/>
  <c r="S311" i="20"/>
  <c r="S310" i="20"/>
  <c r="W96" i="20"/>
  <c r="W142" i="20"/>
  <c r="X2" i="20"/>
  <c r="W83" i="20"/>
  <c r="W4" i="20"/>
  <c r="Y1" i="20"/>
  <c r="X3" i="20"/>
  <c r="W163" i="20"/>
  <c r="W164" i="20"/>
  <c r="W95" i="20"/>
  <c r="W82" i="20"/>
  <c r="W78" i="20"/>
  <c r="W167" i="20"/>
  <c r="W141" i="20"/>
  <c r="V279" i="20"/>
  <c r="AB85" i="20"/>
  <c r="Q207" i="20"/>
  <c r="R227" i="20"/>
  <c r="R226" i="20" s="1"/>
  <c r="R223" i="20"/>
  <c r="R222" i="20" s="1"/>
  <c r="R231" i="20"/>
  <c r="R230" i="20" s="1"/>
  <c r="R12" i="5"/>
  <c r="N45" i="4"/>
  <c r="O43" i="4"/>
  <c r="S12" i="33" l="1"/>
  <c r="S212" i="33" s="1"/>
  <c r="U214" i="32"/>
  <c r="U12" i="32"/>
  <c r="V214" i="31"/>
  <c r="V12" i="31"/>
  <c r="T214" i="27"/>
  <c r="T12" i="27"/>
  <c r="T214" i="24"/>
  <c r="T12" i="24"/>
  <c r="U214" i="20"/>
  <c r="U12" i="20"/>
  <c r="T22" i="33"/>
  <c r="U76" i="33"/>
  <c r="Q222" i="33"/>
  <c r="R212" i="32"/>
  <c r="Q226" i="33"/>
  <c r="S143" i="33"/>
  <c r="S123" i="33"/>
  <c r="T75" i="33"/>
  <c r="T333" i="33" s="1"/>
  <c r="P70" i="33"/>
  <c r="Q230" i="33"/>
  <c r="T99" i="33"/>
  <c r="S213" i="20"/>
  <c r="S212" i="20" s="1"/>
  <c r="S261" i="20"/>
  <c r="P207" i="33"/>
  <c r="U279" i="33"/>
  <c r="S62" i="33"/>
  <c r="R211" i="20"/>
  <c r="R209" i="20" s="1"/>
  <c r="T122" i="20"/>
  <c r="P125" i="20"/>
  <c r="AC85" i="20"/>
  <c r="S237" i="32"/>
  <c r="T63" i="32"/>
  <c r="S213" i="32"/>
  <c r="S211" i="32" s="1"/>
  <c r="S261" i="32"/>
  <c r="S68" i="32"/>
  <c r="P117" i="24"/>
  <c r="AB85" i="32"/>
  <c r="AC85" i="32" s="1"/>
  <c r="AB92" i="31"/>
  <c r="AC93" i="31" s="1"/>
  <c r="AC84" i="31"/>
  <c r="AB85" i="27"/>
  <c r="T63" i="20"/>
  <c r="Q117" i="20"/>
  <c r="R21" i="33"/>
  <c r="AE92" i="33"/>
  <c r="AF93" i="33" s="1"/>
  <c r="AF84" i="33"/>
  <c r="AG85" i="33" s="1"/>
  <c r="AA96" i="33"/>
  <c r="AA142" i="33"/>
  <c r="AA83" i="33"/>
  <c r="AB2" i="33"/>
  <c r="AA4" i="33"/>
  <c r="U231" i="33"/>
  <c r="U227" i="33"/>
  <c r="U223" i="33"/>
  <c r="Y77" i="33"/>
  <c r="AB1" i="33"/>
  <c r="AA3" i="33"/>
  <c r="Z141" i="33"/>
  <c r="Z95" i="33"/>
  <c r="Z78" i="33"/>
  <c r="Z82" i="33"/>
  <c r="S207" i="31"/>
  <c r="S117" i="31" s="1"/>
  <c r="S146" i="31" s="1"/>
  <c r="V354" i="32"/>
  <c r="W77" i="32"/>
  <c r="W76" i="32"/>
  <c r="R207" i="32"/>
  <c r="R117" i="32" s="1"/>
  <c r="Y83" i="32"/>
  <c r="Y142" i="32"/>
  <c r="Y96" i="32"/>
  <c r="Z2" i="32"/>
  <c r="Y4" i="32"/>
  <c r="AB84" i="32"/>
  <c r="AA92" i="32"/>
  <c r="AB93" i="32" s="1"/>
  <c r="Q146" i="32"/>
  <c r="Q137" i="32"/>
  <c r="Q205" i="32"/>
  <c r="Q103" i="32" s="1"/>
  <c r="Q209" i="32"/>
  <c r="R209" i="32"/>
  <c r="R205" i="32"/>
  <c r="R103" i="32" s="1"/>
  <c r="T122" i="32"/>
  <c r="W165" i="32"/>
  <c r="W279" i="32"/>
  <c r="S227" i="32"/>
  <c r="S226" i="32" s="1"/>
  <c r="S223" i="32"/>
  <c r="S222" i="32" s="1"/>
  <c r="S231" i="32"/>
  <c r="S230" i="32" s="1"/>
  <c r="Y3" i="32"/>
  <c r="Z1" i="32"/>
  <c r="T220" i="32"/>
  <c r="U358" i="32"/>
  <c r="U308" i="32"/>
  <c r="U143" i="32"/>
  <c r="U62" i="32"/>
  <c r="U123" i="32"/>
  <c r="V75" i="32"/>
  <c r="V22" i="32" s="1"/>
  <c r="V14" i="32" s="1"/>
  <c r="V99" i="32"/>
  <c r="X163" i="32"/>
  <c r="X167" i="32"/>
  <c r="X164" i="32"/>
  <c r="X141" i="32"/>
  <c r="X82" i="32"/>
  <c r="X95" i="32"/>
  <c r="X78" i="32"/>
  <c r="T311" i="32"/>
  <c r="T310" i="32"/>
  <c r="X165" i="31"/>
  <c r="X354" i="31" s="1"/>
  <c r="T237" i="31"/>
  <c r="T261" i="31"/>
  <c r="T213" i="31"/>
  <c r="S205" i="31"/>
  <c r="S103" i="31" s="1"/>
  <c r="S209" i="31"/>
  <c r="R146" i="31"/>
  <c r="R137" i="31"/>
  <c r="Q205" i="31"/>
  <c r="Q103" i="31" s="1"/>
  <c r="Q209" i="31"/>
  <c r="X96" i="31"/>
  <c r="X142" i="31"/>
  <c r="X83" i="31"/>
  <c r="Y2" i="31"/>
  <c r="X4" i="31"/>
  <c r="U122" i="31"/>
  <c r="V358" i="31"/>
  <c r="V308" i="31"/>
  <c r="V123" i="31"/>
  <c r="V143" i="31"/>
  <c r="V62" i="31"/>
  <c r="V63" i="31" s="1"/>
  <c r="V68" i="31" s="1"/>
  <c r="U220" i="31"/>
  <c r="R125" i="31"/>
  <c r="T68" i="31"/>
  <c r="X77" i="31"/>
  <c r="X76" i="31"/>
  <c r="W75" i="31"/>
  <c r="W22" i="31" s="1"/>
  <c r="W14" i="31" s="1"/>
  <c r="W99" i="31"/>
  <c r="U311" i="31"/>
  <c r="U310" i="31"/>
  <c r="X279" i="31"/>
  <c r="T231" i="31"/>
  <c r="T230" i="31" s="1"/>
  <c r="T227" i="31"/>
  <c r="T226" i="31" s="1"/>
  <c r="T223" i="31"/>
  <c r="T222" i="31" s="1"/>
  <c r="W354" i="31"/>
  <c r="W166" i="31"/>
  <c r="W162" i="31" s="1"/>
  <c r="W172" i="31"/>
  <c r="Z3" i="31"/>
  <c r="AA1" i="31"/>
  <c r="Y167" i="31"/>
  <c r="Y163" i="31"/>
  <c r="Y95" i="31"/>
  <c r="Y164" i="31"/>
  <c r="Y141" i="31"/>
  <c r="Y82" i="31"/>
  <c r="Y78" i="31"/>
  <c r="Q146" i="31"/>
  <c r="Q137" i="31"/>
  <c r="P137" i="27"/>
  <c r="P146" i="27"/>
  <c r="Q207" i="27"/>
  <c r="Q117" i="27" s="1"/>
  <c r="W164" i="27"/>
  <c r="W141" i="27"/>
  <c r="W167" i="27"/>
  <c r="W163" i="27"/>
  <c r="W82" i="27"/>
  <c r="W78" i="27"/>
  <c r="W95" i="27"/>
  <c r="Y1" i="27"/>
  <c r="X3" i="27"/>
  <c r="P111" i="27"/>
  <c r="X142" i="27"/>
  <c r="X96" i="27"/>
  <c r="X83" i="27"/>
  <c r="Y2" i="27"/>
  <c r="X4" i="27"/>
  <c r="P205" i="27"/>
  <c r="P209" i="27"/>
  <c r="U99" i="27"/>
  <c r="U75" i="27"/>
  <c r="U22" i="27" s="1"/>
  <c r="U14" i="27" s="1"/>
  <c r="U354" i="27"/>
  <c r="U166" i="27"/>
  <c r="R223" i="27"/>
  <c r="R222" i="27" s="1"/>
  <c r="R231" i="27"/>
  <c r="R230" i="27" s="1"/>
  <c r="R227" i="27"/>
  <c r="R226" i="27" s="1"/>
  <c r="Q205" i="27"/>
  <c r="Q103" i="27" s="1"/>
  <c r="Q209" i="27"/>
  <c r="S261" i="27"/>
  <c r="S237" i="27"/>
  <c r="S213" i="27"/>
  <c r="V279" i="27"/>
  <c r="V165" i="27"/>
  <c r="R213" i="27"/>
  <c r="R237" i="27"/>
  <c r="R261" i="27"/>
  <c r="AA92" i="27"/>
  <c r="AB93" i="27" s="1"/>
  <c r="AB84" i="27"/>
  <c r="S220" i="27"/>
  <c r="S63" i="27"/>
  <c r="S63" i="33" s="1"/>
  <c r="S311" i="27"/>
  <c r="S310" i="27"/>
  <c r="T308" i="27"/>
  <c r="T358" i="27"/>
  <c r="T143" i="27"/>
  <c r="T123" i="27"/>
  <c r="T62" i="27"/>
  <c r="T63" i="27" s="1"/>
  <c r="T68" i="27" s="1"/>
  <c r="V77" i="27"/>
  <c r="V76" i="27"/>
  <c r="V279" i="24"/>
  <c r="R211" i="24"/>
  <c r="R212" i="24"/>
  <c r="S220" i="24"/>
  <c r="R231" i="24"/>
  <c r="R230" i="24" s="1"/>
  <c r="R227" i="24"/>
  <c r="R226" i="24" s="1"/>
  <c r="R223" i="24"/>
  <c r="R222" i="24" s="1"/>
  <c r="V77" i="24"/>
  <c r="V76" i="24"/>
  <c r="Q209" i="24"/>
  <c r="Q205" i="24"/>
  <c r="Q103" i="24" s="1"/>
  <c r="AD84" i="24"/>
  <c r="AC92" i="24"/>
  <c r="AD93" i="24" s="1"/>
  <c r="U354" i="24"/>
  <c r="U166" i="24"/>
  <c r="U162" i="24" s="1"/>
  <c r="AD85" i="24"/>
  <c r="X3" i="24"/>
  <c r="Y1" i="24"/>
  <c r="R68" i="24"/>
  <c r="R68" i="33" s="1"/>
  <c r="W164" i="24"/>
  <c r="W141" i="24"/>
  <c r="W167" i="24"/>
  <c r="W163" i="24"/>
  <c r="W95" i="24"/>
  <c r="W82" i="24"/>
  <c r="W78" i="24"/>
  <c r="S311" i="24"/>
  <c r="S310" i="24"/>
  <c r="P205" i="24"/>
  <c r="P209" i="24"/>
  <c r="U75" i="24"/>
  <c r="U22" i="24" s="1"/>
  <c r="U14" i="24" s="1"/>
  <c r="U99" i="24"/>
  <c r="V165" i="24"/>
  <c r="X142" i="24"/>
  <c r="X96" i="24"/>
  <c r="X83" i="24"/>
  <c r="Y2" i="24"/>
  <c r="X4" i="24"/>
  <c r="T358" i="24"/>
  <c r="T308" i="24"/>
  <c r="T143" i="24"/>
  <c r="T123" i="24"/>
  <c r="T122" i="24" s="1"/>
  <c r="T62" i="24"/>
  <c r="T63" i="24" s="1"/>
  <c r="T68" i="24" s="1"/>
  <c r="P111" i="24"/>
  <c r="Q207" i="24"/>
  <c r="Q117" i="24" s="1"/>
  <c r="S122" i="24"/>
  <c r="S122" i="33" s="1"/>
  <c r="V166" i="20"/>
  <c r="V162" i="20" s="1"/>
  <c r="X96" i="20"/>
  <c r="X83" i="20"/>
  <c r="Y2" i="20"/>
  <c r="X142" i="20"/>
  <c r="X4" i="20"/>
  <c r="T220" i="20"/>
  <c r="T311" i="20"/>
  <c r="T310" i="20"/>
  <c r="Q205" i="20"/>
  <c r="Q209" i="20"/>
  <c r="W77" i="20"/>
  <c r="W76" i="20"/>
  <c r="R207" i="20"/>
  <c r="W165" i="20"/>
  <c r="W279" i="20"/>
  <c r="S223" i="20"/>
  <c r="S222" i="20" s="1"/>
  <c r="S231" i="20"/>
  <c r="S230" i="20" s="1"/>
  <c r="S227" i="20"/>
  <c r="S226" i="20" s="1"/>
  <c r="U358" i="20"/>
  <c r="U308" i="20"/>
  <c r="U143" i="20"/>
  <c r="U123" i="20"/>
  <c r="U62" i="20"/>
  <c r="AB92" i="20"/>
  <c r="AC93" i="20" s="1"/>
  <c r="AC84" i="20"/>
  <c r="AD85" i="20" s="1"/>
  <c r="X95" i="20"/>
  <c r="X167" i="20"/>
  <c r="X78" i="20"/>
  <c r="X141" i="20"/>
  <c r="X163" i="20"/>
  <c r="X164" i="20"/>
  <c r="X82" i="20"/>
  <c r="V75" i="20"/>
  <c r="V22" i="20" s="1"/>
  <c r="V14" i="20" s="1"/>
  <c r="V99" i="20"/>
  <c r="Y3" i="20"/>
  <c r="Z1" i="20"/>
  <c r="S68" i="20"/>
  <c r="S12" i="5"/>
  <c r="O45" i="4"/>
  <c r="P43" i="4"/>
  <c r="P5" i="5"/>
  <c r="P13" i="33" s="1"/>
  <c r="P213" i="33" s="1"/>
  <c r="L10" i="5"/>
  <c r="L8" i="5"/>
  <c r="L22" i="5"/>
  <c r="L21" i="5"/>
  <c r="L20" i="5"/>
  <c r="L19" i="5"/>
  <c r="AM16" i="5"/>
  <c r="AM15" i="5" s="1"/>
  <c r="AM31" i="33" s="1"/>
  <c r="AL16" i="5"/>
  <c r="AL15" i="5" s="1"/>
  <c r="AL31" i="33" s="1"/>
  <c r="AK16" i="5"/>
  <c r="AK15" i="5" s="1"/>
  <c r="AK31" i="33" s="1"/>
  <c r="AJ16" i="5"/>
  <c r="AJ15" i="5" s="1"/>
  <c r="AJ31" i="33" s="1"/>
  <c r="AI16" i="5"/>
  <c r="AI15" i="5" s="1"/>
  <c r="AI31" i="33" s="1"/>
  <c r="AH16" i="5"/>
  <c r="AH15" i="5" s="1"/>
  <c r="AH31" i="33" s="1"/>
  <c r="AG16" i="5"/>
  <c r="AG15" i="5" s="1"/>
  <c r="AG31" i="33" s="1"/>
  <c r="AF16" i="5"/>
  <c r="AF15" i="5" s="1"/>
  <c r="AF31" i="33" s="1"/>
  <c r="AE16" i="5"/>
  <c r="AE15" i="5" s="1"/>
  <c r="AE31" i="33" s="1"/>
  <c r="AD16" i="5"/>
  <c r="AD15" i="5" s="1"/>
  <c r="AD31" i="33" s="1"/>
  <c r="AC16" i="5"/>
  <c r="AC15" i="5" s="1"/>
  <c r="AC31" i="33" s="1"/>
  <c r="AB16" i="5"/>
  <c r="AB15" i="5" s="1"/>
  <c r="AB31" i="33" s="1"/>
  <c r="AA16" i="5"/>
  <c r="AA15" i="5" s="1"/>
  <c r="AA31" i="33" s="1"/>
  <c r="Z16" i="5"/>
  <c r="Z15" i="5" s="1"/>
  <c r="Z31" i="33" s="1"/>
  <c r="Y16" i="5"/>
  <c r="Y15" i="5" s="1"/>
  <c r="Y31" i="33" s="1"/>
  <c r="X16" i="5"/>
  <c r="X15" i="5" s="1"/>
  <c r="X31" i="33" s="1"/>
  <c r="W16" i="5"/>
  <c r="W15" i="5" s="1"/>
  <c r="W31" i="33" s="1"/>
  <c r="V16" i="5"/>
  <c r="V15" i="5" s="1"/>
  <c r="V31" i="33" s="1"/>
  <c r="U16" i="5"/>
  <c r="U15" i="5" s="1"/>
  <c r="U31" i="33" s="1"/>
  <c r="T16" i="5"/>
  <c r="T15" i="5" s="1"/>
  <c r="T31" i="33" s="1"/>
  <c r="S16" i="5"/>
  <c r="S15" i="5" s="1"/>
  <c r="R16" i="5"/>
  <c r="R15" i="5" s="1"/>
  <c r="R31" i="33" s="1"/>
  <c r="Q16" i="5"/>
  <c r="Q15" i="5" s="1"/>
  <c r="Q31" i="33" s="1"/>
  <c r="P16" i="5"/>
  <c r="P15" i="5" s="1"/>
  <c r="P31" i="33" s="1"/>
  <c r="L23" i="5"/>
  <c r="AK5" i="5"/>
  <c r="AH5" i="5"/>
  <c r="AF5" i="5"/>
  <c r="AC5" i="5"/>
  <c r="AA5" i="5"/>
  <c r="X5" i="5"/>
  <c r="V5" i="5"/>
  <c r="S5" i="5"/>
  <c r="Q5" i="5"/>
  <c r="Q13" i="33" s="1"/>
  <c r="Q213" i="33" s="1"/>
  <c r="AM5" i="5"/>
  <c r="AL5" i="5"/>
  <c r="AJ5" i="5"/>
  <c r="AI5" i="5"/>
  <c r="AG5" i="5"/>
  <c r="AE5" i="5"/>
  <c r="AD5" i="5"/>
  <c r="AB5" i="5"/>
  <c r="Z5" i="5"/>
  <c r="Y5" i="5"/>
  <c r="W5" i="5"/>
  <c r="U5" i="5"/>
  <c r="T5" i="5"/>
  <c r="R5" i="5"/>
  <c r="R13" i="33" s="1"/>
  <c r="R213" i="33" s="1"/>
  <c r="V214" i="32" l="1"/>
  <c r="V12" i="32"/>
  <c r="W214" i="31"/>
  <c r="W12" i="31"/>
  <c r="T12" i="33"/>
  <c r="T212" i="33" s="1"/>
  <c r="U214" i="27"/>
  <c r="U12" i="27"/>
  <c r="U214" i="24"/>
  <c r="U12" i="24"/>
  <c r="V214" i="20"/>
  <c r="V12" i="20"/>
  <c r="S31" i="33"/>
  <c r="L15" i="5"/>
  <c r="U22" i="33"/>
  <c r="R222" i="33"/>
  <c r="P111" i="33"/>
  <c r="U99" i="33"/>
  <c r="R230" i="33"/>
  <c r="U75" i="33"/>
  <c r="U333" i="33" s="1"/>
  <c r="T143" i="33"/>
  <c r="R226" i="33"/>
  <c r="V76" i="33"/>
  <c r="S211" i="20"/>
  <c r="S209" i="20" s="1"/>
  <c r="R205" i="20"/>
  <c r="R103" i="20" s="1"/>
  <c r="V279" i="33"/>
  <c r="P205" i="33"/>
  <c r="T62" i="33"/>
  <c r="Q205" i="33"/>
  <c r="Q117" i="33"/>
  <c r="T123" i="33"/>
  <c r="Q207" i="33"/>
  <c r="P146" i="24"/>
  <c r="P146" i="33" s="1"/>
  <c r="P117" i="33"/>
  <c r="T213" i="20"/>
  <c r="T211" i="20" s="1"/>
  <c r="T261" i="20"/>
  <c r="T237" i="20"/>
  <c r="U122" i="20"/>
  <c r="T68" i="20"/>
  <c r="T63" i="33"/>
  <c r="S212" i="32"/>
  <c r="U63" i="32"/>
  <c r="U122" i="32"/>
  <c r="T68" i="32"/>
  <c r="P137" i="24"/>
  <c r="P137" i="33" s="1"/>
  <c r="P103" i="24"/>
  <c r="Q137" i="20"/>
  <c r="AD84" i="31"/>
  <c r="AC92" i="31"/>
  <c r="AD93" i="31" s="1"/>
  <c r="AD85" i="31"/>
  <c r="U63" i="20"/>
  <c r="Q146" i="20"/>
  <c r="R117" i="20"/>
  <c r="Q103" i="20"/>
  <c r="Q103" i="33" s="1"/>
  <c r="S21" i="33"/>
  <c r="V231" i="33"/>
  <c r="V223" i="33"/>
  <c r="V227" i="33"/>
  <c r="Z77" i="33"/>
  <c r="AB142" i="33"/>
  <c r="AB83" i="33"/>
  <c r="AB96" i="33"/>
  <c r="AC2" i="33"/>
  <c r="AB4" i="33"/>
  <c r="AA78" i="33"/>
  <c r="AA141" i="33"/>
  <c r="AA82" i="33"/>
  <c r="AA95" i="33"/>
  <c r="AC1" i="33"/>
  <c r="AB3" i="33"/>
  <c r="AG84" i="33"/>
  <c r="AF92" i="33"/>
  <c r="AG93" i="33" s="1"/>
  <c r="G21" i="18"/>
  <c r="G22" i="18"/>
  <c r="P103" i="27"/>
  <c r="P125" i="27" s="1"/>
  <c r="S207" i="32"/>
  <c r="S117" i="32" s="1"/>
  <c r="S146" i="32" s="1"/>
  <c r="S137" i="31"/>
  <c r="T207" i="31"/>
  <c r="T117" i="31" s="1"/>
  <c r="T146" i="31" s="1"/>
  <c r="X172" i="31"/>
  <c r="U220" i="32"/>
  <c r="R125" i="32"/>
  <c r="T261" i="32"/>
  <c r="T237" i="32"/>
  <c r="T213" i="32"/>
  <c r="U311" i="32"/>
  <c r="U310" i="32"/>
  <c r="X77" i="32"/>
  <c r="X76" i="32"/>
  <c r="Z96" i="32"/>
  <c r="Z83" i="32"/>
  <c r="Z142" i="32"/>
  <c r="AA2" i="32"/>
  <c r="Z4" i="32"/>
  <c r="Q125" i="32"/>
  <c r="S205" i="32"/>
  <c r="S103" i="32" s="1"/>
  <c r="S209" i="32"/>
  <c r="X165" i="32"/>
  <c r="X279" i="32"/>
  <c r="R146" i="32"/>
  <c r="R137" i="32"/>
  <c r="T227" i="32"/>
  <c r="T226" i="32" s="1"/>
  <c r="T223" i="32"/>
  <c r="T222" i="32" s="1"/>
  <c r="T231" i="32"/>
  <c r="T230" i="32" s="1"/>
  <c r="W75" i="32"/>
  <c r="W22" i="32" s="1"/>
  <c r="W14" i="32" s="1"/>
  <c r="W99" i="32"/>
  <c r="V358" i="32"/>
  <c r="V308" i="32"/>
  <c r="V123" i="32"/>
  <c r="V143" i="32"/>
  <c r="V62" i="32"/>
  <c r="AA1" i="32"/>
  <c r="Z3" i="32"/>
  <c r="W354" i="32"/>
  <c r="W166" i="32"/>
  <c r="W162" i="32" s="1"/>
  <c r="W172" i="32"/>
  <c r="Y167" i="32"/>
  <c r="Y164" i="32"/>
  <c r="Y163" i="32"/>
  <c r="Y141" i="32"/>
  <c r="Y82" i="32"/>
  <c r="Y78" i="32"/>
  <c r="Y95" i="32"/>
  <c r="AB92" i="32"/>
  <c r="AC93" i="32" s="1"/>
  <c r="AC84" i="32"/>
  <c r="AD85" i="32" s="1"/>
  <c r="X166" i="31"/>
  <c r="X162" i="31" s="1"/>
  <c r="Y96" i="31"/>
  <c r="Y142" i="31"/>
  <c r="Y83" i="31"/>
  <c r="Y4" i="31"/>
  <c r="Z2" i="31"/>
  <c r="T211" i="31"/>
  <c r="T212" i="31"/>
  <c r="Y77" i="31"/>
  <c r="Y76" i="31"/>
  <c r="V122" i="31"/>
  <c r="Q125" i="31"/>
  <c r="V311" i="31"/>
  <c r="V310" i="31"/>
  <c r="W358" i="31"/>
  <c r="W308" i="31"/>
  <c r="W123" i="31"/>
  <c r="W122" i="31" s="1"/>
  <c r="W143" i="31"/>
  <c r="W62" i="31"/>
  <c r="U237" i="31"/>
  <c r="U261" i="31"/>
  <c r="U213" i="31"/>
  <c r="Z167" i="31"/>
  <c r="Z163" i="31"/>
  <c r="Z141" i="31"/>
  <c r="Z95" i="31"/>
  <c r="Z164" i="31"/>
  <c r="Z82" i="31"/>
  <c r="Z78" i="31"/>
  <c r="Y279" i="31"/>
  <c r="Y165" i="31"/>
  <c r="U231" i="31"/>
  <c r="U230" i="31" s="1"/>
  <c r="U227" i="31"/>
  <c r="U226" i="31" s="1"/>
  <c r="U223" i="31"/>
  <c r="U222" i="31" s="1"/>
  <c r="X75" i="31"/>
  <c r="X22" i="31" s="1"/>
  <c r="X14" i="31" s="1"/>
  <c r="X99" i="31"/>
  <c r="S125" i="31"/>
  <c r="AA3" i="31"/>
  <c r="AB1" i="31"/>
  <c r="V220" i="31"/>
  <c r="W165" i="27"/>
  <c r="W354" i="27" s="1"/>
  <c r="W77" i="27"/>
  <c r="W76" i="27"/>
  <c r="Q125" i="27"/>
  <c r="T122" i="27"/>
  <c r="T122" i="33" s="1"/>
  <c r="S231" i="27"/>
  <c r="S230" i="27" s="1"/>
  <c r="S227" i="27"/>
  <c r="S226" i="27" s="1"/>
  <c r="S223" i="27"/>
  <c r="S222" i="27" s="1"/>
  <c r="W279" i="27"/>
  <c r="T220" i="27"/>
  <c r="AC84" i="27"/>
  <c r="AB92" i="27"/>
  <c r="AC93" i="27" s="1"/>
  <c r="Y142" i="27"/>
  <c r="Y4" i="27"/>
  <c r="Y96" i="27"/>
  <c r="Y83" i="27"/>
  <c r="Z2" i="27"/>
  <c r="R207" i="27"/>
  <c r="R117" i="27" s="1"/>
  <c r="Q137" i="27"/>
  <c r="Q146" i="27"/>
  <c r="V354" i="27"/>
  <c r="V166" i="27"/>
  <c r="V162" i="27" s="1"/>
  <c r="R212" i="27"/>
  <c r="R211" i="27"/>
  <c r="S212" i="27"/>
  <c r="S211" i="27"/>
  <c r="AC85" i="27"/>
  <c r="X164" i="27"/>
  <c r="X141" i="27"/>
  <c r="X167" i="27"/>
  <c r="X163" i="27"/>
  <c r="X82" i="27"/>
  <c r="X78" i="27"/>
  <c r="X95" i="27"/>
  <c r="U358" i="27"/>
  <c r="U308" i="27"/>
  <c r="U143" i="27"/>
  <c r="U123" i="27"/>
  <c r="U122" i="27" s="1"/>
  <c r="U62" i="27"/>
  <c r="U63" i="27" s="1"/>
  <c r="U68" i="27" s="1"/>
  <c r="Z1" i="27"/>
  <c r="Y3" i="27"/>
  <c r="T311" i="27"/>
  <c r="T310" i="27"/>
  <c r="U162" i="27"/>
  <c r="V99" i="27"/>
  <c r="V75" i="27"/>
  <c r="V22" i="27" s="1"/>
  <c r="V14" i="27" s="1"/>
  <c r="S68" i="27"/>
  <c r="S68" i="33" s="1"/>
  <c r="Q137" i="24"/>
  <c r="Q146" i="24"/>
  <c r="T311" i="24"/>
  <c r="T310" i="24"/>
  <c r="AE85" i="24"/>
  <c r="R209" i="24"/>
  <c r="R205" i="24"/>
  <c r="R103" i="24" s="1"/>
  <c r="S261" i="24"/>
  <c r="S213" i="24"/>
  <c r="S237" i="24"/>
  <c r="R207" i="24"/>
  <c r="R117" i="24" s="1"/>
  <c r="AE84" i="24"/>
  <c r="AD92" i="24"/>
  <c r="AE93" i="24" s="1"/>
  <c r="Y142" i="24"/>
  <c r="Y83" i="24"/>
  <c r="Y96" i="24"/>
  <c r="Z2" i="24"/>
  <c r="Y4" i="24"/>
  <c r="V354" i="24"/>
  <c r="V166" i="24"/>
  <c r="V162" i="24" s="1"/>
  <c r="X141" i="24"/>
  <c r="X167" i="24"/>
  <c r="X163" i="24"/>
  <c r="X95" i="24"/>
  <c r="X82" i="24"/>
  <c r="X78" i="24"/>
  <c r="X164" i="24"/>
  <c r="Q125" i="24"/>
  <c r="Z1" i="24"/>
  <c r="Y3" i="24"/>
  <c r="W77" i="24"/>
  <c r="W76" i="24"/>
  <c r="T237" i="24"/>
  <c r="T213" i="24"/>
  <c r="T261" i="24"/>
  <c r="T220" i="24"/>
  <c r="U308" i="24"/>
  <c r="U358" i="24"/>
  <c r="U143" i="24"/>
  <c r="U123" i="24"/>
  <c r="U122" i="24" s="1"/>
  <c r="U62" i="24"/>
  <c r="U63" i="24" s="1"/>
  <c r="U68" i="24" s="1"/>
  <c r="W165" i="24"/>
  <c r="W279" i="24"/>
  <c r="V75" i="24"/>
  <c r="V22" i="24" s="1"/>
  <c r="V14" i="24" s="1"/>
  <c r="V99" i="24"/>
  <c r="S227" i="24"/>
  <c r="S226" i="24" s="1"/>
  <c r="S223" i="24"/>
  <c r="S222" i="24" s="1"/>
  <c r="S231" i="24"/>
  <c r="S230" i="24" s="1"/>
  <c r="AA1" i="20"/>
  <c r="Z3" i="20"/>
  <c r="Y167" i="20"/>
  <c r="Y164" i="20"/>
  <c r="Y141" i="20"/>
  <c r="Y163" i="20"/>
  <c r="Y82" i="20"/>
  <c r="Y78" i="20"/>
  <c r="Y95" i="20"/>
  <c r="Y142" i="20"/>
  <c r="Y83" i="20"/>
  <c r="Z2" i="20"/>
  <c r="Y4" i="20"/>
  <c r="Y96" i="20"/>
  <c r="S207" i="20"/>
  <c r="W75" i="20"/>
  <c r="W22" i="20" s="1"/>
  <c r="W14" i="20" s="1"/>
  <c r="W99" i="20"/>
  <c r="X77" i="20"/>
  <c r="X76" i="20"/>
  <c r="V308" i="20"/>
  <c r="V358" i="20"/>
  <c r="V143" i="20"/>
  <c r="V62" i="20"/>
  <c r="V123" i="20"/>
  <c r="U220" i="20"/>
  <c r="W354" i="20"/>
  <c r="W172" i="20"/>
  <c r="W166" i="20"/>
  <c r="W162" i="20" s="1"/>
  <c r="AD84" i="20"/>
  <c r="AE85" i="20" s="1"/>
  <c r="AC92" i="20"/>
  <c r="AD93" i="20" s="1"/>
  <c r="X165" i="20"/>
  <c r="X279" i="20"/>
  <c r="U311" i="20"/>
  <c r="U310" i="20"/>
  <c r="T223" i="20"/>
  <c r="T222" i="20" s="1"/>
  <c r="T231" i="20"/>
  <c r="T230" i="20" s="1"/>
  <c r="T227" i="20"/>
  <c r="T226" i="20" s="1"/>
  <c r="S13" i="33"/>
  <c r="S213" i="33" s="1"/>
  <c r="T12" i="5"/>
  <c r="P45" i="4"/>
  <c r="Q43" i="4"/>
  <c r="L11" i="5"/>
  <c r="O5" i="5"/>
  <c r="O13" i="33" s="1"/>
  <c r="O213" i="33" s="1"/>
  <c r="L9" i="5"/>
  <c r="L7" i="5"/>
  <c r="U12" i="33" l="1"/>
  <c r="U212" i="33" s="1"/>
  <c r="W214" i="32"/>
  <c r="W12" i="32"/>
  <c r="X214" i="31"/>
  <c r="X12" i="31"/>
  <c r="V214" i="27"/>
  <c r="V12" i="27"/>
  <c r="V214" i="24"/>
  <c r="V12" i="24"/>
  <c r="W214" i="20"/>
  <c r="W12" i="20"/>
  <c r="V22" i="33"/>
  <c r="T68" i="33"/>
  <c r="W76" i="33"/>
  <c r="S226" i="33"/>
  <c r="V75" i="33"/>
  <c r="V333" i="33" s="1"/>
  <c r="U143" i="33"/>
  <c r="V99" i="33"/>
  <c r="S230" i="33"/>
  <c r="S222" i="33"/>
  <c r="S205" i="20"/>
  <c r="S103" i="20" s="1"/>
  <c r="T212" i="20"/>
  <c r="W279" i="33"/>
  <c r="U123" i="33"/>
  <c r="Q146" i="33"/>
  <c r="Q137" i="33"/>
  <c r="U122" i="33"/>
  <c r="P125" i="24"/>
  <c r="P125" i="33" s="1"/>
  <c r="P103" i="33"/>
  <c r="U62" i="33"/>
  <c r="R117" i="33"/>
  <c r="R207" i="33"/>
  <c r="U237" i="20"/>
  <c r="U213" i="20"/>
  <c r="U211" i="20" s="1"/>
  <c r="U261" i="20"/>
  <c r="U260" i="20" s="1"/>
  <c r="U206" i="20" s="1"/>
  <c r="U68" i="20"/>
  <c r="U63" i="33"/>
  <c r="V122" i="20"/>
  <c r="AD85" i="27"/>
  <c r="AF85" i="24"/>
  <c r="U213" i="32"/>
  <c r="U211" i="32" s="1"/>
  <c r="U261" i="32"/>
  <c r="U260" i="32" s="1"/>
  <c r="U206" i="32" s="1"/>
  <c r="V63" i="32"/>
  <c r="V122" i="32"/>
  <c r="U68" i="32"/>
  <c r="U237" i="32"/>
  <c r="R125" i="20"/>
  <c r="Q125" i="20"/>
  <c r="Q125" i="33" s="1"/>
  <c r="R137" i="20"/>
  <c r="AE84" i="31"/>
  <c r="AD92" i="31"/>
  <c r="AE93" i="31" s="1"/>
  <c r="AE85" i="31"/>
  <c r="R146" i="20"/>
  <c r="S117" i="20"/>
  <c r="T21" i="33"/>
  <c r="AG92" i="33"/>
  <c r="AH93" i="33" s="1"/>
  <c r="AH84" i="33"/>
  <c r="AC96" i="33"/>
  <c r="AC142" i="33"/>
  <c r="AC4" i="33"/>
  <c r="AC83" i="33"/>
  <c r="AD2" i="33"/>
  <c r="AH85" i="33"/>
  <c r="W231" i="33"/>
  <c r="W227" i="33"/>
  <c r="W223" i="33"/>
  <c r="AA77" i="33"/>
  <c r="AB141" i="33"/>
  <c r="AB82" i="33"/>
  <c r="AB95" i="33"/>
  <c r="AB78" i="33"/>
  <c r="AD1" i="33"/>
  <c r="AC3" i="33"/>
  <c r="K21" i="18"/>
  <c r="I21" i="18"/>
  <c r="J21" i="18"/>
  <c r="J22" i="18"/>
  <c r="H21" i="18"/>
  <c r="T13" i="33"/>
  <c r="T213" i="33" s="1"/>
  <c r="T260" i="32"/>
  <c r="T206" i="32" s="1"/>
  <c r="S260" i="24"/>
  <c r="S206" i="24" s="1"/>
  <c r="S104" i="24" s="1"/>
  <c r="U260" i="31"/>
  <c r="U206" i="31" s="1"/>
  <c r="U104" i="31" s="1"/>
  <c r="U126" i="31" s="1"/>
  <c r="S137" i="32"/>
  <c r="T137" i="31"/>
  <c r="S207" i="24"/>
  <c r="S117" i="24" s="1"/>
  <c r="S146" i="24" s="1"/>
  <c r="AD93" i="32"/>
  <c r="AE85" i="32"/>
  <c r="Y165" i="32"/>
  <c r="Y279" i="32"/>
  <c r="X75" i="32"/>
  <c r="X22" i="32" s="1"/>
  <c r="X14" i="32" s="1"/>
  <c r="X99" i="32"/>
  <c r="V311" i="32"/>
  <c r="V310" i="32"/>
  <c r="U223" i="32"/>
  <c r="U222" i="32" s="1"/>
  <c r="U227" i="32"/>
  <c r="U226" i="32" s="1"/>
  <c r="U231" i="32"/>
  <c r="U230" i="32" s="1"/>
  <c r="AC92" i="32"/>
  <c r="AD84" i="32"/>
  <c r="X354" i="32"/>
  <c r="X166" i="32"/>
  <c r="X162" i="32" s="1"/>
  <c r="X172" i="32"/>
  <c r="V220" i="32"/>
  <c r="S125" i="32"/>
  <c r="W358" i="32"/>
  <c r="W308" i="32"/>
  <c r="W143" i="32"/>
  <c r="W123" i="32"/>
  <c r="W62" i="32"/>
  <c r="AA142" i="32"/>
  <c r="AA83" i="32"/>
  <c r="AB2" i="32"/>
  <c r="AA96" i="32"/>
  <c r="AA4" i="32"/>
  <c r="Y76" i="32"/>
  <c r="Y77" i="32"/>
  <c r="Z164" i="32"/>
  <c r="Z141" i="32"/>
  <c r="Z163" i="32"/>
  <c r="Z82" i="32"/>
  <c r="Z95" i="32"/>
  <c r="Z167" i="32"/>
  <c r="Z78" i="32"/>
  <c r="AB1" i="32"/>
  <c r="AA3" i="32"/>
  <c r="T207" i="32"/>
  <c r="T117" i="32" s="1"/>
  <c r="T212" i="32"/>
  <c r="T211" i="32"/>
  <c r="W63" i="31"/>
  <c r="V261" i="31"/>
  <c r="V260" i="31" s="1"/>
  <c r="V237" i="31"/>
  <c r="V213" i="31"/>
  <c r="Z77" i="31"/>
  <c r="Z76" i="31"/>
  <c r="W220" i="31"/>
  <c r="Z96" i="31"/>
  <c r="Z142" i="31"/>
  <c r="Z83" i="31"/>
  <c r="Z4" i="31"/>
  <c r="AA2" i="31"/>
  <c r="X358" i="31"/>
  <c r="X308" i="31"/>
  <c r="X62" i="31"/>
  <c r="X63" i="31" s="1"/>
  <c r="X68" i="31" s="1"/>
  <c r="X143" i="31"/>
  <c r="X123" i="31"/>
  <c r="V231" i="31"/>
  <c r="V230" i="31" s="1"/>
  <c r="V227" i="31"/>
  <c r="V226" i="31" s="1"/>
  <c r="V223" i="31"/>
  <c r="V222" i="31" s="1"/>
  <c r="W261" i="31"/>
  <c r="W260" i="31" s="1"/>
  <c r="W213" i="31"/>
  <c r="W237" i="31"/>
  <c r="Y75" i="31"/>
  <c r="Y22" i="31" s="1"/>
  <c r="Y14" i="31" s="1"/>
  <c r="Y99" i="31"/>
  <c r="W311" i="31"/>
  <c r="W310" i="31"/>
  <c r="Y354" i="31"/>
  <c r="Y172" i="31"/>
  <c r="Y166" i="31"/>
  <c r="Y162" i="31" s="1"/>
  <c r="U212" i="31"/>
  <c r="U211" i="31"/>
  <c r="AB3" i="31"/>
  <c r="AC1" i="31"/>
  <c r="U207" i="31"/>
  <c r="U117" i="31" s="1"/>
  <c r="Z279" i="31"/>
  <c r="Z165" i="31"/>
  <c r="T205" i="31"/>
  <c r="T103" i="31" s="1"/>
  <c r="T209" i="31"/>
  <c r="AA95" i="31"/>
  <c r="AA163" i="31"/>
  <c r="AA167" i="31"/>
  <c r="AA141" i="31"/>
  <c r="AA164" i="31"/>
  <c r="AA82" i="31"/>
  <c r="AA78" i="31"/>
  <c r="W166" i="27"/>
  <c r="W162" i="27" s="1"/>
  <c r="W172" i="27"/>
  <c r="U311" i="27"/>
  <c r="U310" i="27"/>
  <c r="X165" i="27"/>
  <c r="X279" i="27"/>
  <c r="AC92" i="27"/>
  <c r="AD93" i="27" s="1"/>
  <c r="AD84" i="27"/>
  <c r="T213" i="27"/>
  <c r="T237" i="27"/>
  <c r="T261" i="27"/>
  <c r="T260" i="27" s="1"/>
  <c r="U213" i="27"/>
  <c r="U237" i="27"/>
  <c r="U261" i="27"/>
  <c r="U260" i="27" s="1"/>
  <c r="T231" i="27"/>
  <c r="T230" i="27" s="1"/>
  <c r="T227" i="27"/>
  <c r="T226" i="27" s="1"/>
  <c r="T223" i="27"/>
  <c r="T222" i="27" s="1"/>
  <c r="S209" i="27"/>
  <c r="S205" i="27"/>
  <c r="S103" i="27" s="1"/>
  <c r="R137" i="27"/>
  <c r="R146" i="27"/>
  <c r="W75" i="27"/>
  <c r="W22" i="27" s="1"/>
  <c r="W14" i="27" s="1"/>
  <c r="W99" i="27"/>
  <c r="X77" i="27"/>
  <c r="X76" i="27"/>
  <c r="U220" i="27"/>
  <c r="Z142" i="27"/>
  <c r="Z96" i="27"/>
  <c r="Z83" i="27"/>
  <c r="Z4" i="27"/>
  <c r="AA2" i="27"/>
  <c r="Y141" i="27"/>
  <c r="Y167" i="27"/>
  <c r="Y163" i="27"/>
  <c r="Y164" i="27"/>
  <c r="Y78" i="27"/>
  <c r="Y95" i="27"/>
  <c r="Y82" i="27"/>
  <c r="R205" i="27"/>
  <c r="R205" i="33" s="1"/>
  <c r="R209" i="27"/>
  <c r="AA1" i="27"/>
  <c r="Z3" i="27"/>
  <c r="S207" i="27"/>
  <c r="S117" i="27" s="1"/>
  <c r="V358" i="27"/>
  <c r="V308" i="27"/>
  <c r="V143" i="27"/>
  <c r="V123" i="27"/>
  <c r="V122" i="27" s="1"/>
  <c r="V62" i="27"/>
  <c r="V63" i="27" s="1"/>
  <c r="X279" i="24"/>
  <c r="U237" i="24"/>
  <c r="U261" i="24"/>
  <c r="U260" i="24" s="1"/>
  <c r="U213" i="24"/>
  <c r="U220" i="24"/>
  <c r="W75" i="24"/>
  <c r="W22" i="24" s="1"/>
  <c r="W99" i="24"/>
  <c r="X165" i="24"/>
  <c r="W354" i="24"/>
  <c r="W166" i="24"/>
  <c r="W172" i="24"/>
  <c r="Z83" i="24"/>
  <c r="Z96" i="24"/>
  <c r="Z142" i="24"/>
  <c r="AA2" i="24"/>
  <c r="Z4" i="24"/>
  <c r="AG85" i="24"/>
  <c r="U311" i="24"/>
  <c r="U310" i="24"/>
  <c r="Y141" i="24"/>
  <c r="Y167" i="24"/>
  <c r="Y163" i="24"/>
  <c r="Y95" i="24"/>
  <c r="Y82" i="24"/>
  <c r="Y78" i="24"/>
  <c r="Y164" i="24"/>
  <c r="Z3" i="24"/>
  <c r="AA1" i="24"/>
  <c r="T227" i="24"/>
  <c r="T226" i="24" s="1"/>
  <c r="T223" i="24"/>
  <c r="T222" i="24" s="1"/>
  <c r="T231" i="24"/>
  <c r="T230" i="24" s="1"/>
  <c r="S212" i="24"/>
  <c r="S211" i="24"/>
  <c r="V308" i="24"/>
  <c r="V358" i="24"/>
  <c r="V123" i="24"/>
  <c r="V122" i="24" s="1"/>
  <c r="V143" i="24"/>
  <c r="V62" i="24"/>
  <c r="V63" i="24" s="1"/>
  <c r="V68" i="24" s="1"/>
  <c r="AF84" i="24"/>
  <c r="AE92" i="24"/>
  <c r="AF93" i="24" s="1"/>
  <c r="R137" i="24"/>
  <c r="R146" i="24"/>
  <c r="R125" i="24"/>
  <c r="T212" i="24"/>
  <c r="T211" i="24"/>
  <c r="X77" i="24"/>
  <c r="X76" i="24"/>
  <c r="W308" i="20"/>
  <c r="W358" i="20"/>
  <c r="W123" i="20"/>
  <c r="W143" i="20"/>
  <c r="W62" i="20"/>
  <c r="X354" i="20"/>
  <c r="X172" i="20"/>
  <c r="X166" i="20"/>
  <c r="X162" i="20" s="1"/>
  <c r="Y77" i="20"/>
  <c r="Y76" i="20"/>
  <c r="V311" i="20"/>
  <c r="V310" i="20"/>
  <c r="U223" i="20"/>
  <c r="U222" i="20" s="1"/>
  <c r="U227" i="20"/>
  <c r="U226" i="20" s="1"/>
  <c r="U231" i="20"/>
  <c r="U230" i="20" s="1"/>
  <c r="T209" i="20"/>
  <c r="T205" i="20"/>
  <c r="AE84" i="20"/>
  <c r="AF85" i="20" s="1"/>
  <c r="AD92" i="20"/>
  <c r="AE93" i="20" s="1"/>
  <c r="Y279" i="20"/>
  <c r="Y165" i="20"/>
  <c r="X75" i="20"/>
  <c r="X22" i="20" s="1"/>
  <c r="X14" i="20" s="1"/>
  <c r="X99" i="20"/>
  <c r="V63" i="20"/>
  <c r="Z142" i="20"/>
  <c r="Z96" i="20"/>
  <c r="Z83" i="20"/>
  <c r="Z4" i="20"/>
  <c r="AA2" i="20"/>
  <c r="V220" i="20"/>
  <c r="AB1" i="20"/>
  <c r="AA3" i="20"/>
  <c r="T207" i="20"/>
  <c r="Z164" i="20"/>
  <c r="Z167" i="20"/>
  <c r="Z141" i="20"/>
  <c r="Z78" i="20"/>
  <c r="Z82" i="20"/>
  <c r="Z163" i="20"/>
  <c r="Z95" i="20"/>
  <c r="U12" i="5"/>
  <c r="R43" i="4"/>
  <c r="Q45" i="4"/>
  <c r="L5" i="5"/>
  <c r="K11" i="5" s="1"/>
  <c r="V12" i="33" l="1"/>
  <c r="V212" i="33" s="1"/>
  <c r="X214" i="32"/>
  <c r="X12" i="32"/>
  <c r="Y214" i="31"/>
  <c r="Y12" i="31"/>
  <c r="W214" i="27"/>
  <c r="W12" i="27"/>
  <c r="W22" i="33"/>
  <c r="W14" i="24"/>
  <c r="X214" i="20"/>
  <c r="X12" i="20"/>
  <c r="U212" i="32"/>
  <c r="U144" i="32" s="1"/>
  <c r="U68" i="33"/>
  <c r="T226" i="33"/>
  <c r="X76" i="33"/>
  <c r="T230" i="33"/>
  <c r="W99" i="33"/>
  <c r="T222" i="33"/>
  <c r="V143" i="33"/>
  <c r="W75" i="33"/>
  <c r="W333" i="33" s="1"/>
  <c r="U212" i="20"/>
  <c r="U144" i="20" s="1"/>
  <c r="X279" i="33"/>
  <c r="V122" i="33"/>
  <c r="S207" i="33"/>
  <c r="S117" i="33"/>
  <c r="R146" i="33"/>
  <c r="V62" i="33"/>
  <c r="V63" i="33"/>
  <c r="R137" i="33"/>
  <c r="V123" i="33"/>
  <c r="V237" i="20"/>
  <c r="V213" i="20"/>
  <c r="V212" i="20" s="1"/>
  <c r="V261" i="20"/>
  <c r="V260" i="20" s="1"/>
  <c r="V206" i="20" s="1"/>
  <c r="W122" i="20"/>
  <c r="V213" i="32"/>
  <c r="V211" i="32" s="1"/>
  <c r="V261" i="32"/>
  <c r="V260" i="32" s="1"/>
  <c r="V206" i="32" s="1"/>
  <c r="V237" i="32"/>
  <c r="W63" i="32"/>
  <c r="W122" i="32"/>
  <c r="W261" i="32" s="1"/>
  <c r="W260" i="32" s="1"/>
  <c r="U104" i="32"/>
  <c r="T104" i="32"/>
  <c r="V68" i="32"/>
  <c r="S125" i="20"/>
  <c r="S146" i="20"/>
  <c r="AF85" i="31"/>
  <c r="AF84" i="31"/>
  <c r="AE92" i="31"/>
  <c r="AF93" i="31" s="1"/>
  <c r="W63" i="20"/>
  <c r="U104" i="20"/>
  <c r="S137" i="20"/>
  <c r="T117" i="20"/>
  <c r="T103" i="20"/>
  <c r="U21" i="33"/>
  <c r="AI85" i="33"/>
  <c r="AC78" i="33"/>
  <c r="AC82" i="33"/>
  <c r="AC95" i="33"/>
  <c r="AC141" i="33"/>
  <c r="AD3" i="33"/>
  <c r="AE1" i="33"/>
  <c r="X227" i="33"/>
  <c r="X231" i="33"/>
  <c r="X223" i="33"/>
  <c r="AB77" i="33"/>
  <c r="AH92" i="33"/>
  <c r="AI93" i="33" s="1"/>
  <c r="AI84" i="33"/>
  <c r="AJ85" i="33" s="1"/>
  <c r="AD96" i="33"/>
  <c r="AD83" i="33"/>
  <c r="AE2" i="33"/>
  <c r="AD142" i="33"/>
  <c r="AD4" i="33"/>
  <c r="T144" i="32"/>
  <c r="U144" i="31"/>
  <c r="S144" i="24"/>
  <c r="P260" i="20"/>
  <c r="O260" i="20"/>
  <c r="Q260" i="20"/>
  <c r="R260" i="20"/>
  <c r="S260" i="20"/>
  <c r="T260" i="20"/>
  <c r="O260" i="24"/>
  <c r="Q260" i="24"/>
  <c r="P260" i="24"/>
  <c r="R260" i="24"/>
  <c r="P260" i="32"/>
  <c r="O260" i="32"/>
  <c r="R260" i="32"/>
  <c r="Q260" i="32"/>
  <c r="S260" i="32"/>
  <c r="T260" i="24"/>
  <c r="T206" i="24" s="1"/>
  <c r="T104" i="24" s="1"/>
  <c r="T126" i="24" s="1"/>
  <c r="P260" i="31"/>
  <c r="O260" i="31"/>
  <c r="R260" i="31"/>
  <c r="Q260" i="31"/>
  <c r="S260" i="31"/>
  <c r="T260" i="31"/>
  <c r="O260" i="27"/>
  <c r="Q260" i="27"/>
  <c r="P260" i="27"/>
  <c r="S260" i="27"/>
  <c r="R260" i="27"/>
  <c r="R103" i="27"/>
  <c r="R103" i="33" s="1"/>
  <c r="S137" i="24"/>
  <c r="U207" i="32"/>
  <c r="U117" i="32" s="1"/>
  <c r="U137" i="32" s="1"/>
  <c r="V207" i="31"/>
  <c r="V117" i="31" s="1"/>
  <c r="V137" i="31" s="1"/>
  <c r="W311" i="32"/>
  <c r="W310" i="32"/>
  <c r="Y75" i="32"/>
  <c r="Y22" i="32" s="1"/>
  <c r="Y14" i="32" s="1"/>
  <c r="Y99" i="32"/>
  <c r="T209" i="32"/>
  <c r="T205" i="32"/>
  <c r="T103" i="32" s="1"/>
  <c r="U209" i="32"/>
  <c r="U205" i="32"/>
  <c r="U103" i="32" s="1"/>
  <c r="AD92" i="32"/>
  <c r="AE93" i="32" s="1"/>
  <c r="AE84" i="32"/>
  <c r="AF85" i="32" s="1"/>
  <c r="X358" i="32"/>
  <c r="X308" i="32"/>
  <c r="X143" i="32"/>
  <c r="X123" i="32"/>
  <c r="X62" i="32"/>
  <c r="AC1" i="32"/>
  <c r="AB3" i="32"/>
  <c r="W220" i="32"/>
  <c r="AB142" i="32"/>
  <c r="AB83" i="32"/>
  <c r="AB96" i="32"/>
  <c r="AB4" i="32"/>
  <c r="AC2" i="32"/>
  <c r="Y354" i="32"/>
  <c r="Y172" i="32"/>
  <c r="Y166" i="32"/>
  <c r="Y162" i="32" s="1"/>
  <c r="Z77" i="32"/>
  <c r="Z76" i="32"/>
  <c r="V223" i="32"/>
  <c r="V222" i="32" s="1"/>
  <c r="V231" i="32"/>
  <c r="V230" i="32" s="1"/>
  <c r="V227" i="32"/>
  <c r="V226" i="32" s="1"/>
  <c r="T146" i="32"/>
  <c r="T137" i="32"/>
  <c r="AA167" i="32"/>
  <c r="AA164" i="32"/>
  <c r="AA141" i="32"/>
  <c r="AA95" i="32"/>
  <c r="AA163" i="32"/>
  <c r="AA78" i="32"/>
  <c r="AA82" i="32"/>
  <c r="Z165" i="32"/>
  <c r="Z279" i="32"/>
  <c r="AA279" i="31"/>
  <c r="AA165" i="31"/>
  <c r="W227" i="31"/>
  <c r="W226" i="31" s="1"/>
  <c r="W231" i="31"/>
  <c r="W230" i="31" s="1"/>
  <c r="W223" i="31"/>
  <c r="W222" i="31" s="1"/>
  <c r="Z75" i="31"/>
  <c r="Z22" i="31" s="1"/>
  <c r="Z14" i="31" s="1"/>
  <c r="Z99" i="31"/>
  <c r="U205" i="31"/>
  <c r="U103" i="31" s="1"/>
  <c r="U209" i="31"/>
  <c r="Y308" i="31"/>
  <c r="Y358" i="31"/>
  <c r="Y123" i="31"/>
  <c r="Y122" i="31" s="1"/>
  <c r="Y62" i="31"/>
  <c r="Y63" i="31" s="1"/>
  <c r="Y68" i="31" s="1"/>
  <c r="Y143" i="31"/>
  <c r="T125" i="31"/>
  <c r="AA142" i="31"/>
  <c r="AA4" i="31"/>
  <c r="AA96" i="31"/>
  <c r="AB2" i="31"/>
  <c r="AA83" i="31"/>
  <c r="W68" i="31"/>
  <c r="W212" i="31"/>
  <c r="W144" i="31" s="1"/>
  <c r="W211" i="31"/>
  <c r="X311" i="31"/>
  <c r="X310" i="31"/>
  <c r="W206" i="31"/>
  <c r="W104" i="31" s="1"/>
  <c r="W126" i="31" s="1"/>
  <c r="AB164" i="31"/>
  <c r="AB167" i="31"/>
  <c r="AB163" i="31"/>
  <c r="AB141" i="31"/>
  <c r="AB95" i="31"/>
  <c r="AB82" i="31"/>
  <c r="AB78" i="31"/>
  <c r="AA77" i="31"/>
  <c r="AA76" i="31"/>
  <c r="AD1" i="31"/>
  <c r="AC3" i="31"/>
  <c r="Z172" i="31"/>
  <c r="Z354" i="31"/>
  <c r="Z166" i="31"/>
  <c r="Z162" i="31" s="1"/>
  <c r="V212" i="31"/>
  <c r="V144" i="31" s="1"/>
  <c r="V211" i="31"/>
  <c r="X122" i="31"/>
  <c r="U146" i="31"/>
  <c r="U137" i="31"/>
  <c r="X220" i="31"/>
  <c r="V206" i="31"/>
  <c r="V104" i="31" s="1"/>
  <c r="AA96" i="27"/>
  <c r="AA142" i="27"/>
  <c r="AA83" i="27"/>
  <c r="AA4" i="27"/>
  <c r="AB2" i="27"/>
  <c r="S125" i="27"/>
  <c r="U212" i="27"/>
  <c r="U144" i="27" s="1"/>
  <c r="U211" i="27"/>
  <c r="AE84" i="27"/>
  <c r="AD92" i="27"/>
  <c r="AE93" i="27" s="1"/>
  <c r="T212" i="27"/>
  <c r="T144" i="27" s="1"/>
  <c r="T211" i="27"/>
  <c r="Y77" i="27"/>
  <c r="Y76" i="27"/>
  <c r="T207" i="27"/>
  <c r="T117" i="27" s="1"/>
  <c r="S137" i="27"/>
  <c r="S146" i="27"/>
  <c r="Y279" i="27"/>
  <c r="Y165" i="27"/>
  <c r="X354" i="27"/>
  <c r="X172" i="27"/>
  <c r="X166" i="27"/>
  <c r="X162" i="27" s="1"/>
  <c r="Z141" i="27"/>
  <c r="Z167" i="27"/>
  <c r="Z163" i="27"/>
  <c r="Z164" i="27"/>
  <c r="Z95" i="27"/>
  <c r="Z82" i="27"/>
  <c r="Z78" i="27"/>
  <c r="U231" i="27"/>
  <c r="U230" i="27" s="1"/>
  <c r="U227" i="27"/>
  <c r="U226" i="27" s="1"/>
  <c r="U223" i="27"/>
  <c r="U222" i="27" s="1"/>
  <c r="AE85" i="27"/>
  <c r="AF85" i="27" s="1"/>
  <c r="V237" i="27"/>
  <c r="V261" i="27"/>
  <c r="V260" i="27" s="1"/>
  <c r="V213" i="27"/>
  <c r="V220" i="27"/>
  <c r="AB1" i="27"/>
  <c r="AA3" i="27"/>
  <c r="W358" i="27"/>
  <c r="W308" i="27"/>
  <c r="W143" i="27"/>
  <c r="W123" i="27"/>
  <c r="W122" i="27" s="1"/>
  <c r="W62" i="27"/>
  <c r="W63" i="27" s="1"/>
  <c r="W68" i="27" s="1"/>
  <c r="T206" i="27"/>
  <c r="T104" i="27" s="1"/>
  <c r="V68" i="27"/>
  <c r="X75" i="27"/>
  <c r="X22" i="27" s="1"/>
  <c r="X14" i="27" s="1"/>
  <c r="X99" i="27"/>
  <c r="V310" i="27"/>
  <c r="V311" i="27"/>
  <c r="U206" i="27"/>
  <c r="U104" i="27" s="1"/>
  <c r="U126" i="27" s="1"/>
  <c r="V220" i="24"/>
  <c r="V261" i="24"/>
  <c r="V260" i="24" s="1"/>
  <c r="V237" i="24"/>
  <c r="V213" i="24"/>
  <c r="Y77" i="24"/>
  <c r="Y76" i="24"/>
  <c r="U227" i="24"/>
  <c r="U226" i="24" s="1"/>
  <c r="U223" i="24"/>
  <c r="U222" i="24" s="1"/>
  <c r="U231" i="24"/>
  <c r="U230" i="24" s="1"/>
  <c r="T207" i="24"/>
  <c r="T117" i="24" s="1"/>
  <c r="V311" i="24"/>
  <c r="V310" i="24"/>
  <c r="Y165" i="24"/>
  <c r="Y279" i="24"/>
  <c r="U212" i="24"/>
  <c r="U144" i="24" s="1"/>
  <c r="U211" i="24"/>
  <c r="X75" i="24"/>
  <c r="X22" i="24" s="1"/>
  <c r="X14" i="24" s="1"/>
  <c r="X99" i="24"/>
  <c r="S126" i="24"/>
  <c r="AA83" i="24"/>
  <c r="AA142" i="24"/>
  <c r="AA4" i="24"/>
  <c r="AB2" i="24"/>
  <c r="AA96" i="24"/>
  <c r="X354" i="24"/>
  <c r="X166" i="24"/>
  <c r="X162" i="24" s="1"/>
  <c r="X172" i="24"/>
  <c r="U206" i="24"/>
  <c r="U104" i="24" s="1"/>
  <c r="U126" i="24" s="1"/>
  <c r="T209" i="24"/>
  <c r="T205" i="24"/>
  <c r="T103" i="24" s="1"/>
  <c r="AF92" i="24"/>
  <c r="AG93" i="24" s="1"/>
  <c r="AG84" i="24"/>
  <c r="AH85" i="24" s="1"/>
  <c r="AA3" i="24"/>
  <c r="AB1" i="24"/>
  <c r="W162" i="24"/>
  <c r="S209" i="24"/>
  <c r="S205" i="24"/>
  <c r="S205" i="33" s="1"/>
  <c r="Z167" i="24"/>
  <c r="Z163" i="24"/>
  <c r="Z141" i="24"/>
  <c r="Z82" i="24"/>
  <c r="Z78" i="24"/>
  <c r="Z95" i="24"/>
  <c r="Z164" i="24"/>
  <c r="W308" i="24"/>
  <c r="W358" i="24"/>
  <c r="W123" i="24"/>
  <c r="W122" i="24" s="1"/>
  <c r="W143" i="24"/>
  <c r="W62" i="24"/>
  <c r="W63" i="24" s="1"/>
  <c r="W68" i="24" s="1"/>
  <c r="U205" i="20"/>
  <c r="U209" i="20"/>
  <c r="Z279" i="20"/>
  <c r="Z165" i="20"/>
  <c r="V68" i="20"/>
  <c r="W220" i="20"/>
  <c r="V223" i="20"/>
  <c r="V222" i="20" s="1"/>
  <c r="V231" i="20"/>
  <c r="V230" i="20" s="1"/>
  <c r="V227" i="20"/>
  <c r="V226" i="20" s="1"/>
  <c r="Y354" i="20"/>
  <c r="Y172" i="20"/>
  <c r="Y166" i="20"/>
  <c r="Y162" i="20" s="1"/>
  <c r="Z77" i="20"/>
  <c r="Z76" i="20"/>
  <c r="W311" i="20"/>
  <c r="W310" i="20"/>
  <c r="U207" i="20"/>
  <c r="X358" i="20"/>
  <c r="X143" i="20"/>
  <c r="X123" i="20"/>
  <c r="X308" i="20"/>
  <c r="X62" i="20"/>
  <c r="AA142" i="20"/>
  <c r="AA96" i="20"/>
  <c r="AA4" i="20"/>
  <c r="AB2" i="20"/>
  <c r="AA83" i="20"/>
  <c r="AC1" i="20"/>
  <c r="AB3" i="20"/>
  <c r="AE92" i="20"/>
  <c r="AF93" i="20" s="1"/>
  <c r="AF84" i="20"/>
  <c r="AG85" i="20" s="1"/>
  <c r="Y75" i="20"/>
  <c r="Y22" i="20" s="1"/>
  <c r="Y14" i="20" s="1"/>
  <c r="Y99" i="20"/>
  <c r="AA164" i="20"/>
  <c r="AA167" i="20"/>
  <c r="AA141" i="20"/>
  <c r="AA163" i="20"/>
  <c r="AA82" i="20"/>
  <c r="AA78" i="20"/>
  <c r="AA95" i="20"/>
  <c r="V12" i="5"/>
  <c r="U13" i="33"/>
  <c r="U213" i="33" s="1"/>
  <c r="S43" i="4"/>
  <c r="R45" i="4"/>
  <c r="K9" i="5"/>
  <c r="K10" i="5"/>
  <c r="K8" i="5"/>
  <c r="K7" i="5"/>
  <c r="Y214" i="32" l="1"/>
  <c r="Y12" i="32"/>
  <c r="Z214" i="31"/>
  <c r="Z12" i="31"/>
  <c r="X214" i="27"/>
  <c r="X12" i="27"/>
  <c r="X12" i="24"/>
  <c r="X214" i="24"/>
  <c r="W214" i="24"/>
  <c r="W12" i="24"/>
  <c r="Y214" i="20"/>
  <c r="Y12" i="20"/>
  <c r="X22" i="33"/>
  <c r="U222" i="33"/>
  <c r="W213" i="32"/>
  <c r="W212" i="32" s="1"/>
  <c r="W144" i="32" s="1"/>
  <c r="U226" i="33"/>
  <c r="U230" i="33"/>
  <c r="W143" i="33"/>
  <c r="Y76" i="33"/>
  <c r="V68" i="33"/>
  <c r="X99" i="33"/>
  <c r="X75" i="33"/>
  <c r="X333" i="33" s="1"/>
  <c r="V211" i="20"/>
  <c r="V209" i="20" s="1"/>
  <c r="S146" i="33"/>
  <c r="Y279" i="33"/>
  <c r="W123" i="33"/>
  <c r="W122" i="33"/>
  <c r="W62" i="33"/>
  <c r="T117" i="33"/>
  <c r="U144" i="33"/>
  <c r="S137" i="33"/>
  <c r="T207" i="33"/>
  <c r="U206" i="33"/>
  <c r="U104" i="33"/>
  <c r="W213" i="20"/>
  <c r="W211" i="20" s="1"/>
  <c r="W261" i="20"/>
  <c r="W260" i="20" s="1"/>
  <c r="W206" i="20" s="1"/>
  <c r="W237" i="20"/>
  <c r="X122" i="20"/>
  <c r="X213" i="20" s="1"/>
  <c r="W68" i="20"/>
  <c r="W63" i="33"/>
  <c r="V212" i="32"/>
  <c r="V144" i="32" s="1"/>
  <c r="AG85" i="31"/>
  <c r="W237" i="32"/>
  <c r="W68" i="32"/>
  <c r="X122" i="32"/>
  <c r="V104" i="32"/>
  <c r="U126" i="32"/>
  <c r="X63" i="32"/>
  <c r="T126" i="32"/>
  <c r="S103" i="24"/>
  <c r="S103" i="33" s="1"/>
  <c r="T125" i="20"/>
  <c r="T146" i="20"/>
  <c r="AG84" i="31"/>
  <c r="AH85" i="31" s="1"/>
  <c r="AF92" i="31"/>
  <c r="AG93" i="31" s="1"/>
  <c r="X63" i="20"/>
  <c r="V104" i="20"/>
  <c r="U126" i="20"/>
  <c r="T137" i="20"/>
  <c r="U117" i="20"/>
  <c r="U103" i="20"/>
  <c r="V21" i="33"/>
  <c r="R125" i="27"/>
  <c r="R125" i="33" s="1"/>
  <c r="AF1" i="33"/>
  <c r="AE3" i="33"/>
  <c r="AD141" i="33"/>
  <c r="AD95" i="33"/>
  <c r="AD82" i="33"/>
  <c r="AD78" i="33"/>
  <c r="Y227" i="33"/>
  <c r="Y223" i="33"/>
  <c r="Y231" i="33"/>
  <c r="AJ84" i="33"/>
  <c r="AI92" i="33"/>
  <c r="AJ93" i="33" s="1"/>
  <c r="AE96" i="33"/>
  <c r="AE83" i="33"/>
  <c r="AE4" i="33"/>
  <c r="AE142" i="33"/>
  <c r="AF2" i="33"/>
  <c r="AC77" i="33"/>
  <c r="V144" i="20"/>
  <c r="T144" i="24"/>
  <c r="P206" i="27"/>
  <c r="P104" i="27" s="1"/>
  <c r="P144" i="27"/>
  <c r="Q206" i="27"/>
  <c r="Q104" i="27" s="1"/>
  <c r="Q144" i="27"/>
  <c r="O206" i="27"/>
  <c r="O104" i="27" s="1"/>
  <c r="O126" i="27" s="1"/>
  <c r="O144" i="27"/>
  <c r="T206" i="31"/>
  <c r="T144" i="31"/>
  <c r="T206" i="20"/>
  <c r="T144" i="20"/>
  <c r="S206" i="31"/>
  <c r="S104" i="31" s="1"/>
  <c r="S144" i="31"/>
  <c r="S206" i="20"/>
  <c r="S144" i="20"/>
  <c r="Q206" i="31"/>
  <c r="Q104" i="31" s="1"/>
  <c r="Q144" i="31"/>
  <c r="R206" i="20"/>
  <c r="R144" i="20"/>
  <c r="R206" i="31"/>
  <c r="R104" i="31" s="1"/>
  <c r="R144" i="31"/>
  <c r="S206" i="32"/>
  <c r="S144" i="32"/>
  <c r="R206" i="24"/>
  <c r="R104" i="24" s="1"/>
  <c r="R144" i="24"/>
  <c r="Q206" i="20"/>
  <c r="Q144" i="20"/>
  <c r="O206" i="31"/>
  <c r="O104" i="31" s="1"/>
  <c r="O126" i="31" s="1"/>
  <c r="O144" i="31"/>
  <c r="Q206" i="32"/>
  <c r="Q144" i="32"/>
  <c r="P206" i="24"/>
  <c r="P104" i="24" s="1"/>
  <c r="P144" i="24"/>
  <c r="O206" i="20"/>
  <c r="O144" i="20"/>
  <c r="P206" i="31"/>
  <c r="P104" i="31" s="1"/>
  <c r="P144" i="31"/>
  <c r="R206" i="32"/>
  <c r="R144" i="32"/>
  <c r="Q206" i="24"/>
  <c r="Q104" i="24" s="1"/>
  <c r="Q144" i="24"/>
  <c r="P206" i="20"/>
  <c r="P144" i="20"/>
  <c r="R206" i="27"/>
  <c r="R104" i="27" s="1"/>
  <c r="R126" i="27" s="1"/>
  <c r="R144" i="27"/>
  <c r="O206" i="32"/>
  <c r="O144" i="32"/>
  <c r="O206" i="24"/>
  <c r="O104" i="24" s="1"/>
  <c r="O126" i="24" s="1"/>
  <c r="O144" i="24"/>
  <c r="S206" i="27"/>
  <c r="S104" i="27" s="1"/>
  <c r="S144" i="27"/>
  <c r="P206" i="32"/>
  <c r="P144" i="32"/>
  <c r="U146" i="32"/>
  <c r="V207" i="32"/>
  <c r="V117" i="32" s="1"/>
  <c r="V137" i="32" s="1"/>
  <c r="W207" i="31"/>
  <c r="W117" i="31" s="1"/>
  <c r="W137" i="31" s="1"/>
  <c r="V146" i="31"/>
  <c r="U207" i="24"/>
  <c r="U117" i="24" s="1"/>
  <c r="U146" i="24" s="1"/>
  <c r="AB164" i="32"/>
  <c r="AB163" i="32"/>
  <c r="AB141" i="32"/>
  <c r="AB95" i="32"/>
  <c r="AB82" i="32"/>
  <c r="AB78" i="32"/>
  <c r="AB167" i="32"/>
  <c r="Z75" i="32"/>
  <c r="Z22" i="32" s="1"/>
  <c r="Z14" i="32" s="1"/>
  <c r="Z99" i="32"/>
  <c r="U102" i="32"/>
  <c r="U125" i="32"/>
  <c r="AF84" i="32"/>
  <c r="AG85" i="32" s="1"/>
  <c r="AE92" i="32"/>
  <c r="AF93" i="32" s="1"/>
  <c r="AA279" i="32"/>
  <c r="AA165" i="32"/>
  <c r="AD1" i="32"/>
  <c r="AC3" i="32"/>
  <c r="W231" i="32"/>
  <c r="W230" i="32" s="1"/>
  <c r="W223" i="32"/>
  <c r="W222" i="32" s="1"/>
  <c r="W227" i="32"/>
  <c r="W226" i="32" s="1"/>
  <c r="T125" i="32"/>
  <c r="T102" i="32"/>
  <c r="Z354" i="32"/>
  <c r="Z172" i="32"/>
  <c r="Z166" i="32"/>
  <c r="Z162" i="32" s="1"/>
  <c r="X220" i="32"/>
  <c r="AC83" i="32"/>
  <c r="AC142" i="32"/>
  <c r="AC96" i="32"/>
  <c r="AC4" i="32"/>
  <c r="AD2" i="32"/>
  <c r="X311" i="32"/>
  <c r="X310" i="32"/>
  <c r="Y358" i="32"/>
  <c r="Y308" i="32"/>
  <c r="Y143" i="32"/>
  <c r="Y123" i="32"/>
  <c r="Y62" i="32"/>
  <c r="V209" i="32"/>
  <c r="V205" i="32"/>
  <c r="V103" i="32" s="1"/>
  <c r="AA77" i="32"/>
  <c r="AA76" i="32"/>
  <c r="W206" i="32"/>
  <c r="V205" i="31"/>
  <c r="V103" i="31" s="1"/>
  <c r="V209" i="31"/>
  <c r="Z308" i="31"/>
  <c r="Z358" i="31"/>
  <c r="Z143" i="31"/>
  <c r="Z123" i="31"/>
  <c r="Z122" i="31" s="1"/>
  <c r="Z62" i="31"/>
  <c r="Z63" i="31" s="1"/>
  <c r="V126" i="31"/>
  <c r="X227" i="31"/>
  <c r="X226" i="31" s="1"/>
  <c r="X223" i="31"/>
  <c r="X222" i="31" s="1"/>
  <c r="X231" i="31"/>
  <c r="X230" i="31" s="1"/>
  <c r="AA99" i="31"/>
  <c r="AA75" i="31"/>
  <c r="AA22" i="31" s="1"/>
  <c r="AA14" i="31" s="1"/>
  <c r="Y220" i="31"/>
  <c r="AB77" i="31"/>
  <c r="AB76" i="31"/>
  <c r="AB142" i="31"/>
  <c r="AB4" i="31"/>
  <c r="AB96" i="31"/>
  <c r="AC2" i="31"/>
  <c r="AB83" i="31"/>
  <c r="AA354" i="31"/>
  <c r="AA166" i="31"/>
  <c r="AA162" i="31" s="1"/>
  <c r="AA172" i="31"/>
  <c r="Y261" i="31"/>
  <c r="Y260" i="31" s="1"/>
  <c r="Y213" i="31"/>
  <c r="Y237" i="31"/>
  <c r="AC167" i="31"/>
  <c r="AC163" i="31"/>
  <c r="AC141" i="31"/>
  <c r="AC164" i="31"/>
  <c r="AC95" i="31"/>
  <c r="AC82" i="31"/>
  <c r="AC78" i="31"/>
  <c r="Y311" i="31"/>
  <c r="Y310" i="31"/>
  <c r="AE1" i="31"/>
  <c r="AD3" i="31"/>
  <c r="AB165" i="31"/>
  <c r="AB279" i="31"/>
  <c r="W209" i="31"/>
  <c r="W205" i="31"/>
  <c r="W103" i="31" s="1"/>
  <c r="X261" i="31"/>
  <c r="X260" i="31" s="1"/>
  <c r="X213" i="31"/>
  <c r="X237" i="31"/>
  <c r="U125" i="31"/>
  <c r="U124" i="31" s="1"/>
  <c r="U127" i="31" s="1"/>
  <c r="U102" i="31"/>
  <c r="U207" i="27"/>
  <c r="U117" i="27" s="1"/>
  <c r="T137" i="27"/>
  <c r="T146" i="27"/>
  <c r="U209" i="27"/>
  <c r="U205" i="27"/>
  <c r="U103" i="27" s="1"/>
  <c r="AA167" i="27"/>
  <c r="AA163" i="27"/>
  <c r="AA95" i="27"/>
  <c r="AA164" i="27"/>
  <c r="AA141" i="27"/>
  <c r="AA82" i="27"/>
  <c r="AA78" i="27"/>
  <c r="Y354" i="27"/>
  <c r="Y172" i="27"/>
  <c r="Y166" i="27"/>
  <c r="Y162" i="27" s="1"/>
  <c r="X358" i="27"/>
  <c r="X308" i="27"/>
  <c r="X143" i="27"/>
  <c r="X123" i="27"/>
  <c r="X122" i="27" s="1"/>
  <c r="X62" i="27"/>
  <c r="X63" i="27" s="1"/>
  <c r="AB3" i="27"/>
  <c r="AC1" i="27"/>
  <c r="Z77" i="27"/>
  <c r="Z76" i="27"/>
  <c r="Y75" i="27"/>
  <c r="Y22" i="27" s="1"/>
  <c r="Y14" i="27" s="1"/>
  <c r="Y99" i="27"/>
  <c r="V231" i="27"/>
  <c r="V230" i="27" s="1"/>
  <c r="V227" i="27"/>
  <c r="V226" i="27" s="1"/>
  <c r="V223" i="27"/>
  <c r="V222" i="27" s="1"/>
  <c r="T126" i="27"/>
  <c r="AB96" i="27"/>
  <c r="AB83" i="27"/>
  <c r="AB4" i="27"/>
  <c r="AC2" i="27"/>
  <c r="AB142" i="27"/>
  <c r="V212" i="27"/>
  <c r="V144" i="27" s="1"/>
  <c r="V211" i="27"/>
  <c r="Z165" i="27"/>
  <c r="Z279" i="27"/>
  <c r="V206" i="27"/>
  <c r="V104" i="27" s="1"/>
  <c r="V126" i="27" s="1"/>
  <c r="T209" i="27"/>
  <c r="T205" i="27"/>
  <c r="T103" i="27" s="1"/>
  <c r="T103" i="33" s="1"/>
  <c r="W220" i="27"/>
  <c r="W261" i="27"/>
  <c r="W260" i="27" s="1"/>
  <c r="W213" i="27"/>
  <c r="W237" i="27"/>
  <c r="W311" i="27"/>
  <c r="W310" i="27"/>
  <c r="AE92" i="27"/>
  <c r="AF93" i="27" s="1"/>
  <c r="AF84" i="27"/>
  <c r="AG85" i="27" s="1"/>
  <c r="AB4" i="24"/>
  <c r="AC2" i="24"/>
  <c r="AB142" i="24"/>
  <c r="AB96" i="24"/>
  <c r="AB83" i="24"/>
  <c r="V211" i="24"/>
  <c r="V212" i="24"/>
  <c r="V144" i="24" s="1"/>
  <c r="Z77" i="24"/>
  <c r="Z76" i="24"/>
  <c r="U209" i="24"/>
  <c r="U205" i="24"/>
  <c r="U103" i="24" s="1"/>
  <c r="V206" i="24"/>
  <c r="V104" i="24" s="1"/>
  <c r="W220" i="24"/>
  <c r="T137" i="24"/>
  <c r="T146" i="24"/>
  <c r="AG92" i="24"/>
  <c r="AH93" i="24" s="1"/>
  <c r="AH84" i="24"/>
  <c r="W261" i="24"/>
  <c r="W260" i="24" s="1"/>
  <c r="W237" i="24"/>
  <c r="W213" i="24"/>
  <c r="Z279" i="24"/>
  <c r="Z165" i="24"/>
  <c r="T102" i="24"/>
  <c r="T125" i="24"/>
  <c r="T124" i="24" s="1"/>
  <c r="T127" i="24" s="1"/>
  <c r="V231" i="24"/>
  <c r="V230" i="24" s="1"/>
  <c r="V223" i="24"/>
  <c r="V222" i="24" s="1"/>
  <c r="V227" i="24"/>
  <c r="V226" i="24" s="1"/>
  <c r="W311" i="24"/>
  <c r="W310" i="24"/>
  <c r="X358" i="24"/>
  <c r="X123" i="24"/>
  <c r="X122" i="24" s="1"/>
  <c r="X308" i="24"/>
  <c r="X143" i="24"/>
  <c r="X62" i="24"/>
  <c r="X63" i="24" s="1"/>
  <c r="X68" i="24" s="1"/>
  <c r="Y354" i="24"/>
  <c r="Y166" i="24"/>
  <c r="Y162" i="24" s="1"/>
  <c r="Y172" i="24"/>
  <c r="Y75" i="24"/>
  <c r="Y22" i="24" s="1"/>
  <c r="Y14" i="24" s="1"/>
  <c r="Y99" i="24"/>
  <c r="AB3" i="24"/>
  <c r="AC1" i="24"/>
  <c r="AA163" i="24"/>
  <c r="AA141" i="24"/>
  <c r="AA82" i="24"/>
  <c r="AA78" i="24"/>
  <c r="AA95" i="24"/>
  <c r="AA167" i="24"/>
  <c r="AA164" i="24"/>
  <c r="AB142" i="20"/>
  <c r="AB96" i="20"/>
  <c r="AB4" i="20"/>
  <c r="AC2" i="20"/>
  <c r="AB83" i="20"/>
  <c r="AF92" i="20"/>
  <c r="AG93" i="20" s="1"/>
  <c r="AG84" i="20"/>
  <c r="Y358" i="20"/>
  <c r="Y143" i="20"/>
  <c r="Y308" i="20"/>
  <c r="Y123" i="20"/>
  <c r="Y62" i="20"/>
  <c r="AB164" i="20"/>
  <c r="AB141" i="20"/>
  <c r="AB163" i="20"/>
  <c r="AB78" i="20"/>
  <c r="AB167" i="20"/>
  <c r="AB95" i="20"/>
  <c r="AB82" i="20"/>
  <c r="V207" i="20"/>
  <c r="X311" i="20"/>
  <c r="X310" i="20"/>
  <c r="AA77" i="20"/>
  <c r="AA76" i="20"/>
  <c r="AD1" i="20"/>
  <c r="AC3" i="20"/>
  <c r="W223" i="20"/>
  <c r="W222" i="20" s="1"/>
  <c r="W231" i="20"/>
  <c r="W230" i="20" s="1"/>
  <c r="W227" i="20"/>
  <c r="W226" i="20" s="1"/>
  <c r="Z354" i="20"/>
  <c r="Z172" i="20"/>
  <c r="Z166" i="20"/>
  <c r="Z162" i="20" s="1"/>
  <c r="Z75" i="20"/>
  <c r="Z22" i="20" s="1"/>
  <c r="Z14" i="20" s="1"/>
  <c r="Z99" i="20"/>
  <c r="X220" i="20"/>
  <c r="AA279" i="20"/>
  <c r="AA165" i="20"/>
  <c r="W12" i="5"/>
  <c r="V13" i="33"/>
  <c r="V213" i="33" s="1"/>
  <c r="T43" i="4"/>
  <c r="S45" i="4"/>
  <c r="X12" i="33" l="1"/>
  <c r="X212" i="33" s="1"/>
  <c r="Z214" i="32"/>
  <c r="Z12" i="32"/>
  <c r="AA214" i="31"/>
  <c r="AA12" i="31"/>
  <c r="Y214" i="27"/>
  <c r="Y12" i="27"/>
  <c r="Y214" i="24"/>
  <c r="Y12" i="24"/>
  <c r="W12" i="33"/>
  <c r="W212" i="33" s="1"/>
  <c r="Z214" i="20"/>
  <c r="Z12" i="20"/>
  <c r="W211" i="32"/>
  <c r="W205" i="32" s="1"/>
  <c r="W103" i="32" s="1"/>
  <c r="Y22" i="33"/>
  <c r="T206" i="33"/>
  <c r="W68" i="33"/>
  <c r="U126" i="33"/>
  <c r="X143" i="33"/>
  <c r="V226" i="33"/>
  <c r="Z76" i="33"/>
  <c r="V230" i="33"/>
  <c r="Y99" i="33"/>
  <c r="Y75" i="33"/>
  <c r="Y333" i="33" s="1"/>
  <c r="V222" i="33"/>
  <c r="S206" i="33"/>
  <c r="V205" i="20"/>
  <c r="V103" i="20" s="1"/>
  <c r="Z279" i="33"/>
  <c r="T205" i="33"/>
  <c r="S144" i="33"/>
  <c r="T137" i="33"/>
  <c r="V144" i="33"/>
  <c r="O144" i="33"/>
  <c r="O206" i="33"/>
  <c r="T144" i="33"/>
  <c r="V206" i="33"/>
  <c r="P144" i="33"/>
  <c r="R144" i="33"/>
  <c r="T146" i="33"/>
  <c r="P206" i="33"/>
  <c r="R206" i="33"/>
  <c r="U207" i="33"/>
  <c r="X123" i="33"/>
  <c r="X62" i="33"/>
  <c r="X122" i="33"/>
  <c r="Q144" i="33"/>
  <c r="U103" i="33"/>
  <c r="Q206" i="33"/>
  <c r="U117" i="33"/>
  <c r="U205" i="33"/>
  <c r="X261" i="20"/>
  <c r="X260" i="20" s="1"/>
  <c r="X206" i="20" s="1"/>
  <c r="X237" i="20"/>
  <c r="V126" i="20"/>
  <c r="V104" i="33"/>
  <c r="X68" i="20"/>
  <c r="X63" i="33"/>
  <c r="Y122" i="20"/>
  <c r="W212" i="20"/>
  <c r="W144" i="20" s="1"/>
  <c r="U124" i="32"/>
  <c r="U127" i="32" s="1"/>
  <c r="T104" i="31"/>
  <c r="T126" i="31" s="1"/>
  <c r="T124" i="31" s="1"/>
  <c r="T127" i="31" s="1"/>
  <c r="T124" i="32"/>
  <c r="T127" i="32" s="1"/>
  <c r="X237" i="32"/>
  <c r="X213" i="32"/>
  <c r="X211" i="32" s="1"/>
  <c r="Q104" i="32"/>
  <c r="X68" i="32"/>
  <c r="W104" i="32"/>
  <c r="O104" i="32"/>
  <c r="S104" i="32"/>
  <c r="S126" i="32" s="1"/>
  <c r="X261" i="32"/>
  <c r="X260" i="32" s="1"/>
  <c r="X206" i="32" s="1"/>
  <c r="Y63" i="32"/>
  <c r="P104" i="32"/>
  <c r="P102" i="32" s="1"/>
  <c r="R104" i="32"/>
  <c r="V126" i="32"/>
  <c r="Y122" i="32"/>
  <c r="S125" i="24"/>
  <c r="S102" i="24"/>
  <c r="U146" i="20"/>
  <c r="U125" i="20"/>
  <c r="AH84" i="31"/>
  <c r="AI85" i="31" s="1"/>
  <c r="AG92" i="31"/>
  <c r="AH93" i="31" s="1"/>
  <c r="Y63" i="20"/>
  <c r="P104" i="20"/>
  <c r="S104" i="20"/>
  <c r="W104" i="20"/>
  <c r="R104" i="20"/>
  <c r="O104" i="20"/>
  <c r="Q104" i="20"/>
  <c r="U137" i="20"/>
  <c r="U102" i="20"/>
  <c r="V117" i="20"/>
  <c r="T104" i="20"/>
  <c r="W21" i="33"/>
  <c r="R124" i="27"/>
  <c r="R127" i="27" s="1"/>
  <c r="AK84" i="33"/>
  <c r="AJ92" i="33"/>
  <c r="AK93" i="33" s="1"/>
  <c r="AK85" i="33"/>
  <c r="Z227" i="33"/>
  <c r="Z223" i="33"/>
  <c r="Z231" i="33"/>
  <c r="AF142" i="33"/>
  <c r="AF4" i="33"/>
  <c r="AF96" i="33"/>
  <c r="AF83" i="33"/>
  <c r="AG2" i="33"/>
  <c r="AD77" i="33"/>
  <c r="AE141" i="33"/>
  <c r="AE95" i="33"/>
  <c r="AE82" i="33"/>
  <c r="AE78" i="33"/>
  <c r="AF3" i="33"/>
  <c r="AG1" i="33"/>
  <c r="R102" i="27"/>
  <c r="P126" i="31"/>
  <c r="P124" i="31" s="1"/>
  <c r="P127" i="31" s="1"/>
  <c r="P102" i="31"/>
  <c r="Q126" i="31"/>
  <c r="Q124" i="31" s="1"/>
  <c r="Q127" i="31" s="1"/>
  <c r="Q102" i="31"/>
  <c r="P126" i="24"/>
  <c r="P124" i="24" s="1"/>
  <c r="P127" i="24" s="1"/>
  <c r="P102" i="24"/>
  <c r="R126" i="31"/>
  <c r="R124" i="31" s="1"/>
  <c r="R127" i="31" s="1"/>
  <c r="R102" i="31"/>
  <c r="Q126" i="27"/>
  <c r="Q124" i="27" s="1"/>
  <c r="Q127" i="27" s="1"/>
  <c r="Q102" i="27"/>
  <c r="S126" i="27"/>
  <c r="S124" i="27" s="1"/>
  <c r="S127" i="27" s="1"/>
  <c r="S102" i="27"/>
  <c r="S126" i="31"/>
  <c r="S124" i="31" s="1"/>
  <c r="S127" i="31" s="1"/>
  <c r="S102" i="31"/>
  <c r="P126" i="27"/>
  <c r="P124" i="27" s="1"/>
  <c r="P127" i="27" s="1"/>
  <c r="P102" i="27"/>
  <c r="Q126" i="24"/>
  <c r="Q124" i="24" s="1"/>
  <c r="Q127" i="24" s="1"/>
  <c r="Q102" i="24"/>
  <c r="R126" i="24"/>
  <c r="R124" i="24" s="1"/>
  <c r="R127" i="24" s="1"/>
  <c r="R102" i="24"/>
  <c r="V207" i="27"/>
  <c r="V117" i="27" s="1"/>
  <c r="V137" i="27" s="1"/>
  <c r="V146" i="32"/>
  <c r="W146" i="31"/>
  <c r="U137" i="24"/>
  <c r="AG93" i="32"/>
  <c r="AA354" i="32"/>
  <c r="AA172" i="32"/>
  <c r="AA166" i="32"/>
  <c r="AA162" i="32" s="1"/>
  <c r="AB77" i="32"/>
  <c r="AB76" i="32"/>
  <c r="AD142" i="32"/>
  <c r="AD83" i="32"/>
  <c r="AD96" i="32"/>
  <c r="AD4" i="32"/>
  <c r="AE2" i="32"/>
  <c r="AF92" i="32"/>
  <c r="AG84" i="32"/>
  <c r="AH85" i="32" s="1"/>
  <c r="AD3" i="32"/>
  <c r="AE1" i="32"/>
  <c r="Y220" i="32"/>
  <c r="AC164" i="32"/>
  <c r="AC167" i="32"/>
  <c r="AC163" i="32"/>
  <c r="AC95" i="32"/>
  <c r="AC82" i="32"/>
  <c r="AC78" i="32"/>
  <c r="AC141" i="32"/>
  <c r="Z358" i="32"/>
  <c r="Z308" i="32"/>
  <c r="Z143" i="32"/>
  <c r="Z123" i="32"/>
  <c r="Z62" i="32"/>
  <c r="AB165" i="32"/>
  <c r="AB279" i="32"/>
  <c r="V102" i="32"/>
  <c r="V125" i="32"/>
  <c r="W207" i="32"/>
  <c r="W117" i="32" s="1"/>
  <c r="Y311" i="32"/>
  <c r="Y310" i="32"/>
  <c r="X223" i="32"/>
  <c r="X222" i="32" s="1"/>
  <c r="X231" i="32"/>
  <c r="X230" i="32" s="1"/>
  <c r="X227" i="32"/>
  <c r="X226" i="32" s="1"/>
  <c r="AA75" i="32"/>
  <c r="AA22" i="32" s="1"/>
  <c r="AA14" i="32" s="1"/>
  <c r="AA99" i="32"/>
  <c r="Z261" i="31"/>
  <c r="Z260" i="31" s="1"/>
  <c r="Z237" i="31"/>
  <c r="Z213" i="31"/>
  <c r="Z220" i="31"/>
  <c r="W102" i="31"/>
  <c r="W125" i="31"/>
  <c r="W124" i="31" s="1"/>
  <c r="W127" i="31" s="1"/>
  <c r="AB75" i="31"/>
  <c r="AB22" i="31" s="1"/>
  <c r="AB14" i="31" s="1"/>
  <c r="AB99" i="31"/>
  <c r="X207" i="31"/>
  <c r="X117" i="31" s="1"/>
  <c r="AC165" i="31"/>
  <c r="AC279" i="31"/>
  <c r="Z311" i="31"/>
  <c r="Z310" i="31"/>
  <c r="AB354" i="31"/>
  <c r="AB166" i="31"/>
  <c r="AB162" i="31" s="1"/>
  <c r="AB172" i="31"/>
  <c r="Y227" i="31"/>
  <c r="Y226" i="31" s="1"/>
  <c r="Y231" i="31"/>
  <c r="Y230" i="31" s="1"/>
  <c r="Y223" i="31"/>
  <c r="Y222" i="31" s="1"/>
  <c r="AD164" i="31"/>
  <c r="AD167" i="31"/>
  <c r="AD163" i="31"/>
  <c r="AD141" i="31"/>
  <c r="AD95" i="31"/>
  <c r="AD78" i="31"/>
  <c r="AD82" i="31"/>
  <c r="AC142" i="31"/>
  <c r="AC4" i="31"/>
  <c r="AC96" i="31"/>
  <c r="AD2" i="31"/>
  <c r="AC83" i="31"/>
  <c r="V102" i="31"/>
  <c r="V125" i="31"/>
  <c r="V124" i="31" s="1"/>
  <c r="V127" i="31" s="1"/>
  <c r="X212" i="31"/>
  <c r="X144" i="31" s="1"/>
  <c r="X211" i="31"/>
  <c r="AF1" i="31"/>
  <c r="AE3" i="31"/>
  <c r="X206" i="31"/>
  <c r="X104" i="31" s="1"/>
  <c r="Y206" i="31"/>
  <c r="Y104" i="31" s="1"/>
  <c r="Y126" i="31" s="1"/>
  <c r="AC77" i="31"/>
  <c r="AC76" i="31"/>
  <c r="Y212" i="31"/>
  <c r="Y144" i="31" s="1"/>
  <c r="Y211" i="31"/>
  <c r="AA358" i="31"/>
  <c r="AA308" i="31"/>
  <c r="AA123" i="31"/>
  <c r="AA122" i="31" s="1"/>
  <c r="AA143" i="31"/>
  <c r="AA62" i="31"/>
  <c r="AA63" i="31" s="1"/>
  <c r="AA68" i="31" s="1"/>
  <c r="Z68" i="31"/>
  <c r="AB167" i="27"/>
  <c r="AB141" i="27"/>
  <c r="AB95" i="27"/>
  <c r="AB164" i="27"/>
  <c r="AB82" i="27"/>
  <c r="AB163" i="27"/>
  <c r="AB78" i="27"/>
  <c r="T125" i="27"/>
  <c r="T124" i="27" s="1"/>
  <c r="T127" i="27" s="1"/>
  <c r="T102" i="27"/>
  <c r="AC96" i="27"/>
  <c r="AC83" i="27"/>
  <c r="AC4" i="27"/>
  <c r="AD2" i="27"/>
  <c r="AC142" i="27"/>
  <c r="X68" i="27"/>
  <c r="X213" i="27"/>
  <c r="X237" i="27"/>
  <c r="X261" i="27"/>
  <c r="X260" i="27" s="1"/>
  <c r="Y358" i="27"/>
  <c r="Y308" i="27"/>
  <c r="Y143" i="27"/>
  <c r="Y123" i="27"/>
  <c r="Y122" i="27" s="1"/>
  <c r="Y62" i="27"/>
  <c r="Y63" i="27" s="1"/>
  <c r="Y68" i="27" s="1"/>
  <c r="X220" i="27"/>
  <c r="AA165" i="27"/>
  <c r="AA279" i="27"/>
  <c r="W206" i="27"/>
  <c r="W104" i="27" s="1"/>
  <c r="W126" i="27" s="1"/>
  <c r="X311" i="27"/>
  <c r="X310" i="27"/>
  <c r="Z75" i="27"/>
  <c r="Z22" i="27" s="1"/>
  <c r="Z14" i="27" s="1"/>
  <c r="Z99" i="27"/>
  <c r="U125" i="27"/>
  <c r="U124" i="27" s="1"/>
  <c r="U127" i="27" s="1"/>
  <c r="U102" i="27"/>
  <c r="W212" i="27"/>
  <c r="W144" i="27" s="1"/>
  <c r="W211" i="27"/>
  <c r="Z354" i="27"/>
  <c r="Z172" i="27"/>
  <c r="Z166" i="27"/>
  <c r="Z162" i="27" s="1"/>
  <c r="W227" i="27"/>
  <c r="W226" i="27" s="1"/>
  <c r="W223" i="27"/>
  <c r="W222" i="27" s="1"/>
  <c r="W231" i="27"/>
  <c r="W230" i="27" s="1"/>
  <c r="AA77" i="27"/>
  <c r="AA76" i="27"/>
  <c r="U137" i="27"/>
  <c r="U146" i="27"/>
  <c r="AF92" i="27"/>
  <c r="AG93" i="27" s="1"/>
  <c r="AG84" i="27"/>
  <c r="V209" i="27"/>
  <c r="V205" i="27"/>
  <c r="V103" i="27" s="1"/>
  <c r="AC3" i="27"/>
  <c r="AD1" i="27"/>
  <c r="AA279" i="24"/>
  <c r="AA165" i="24"/>
  <c r="AH92" i="24"/>
  <c r="AI93" i="24" s="1"/>
  <c r="AI84" i="24"/>
  <c r="V207" i="24"/>
  <c r="V117" i="24" s="1"/>
  <c r="Z75" i="24"/>
  <c r="Z22" i="24" s="1"/>
  <c r="Z14" i="24" s="1"/>
  <c r="Z99" i="24"/>
  <c r="X220" i="24"/>
  <c r="AC3" i="24"/>
  <c r="AD1" i="24"/>
  <c r="X311" i="24"/>
  <c r="X310" i="24"/>
  <c r="V209" i="24"/>
  <c r="V205" i="24"/>
  <c r="V103" i="24" s="1"/>
  <c r="AB163" i="24"/>
  <c r="AB141" i="24"/>
  <c r="AB82" i="24"/>
  <c r="AB78" i="24"/>
  <c r="AB167" i="24"/>
  <c r="AB164" i="24"/>
  <c r="AB95" i="24"/>
  <c r="X261" i="24"/>
  <c r="X260" i="24" s="1"/>
  <c r="X213" i="24"/>
  <c r="X237" i="24"/>
  <c r="Z354" i="24"/>
  <c r="Z166" i="24"/>
  <c r="Z162" i="24" s="1"/>
  <c r="Z172" i="24"/>
  <c r="W231" i="24"/>
  <c r="W230" i="24" s="1"/>
  <c r="W227" i="24"/>
  <c r="W226" i="24" s="1"/>
  <c r="W223" i="24"/>
  <c r="W222" i="24" s="1"/>
  <c r="V126" i="24"/>
  <c r="AC4" i="24"/>
  <c r="AD2" i="24"/>
  <c r="AC96" i="24"/>
  <c r="AC83" i="24"/>
  <c r="AC142" i="24"/>
  <c r="AA77" i="24"/>
  <c r="AA76" i="24"/>
  <c r="W212" i="24"/>
  <c r="W144" i="24" s="1"/>
  <c r="W211" i="24"/>
  <c r="Y358" i="24"/>
  <c r="Y308" i="24"/>
  <c r="Y123" i="24"/>
  <c r="Y122" i="24" s="1"/>
  <c r="Y143" i="24"/>
  <c r="Y62" i="24"/>
  <c r="Y63" i="24" s="1"/>
  <c r="Y68" i="24" s="1"/>
  <c r="AI85" i="24"/>
  <c r="W206" i="24"/>
  <c r="W104" i="24" s="1"/>
  <c r="W126" i="24" s="1"/>
  <c r="U125" i="24"/>
  <c r="U124" i="24" s="1"/>
  <c r="U127" i="24" s="1"/>
  <c r="U102" i="24"/>
  <c r="X211" i="20"/>
  <c r="X212" i="20"/>
  <c r="W205" i="20"/>
  <c r="W209" i="20"/>
  <c r="X231" i="20"/>
  <c r="X230" i="20" s="1"/>
  <c r="X227" i="20"/>
  <c r="X226" i="20" s="1"/>
  <c r="X223" i="20"/>
  <c r="X222" i="20" s="1"/>
  <c r="W207" i="20"/>
  <c r="AB77" i="20"/>
  <c r="AB76" i="20"/>
  <c r="AG92" i="20"/>
  <c r="AH93" i="20" s="1"/>
  <c r="AH84" i="20"/>
  <c r="Z358" i="20"/>
  <c r="Z308" i="20"/>
  <c r="Z143" i="20"/>
  <c r="Z62" i="20"/>
  <c r="Z123" i="20"/>
  <c r="AC141" i="20"/>
  <c r="AC167" i="20"/>
  <c r="AC163" i="20"/>
  <c r="AC164" i="20"/>
  <c r="AC95" i="20"/>
  <c r="AC82" i="20"/>
  <c r="AC78" i="20"/>
  <c r="AB165" i="20"/>
  <c r="AB279" i="20"/>
  <c r="AD3" i="20"/>
  <c r="AE1" i="20"/>
  <c r="AA354" i="20"/>
  <c r="AA172" i="20"/>
  <c r="AA166" i="20"/>
  <c r="AA162" i="20" s="1"/>
  <c r="Y311" i="20"/>
  <c r="Y310" i="20"/>
  <c r="Y220" i="20"/>
  <c r="AC142" i="20"/>
  <c r="AD2" i="20"/>
  <c r="AC4" i="20"/>
  <c r="AC96" i="20"/>
  <c r="AC83" i="20"/>
  <c r="AA75" i="20"/>
  <c r="AA22" i="20" s="1"/>
  <c r="AA14" i="20" s="1"/>
  <c r="AA99" i="20"/>
  <c r="AH85" i="20"/>
  <c r="X12" i="5"/>
  <c r="W13" i="33"/>
  <c r="W213" i="33" s="1"/>
  <c r="U43" i="4"/>
  <c r="T45" i="4"/>
  <c r="Y12" i="33" l="1"/>
  <c r="Y212" i="33" s="1"/>
  <c r="R104" i="33"/>
  <c r="AA214" i="32"/>
  <c r="AA12" i="32"/>
  <c r="AB214" i="31"/>
  <c r="AB12" i="31"/>
  <c r="Z214" i="27"/>
  <c r="Z12" i="27"/>
  <c r="Z214" i="24"/>
  <c r="Z12" i="24"/>
  <c r="AA214" i="20"/>
  <c r="AA12" i="20"/>
  <c r="W209" i="32"/>
  <c r="Z22" i="33"/>
  <c r="S104" i="33"/>
  <c r="O104" i="33"/>
  <c r="P104" i="33"/>
  <c r="P126" i="32"/>
  <c r="AA76" i="33"/>
  <c r="Z75" i="33"/>
  <c r="Z333" i="33" s="1"/>
  <c r="W222" i="33"/>
  <c r="W226" i="33"/>
  <c r="W230" i="33"/>
  <c r="X68" i="33"/>
  <c r="Y143" i="33"/>
  <c r="Z99" i="33"/>
  <c r="AA279" i="33"/>
  <c r="T102" i="31"/>
  <c r="T104" i="33"/>
  <c r="U146" i="33"/>
  <c r="T125" i="33"/>
  <c r="Q104" i="33"/>
  <c r="Y62" i="33"/>
  <c r="V117" i="33"/>
  <c r="U125" i="33"/>
  <c r="U102" i="33"/>
  <c r="U137" i="33"/>
  <c r="S124" i="24"/>
  <c r="S127" i="24" s="1"/>
  <c r="S125" i="33"/>
  <c r="V126" i="33"/>
  <c r="W104" i="33"/>
  <c r="V205" i="33"/>
  <c r="W206" i="33"/>
  <c r="V207" i="33"/>
  <c r="W144" i="33"/>
  <c r="Y123" i="33"/>
  <c r="V103" i="33"/>
  <c r="Y122" i="33"/>
  <c r="X144" i="20"/>
  <c r="Y261" i="20"/>
  <c r="Y260" i="20" s="1"/>
  <c r="Y206" i="20" s="1"/>
  <c r="Y213" i="20"/>
  <c r="Y212" i="20" s="1"/>
  <c r="Y237" i="20"/>
  <c r="Y68" i="20"/>
  <c r="Y63" i="33"/>
  <c r="Z122" i="20"/>
  <c r="X212" i="32"/>
  <c r="X144" i="32" s="1"/>
  <c r="Q126" i="32"/>
  <c r="Q124" i="32" s="1"/>
  <c r="Q127" i="32" s="1"/>
  <c r="Y213" i="32"/>
  <c r="Y211" i="32" s="1"/>
  <c r="Y237" i="32"/>
  <c r="Q102" i="32"/>
  <c r="S102" i="32"/>
  <c r="Z122" i="32"/>
  <c r="Z237" i="32" s="1"/>
  <c r="X104" i="32"/>
  <c r="S124" i="32"/>
  <c r="S127" i="32" s="1"/>
  <c r="Y261" i="32"/>
  <c r="Y260" i="32" s="1"/>
  <c r="Y206" i="32" s="1"/>
  <c r="P124" i="32"/>
  <c r="P127" i="32" s="1"/>
  <c r="R102" i="32"/>
  <c r="Z63" i="32"/>
  <c r="O126" i="32"/>
  <c r="W126" i="32"/>
  <c r="V124" i="32"/>
  <c r="V127" i="32" s="1"/>
  <c r="R126" i="32"/>
  <c r="Y68" i="32"/>
  <c r="U124" i="20"/>
  <c r="U124" i="33" s="1"/>
  <c r="V125" i="20"/>
  <c r="V146" i="20"/>
  <c r="R102" i="20"/>
  <c r="Q102" i="20"/>
  <c r="R126" i="20"/>
  <c r="Q126" i="20"/>
  <c r="AI84" i="31"/>
  <c r="AH92" i="31"/>
  <c r="AI93" i="31" s="1"/>
  <c r="AJ85" i="24"/>
  <c r="S102" i="20"/>
  <c r="S126" i="20"/>
  <c r="S126" i="33" s="1"/>
  <c r="Z63" i="20"/>
  <c r="P126" i="20"/>
  <c r="P102" i="20"/>
  <c r="P102" i="33" s="1"/>
  <c r="W126" i="20"/>
  <c r="X104" i="20"/>
  <c r="O126" i="20"/>
  <c r="V137" i="20"/>
  <c r="V102" i="20"/>
  <c r="W117" i="20"/>
  <c r="W103" i="20"/>
  <c r="T126" i="20"/>
  <c r="T126" i="33" s="1"/>
  <c r="T102" i="20"/>
  <c r="X21" i="33"/>
  <c r="AL85" i="33"/>
  <c r="AG3" i="33"/>
  <c r="AH1" i="33"/>
  <c r="AL84" i="33"/>
  <c r="AK92" i="33"/>
  <c r="AL93" i="33" s="1"/>
  <c r="AF141" i="33"/>
  <c r="AF78" i="33"/>
  <c r="AF95" i="33"/>
  <c r="AF82" i="33"/>
  <c r="AG142" i="33"/>
  <c r="AG83" i="33"/>
  <c r="AH2" i="33"/>
  <c r="AG4" i="33"/>
  <c r="AG96" i="33"/>
  <c r="AE77" i="33"/>
  <c r="AA223" i="33"/>
  <c r="AA231" i="33"/>
  <c r="AA227" i="33"/>
  <c r="V146" i="27"/>
  <c r="Y207" i="31"/>
  <c r="Y117" i="31" s="1"/>
  <c r="Y137" i="31" s="1"/>
  <c r="W207" i="27"/>
  <c r="W117" i="27" s="1"/>
  <c r="W137" i="27" s="1"/>
  <c r="W207" i="24"/>
  <c r="W117" i="24" s="1"/>
  <c r="W137" i="24" s="1"/>
  <c r="X205" i="32"/>
  <c r="X103" i="32" s="1"/>
  <c r="X209" i="32"/>
  <c r="Z220" i="32"/>
  <c r="Z311" i="32"/>
  <c r="Z310" i="32"/>
  <c r="X207" i="32"/>
  <c r="X117" i="32" s="1"/>
  <c r="Y223" i="32"/>
  <c r="Y222" i="32" s="1"/>
  <c r="Y231" i="32"/>
  <c r="Y230" i="32" s="1"/>
  <c r="Y227" i="32"/>
  <c r="Y226" i="32" s="1"/>
  <c r="AE142" i="32"/>
  <c r="AE96" i="32"/>
  <c r="AE83" i="32"/>
  <c r="AE4" i="32"/>
  <c r="AF2" i="32"/>
  <c r="AC77" i="32"/>
  <c r="AC76" i="32"/>
  <c r="AE3" i="32"/>
  <c r="AF1" i="32"/>
  <c r="W137" i="32"/>
  <c r="W146" i="32"/>
  <c r="W102" i="32"/>
  <c r="W125" i="32"/>
  <c r="AB354" i="32"/>
  <c r="AB172" i="32"/>
  <c r="AB166" i="32"/>
  <c r="AB162" i="32" s="1"/>
  <c r="AD164" i="32"/>
  <c r="AD141" i="32"/>
  <c r="AD163" i="32"/>
  <c r="AD82" i="32"/>
  <c r="AD95" i="32"/>
  <c r="AD78" i="32"/>
  <c r="AD167" i="32"/>
  <c r="AG92" i="32"/>
  <c r="AH93" i="32" s="1"/>
  <c r="AH84" i="32"/>
  <c r="AC165" i="32"/>
  <c r="AC279" i="32"/>
  <c r="AA358" i="32"/>
  <c r="AA308" i="32"/>
  <c r="AA143" i="32"/>
  <c r="AA123" i="32"/>
  <c r="AA62" i="32"/>
  <c r="AB75" i="32"/>
  <c r="AB22" i="32" s="1"/>
  <c r="AB14" i="32" s="1"/>
  <c r="AB99" i="32"/>
  <c r="AB358" i="31"/>
  <c r="AB308" i="31"/>
  <c r="AB143" i="31"/>
  <c r="AB123" i="31"/>
  <c r="AB122" i="31" s="1"/>
  <c r="AB62" i="31"/>
  <c r="AB63" i="31" s="1"/>
  <c r="AB68" i="31" s="1"/>
  <c r="AA261" i="31"/>
  <c r="AA260" i="31" s="1"/>
  <c r="AA237" i="31"/>
  <c r="AA213" i="31"/>
  <c r="AA311" i="31"/>
  <c r="AA310" i="31"/>
  <c r="Y209" i="31"/>
  <c r="Y205" i="31"/>
  <c r="Y103" i="31" s="1"/>
  <c r="AD142" i="31"/>
  <c r="AD96" i="31"/>
  <c r="AD4" i="31"/>
  <c r="AE2" i="31"/>
  <c r="AD83" i="31"/>
  <c r="X126" i="31"/>
  <c r="AC354" i="31"/>
  <c r="AC166" i="31"/>
  <c r="AC162" i="31" s="1"/>
  <c r="AC172" i="31"/>
  <c r="Z223" i="31"/>
  <c r="Z222" i="31" s="1"/>
  <c r="Z227" i="31"/>
  <c r="Z226" i="31" s="1"/>
  <c r="Z231" i="31"/>
  <c r="Z230" i="31" s="1"/>
  <c r="AC75" i="31"/>
  <c r="AC22" i="31" s="1"/>
  <c r="AC14" i="31" s="1"/>
  <c r="AC99" i="31"/>
  <c r="X146" i="31"/>
  <c r="X137" i="31"/>
  <c r="AD165" i="31"/>
  <c r="AD279" i="31"/>
  <c r="Z212" i="31"/>
  <c r="Z144" i="31" s="1"/>
  <c r="Z211" i="31"/>
  <c r="AE167" i="31"/>
  <c r="AE163" i="31"/>
  <c r="AE141" i="31"/>
  <c r="AE95" i="31"/>
  <c r="AE164" i="31"/>
  <c r="AE78" i="31"/>
  <c r="AE82" i="31"/>
  <c r="AD77" i="31"/>
  <c r="AD76" i="31"/>
  <c r="AG1" i="31"/>
  <c r="AF3" i="31"/>
  <c r="Z206" i="31"/>
  <c r="Z104" i="31" s="1"/>
  <c r="Z126" i="31" s="1"/>
  <c r="AA220" i="31"/>
  <c r="X205" i="31"/>
  <c r="X103" i="31" s="1"/>
  <c r="X209" i="31"/>
  <c r="X206" i="27"/>
  <c r="X104" i="27" s="1"/>
  <c r="X126" i="27" s="1"/>
  <c r="AA75" i="27"/>
  <c r="AA22" i="27" s="1"/>
  <c r="AA14" i="27" s="1"/>
  <c r="AA99" i="27"/>
  <c r="X227" i="27"/>
  <c r="X226" i="27" s="1"/>
  <c r="X223" i="27"/>
  <c r="X222" i="27" s="1"/>
  <c r="X231" i="27"/>
  <c r="X230" i="27" s="1"/>
  <c r="X212" i="27"/>
  <c r="X144" i="27" s="1"/>
  <c r="X211" i="27"/>
  <c r="AB77" i="27"/>
  <c r="AB76" i="27"/>
  <c r="Y237" i="27"/>
  <c r="Y261" i="27"/>
  <c r="Y260" i="27" s="1"/>
  <c r="Y213" i="27"/>
  <c r="AB165" i="27"/>
  <c r="AB279" i="27"/>
  <c r="AD3" i="27"/>
  <c r="AE1" i="27"/>
  <c r="Y220" i="27"/>
  <c r="AC167" i="27"/>
  <c r="AC95" i="27"/>
  <c r="AC164" i="27"/>
  <c r="AC141" i="27"/>
  <c r="AC163" i="27"/>
  <c r="AC78" i="27"/>
  <c r="AC82" i="27"/>
  <c r="W209" i="27"/>
  <c r="W205" i="27"/>
  <c r="W103" i="27" s="1"/>
  <c r="Y311" i="27"/>
  <c r="Y310" i="27"/>
  <c r="AD96" i="27"/>
  <c r="AD83" i="27"/>
  <c r="AD4" i="27"/>
  <c r="AE2" i="27"/>
  <c r="AD142" i="27"/>
  <c r="AG92" i="27"/>
  <c r="AH93" i="27" s="1"/>
  <c r="AH84" i="27"/>
  <c r="AA354" i="27"/>
  <c r="AA172" i="27"/>
  <c r="AA166" i="27"/>
  <c r="AA162" i="27" s="1"/>
  <c r="V125" i="27"/>
  <c r="V124" i="27" s="1"/>
  <c r="V127" i="27" s="1"/>
  <c r="V102" i="27"/>
  <c r="Z308" i="27"/>
  <c r="Z358" i="27"/>
  <c r="Z123" i="27"/>
  <c r="Z122" i="27" s="1"/>
  <c r="Z62" i="27"/>
  <c r="Z63" i="27" s="1"/>
  <c r="Z68" i="27" s="1"/>
  <c r="Z143" i="27"/>
  <c r="AH85" i="27"/>
  <c r="AB165" i="24"/>
  <c r="AB279" i="24"/>
  <c r="X223" i="24"/>
  <c r="X222" i="24" s="1"/>
  <c r="X231" i="24"/>
  <c r="X230" i="24" s="1"/>
  <c r="X227" i="24"/>
  <c r="X226" i="24" s="1"/>
  <c r="AK85" i="24"/>
  <c r="X211" i="24"/>
  <c r="X212" i="24"/>
  <c r="X144" i="24" s="1"/>
  <c r="Z358" i="24"/>
  <c r="Z308" i="24"/>
  <c r="Z143" i="24"/>
  <c r="Z62" i="24"/>
  <c r="Z63" i="24" s="1"/>
  <c r="Z68" i="24" s="1"/>
  <c r="Z123" i="24"/>
  <c r="Z122" i="24" s="1"/>
  <c r="V125" i="24"/>
  <c r="V124" i="24" s="1"/>
  <c r="V127" i="24" s="1"/>
  <c r="V102" i="24"/>
  <c r="V146" i="24"/>
  <c r="V137" i="24"/>
  <c r="W209" i="24"/>
  <c r="W205" i="24"/>
  <c r="W103" i="24" s="1"/>
  <c r="X206" i="24"/>
  <c r="X104" i="24" s="1"/>
  <c r="X126" i="24" s="1"/>
  <c r="AI92" i="24"/>
  <c r="AJ93" i="24" s="1"/>
  <c r="AJ84" i="24"/>
  <c r="AA75" i="24"/>
  <c r="AA22" i="24" s="1"/>
  <c r="AA14" i="24" s="1"/>
  <c r="AA99" i="24"/>
  <c r="AD3" i="24"/>
  <c r="AE1" i="24"/>
  <c r="AA354" i="24"/>
  <c r="AA166" i="24"/>
  <c r="AA162" i="24" s="1"/>
  <c r="AA172" i="24"/>
  <c r="AC78" i="24"/>
  <c r="AC163" i="24"/>
  <c r="AC82" i="24"/>
  <c r="AC167" i="24"/>
  <c r="AC164" i="24"/>
  <c r="AC141" i="24"/>
  <c r="AC95" i="24"/>
  <c r="Y220" i="24"/>
  <c r="AB77" i="24"/>
  <c r="AB76" i="24"/>
  <c r="Y213" i="24"/>
  <c r="Y237" i="24"/>
  <c r="Y261" i="24"/>
  <c r="Y260" i="24" s="1"/>
  <c r="Y311" i="24"/>
  <c r="Y310" i="24"/>
  <c r="AD4" i="24"/>
  <c r="AE2" i="24"/>
  <c r="AD96" i="24"/>
  <c r="AD83" i="24"/>
  <c r="AD142" i="24"/>
  <c r="AD4" i="20"/>
  <c r="AD142" i="20"/>
  <c r="AD96" i="20"/>
  <c r="AE2" i="20"/>
  <c r="AD83" i="20"/>
  <c r="AC165" i="20"/>
  <c r="AC279" i="20"/>
  <c r="Y231" i="20"/>
  <c r="Y230" i="20" s="1"/>
  <c r="Y227" i="20"/>
  <c r="Y226" i="20" s="1"/>
  <c r="Y223" i="20"/>
  <c r="Y222" i="20" s="1"/>
  <c r="X205" i="20"/>
  <c r="X209" i="20"/>
  <c r="AE3" i="20"/>
  <c r="AF1" i="20"/>
  <c r="AH92" i="20"/>
  <c r="AI93" i="20" s="1"/>
  <c r="AI84" i="20"/>
  <c r="AB75" i="20"/>
  <c r="AB22" i="20" s="1"/>
  <c r="AB14" i="20" s="1"/>
  <c r="AB99" i="20"/>
  <c r="Z220" i="20"/>
  <c r="AC77" i="20"/>
  <c r="AC76" i="20"/>
  <c r="AD141" i="20"/>
  <c r="AD167" i="20"/>
  <c r="AD163" i="20"/>
  <c r="AD164" i="20"/>
  <c r="AD95" i="20"/>
  <c r="AD78" i="20"/>
  <c r="AD82" i="20"/>
  <c r="AI85" i="20"/>
  <c r="AJ85" i="20" s="1"/>
  <c r="AB354" i="20"/>
  <c r="AB172" i="20"/>
  <c r="AB166" i="20"/>
  <c r="AB162" i="20" s="1"/>
  <c r="Z311" i="20"/>
  <c r="Z310" i="20"/>
  <c r="AA358" i="20"/>
  <c r="AA143" i="20"/>
  <c r="AA123" i="20"/>
  <c r="AA62" i="20"/>
  <c r="AA308" i="20"/>
  <c r="X207" i="20"/>
  <c r="Y12" i="5"/>
  <c r="X13" i="33"/>
  <c r="X213" i="33" s="1"/>
  <c r="V43" i="4"/>
  <c r="U45" i="4"/>
  <c r="Z12" i="33" l="1"/>
  <c r="Z212" i="33" s="1"/>
  <c r="AB214" i="32"/>
  <c r="AB12" i="32"/>
  <c r="AC12" i="31"/>
  <c r="AC214" i="31"/>
  <c r="AA214" i="27"/>
  <c r="AA12" i="27"/>
  <c r="AA214" i="24"/>
  <c r="AA12" i="24"/>
  <c r="Y211" i="20"/>
  <c r="Y209" i="20" s="1"/>
  <c r="AB214" i="20"/>
  <c r="AB12" i="20"/>
  <c r="X226" i="33"/>
  <c r="AA22" i="33"/>
  <c r="Z261" i="32"/>
  <c r="Z260" i="32" s="1"/>
  <c r="Z206" i="32" s="1"/>
  <c r="Y68" i="33"/>
  <c r="O126" i="33"/>
  <c r="AA99" i="33"/>
  <c r="AB76" i="33"/>
  <c r="X222" i="33"/>
  <c r="Z143" i="33"/>
  <c r="AA75" i="33"/>
  <c r="AA333" i="33" s="1"/>
  <c r="X230" i="33"/>
  <c r="T102" i="33"/>
  <c r="S102" i="33"/>
  <c r="AB279" i="33"/>
  <c r="Q102" i="33"/>
  <c r="W126" i="33"/>
  <c r="R102" i="33"/>
  <c r="Y144" i="20"/>
  <c r="X206" i="33"/>
  <c r="W103" i="33"/>
  <c r="X144" i="33"/>
  <c r="W117" i="33"/>
  <c r="V137" i="33"/>
  <c r="X104" i="33"/>
  <c r="Z123" i="33"/>
  <c r="W205" i="33"/>
  <c r="V102" i="33"/>
  <c r="Z122" i="33"/>
  <c r="Z62" i="33"/>
  <c r="V146" i="33"/>
  <c r="W207" i="33"/>
  <c r="Z237" i="20"/>
  <c r="Z261" i="20"/>
  <c r="Z260" i="20" s="1"/>
  <c r="Z206" i="20" s="1"/>
  <c r="Q124" i="20"/>
  <c r="Q124" i="33" s="1"/>
  <c r="Q126" i="33"/>
  <c r="Z213" i="20"/>
  <c r="Z212" i="20" s="1"/>
  <c r="R124" i="20"/>
  <c r="R126" i="33"/>
  <c r="P124" i="20"/>
  <c r="P124" i="33" s="1"/>
  <c r="P126" i="33"/>
  <c r="V124" i="20"/>
  <c r="V124" i="33" s="1"/>
  <c r="V125" i="33"/>
  <c r="AA122" i="20"/>
  <c r="Z68" i="20"/>
  <c r="Z63" i="33"/>
  <c r="S124" i="20"/>
  <c r="S124" i="33" s="1"/>
  <c r="W124" i="32"/>
  <c r="W127" i="32" s="1"/>
  <c r="Y212" i="32"/>
  <c r="Y144" i="32" s="1"/>
  <c r="Z213" i="32"/>
  <c r="Z212" i="32" s="1"/>
  <c r="R124" i="32"/>
  <c r="R127" i="32" s="1"/>
  <c r="AA63" i="32"/>
  <c r="AA122" i="32"/>
  <c r="X126" i="32"/>
  <c r="Y104" i="32"/>
  <c r="Z68" i="32"/>
  <c r="W102" i="20"/>
  <c r="W146" i="20"/>
  <c r="U127" i="20"/>
  <c r="U127" i="33" s="1"/>
  <c r="AJ84" i="31"/>
  <c r="AI92" i="31"/>
  <c r="AJ93" i="31" s="1"/>
  <c r="AJ85" i="31"/>
  <c r="AK85" i="31" s="1"/>
  <c r="AA63" i="20"/>
  <c r="W137" i="20"/>
  <c r="W137" i="33" s="1"/>
  <c r="T124" i="20"/>
  <c r="T124" i="33" s="1"/>
  <c r="X126" i="20"/>
  <c r="Y104" i="20"/>
  <c r="W125" i="20"/>
  <c r="X117" i="20"/>
  <c r="X103" i="20"/>
  <c r="Y21" i="33"/>
  <c r="AB223" i="33"/>
  <c r="AB231" i="33"/>
  <c r="AB227" i="33"/>
  <c r="AH142" i="33"/>
  <c r="AH4" i="33"/>
  <c r="AI2" i="33"/>
  <c r="AH83" i="33"/>
  <c r="AH96" i="33"/>
  <c r="AM84" i="33"/>
  <c r="AM92" i="33" s="1"/>
  <c r="AL92" i="33"/>
  <c r="AM93" i="33" s="1"/>
  <c r="AH3" i="33"/>
  <c r="AI1" i="33"/>
  <c r="AG141" i="33"/>
  <c r="AG95" i="33"/>
  <c r="AG82" i="33"/>
  <c r="AG78" i="33"/>
  <c r="AM85" i="33"/>
  <c r="AF77" i="33"/>
  <c r="W146" i="24"/>
  <c r="Y207" i="32"/>
  <c r="Y117" i="32" s="1"/>
  <c r="Y137" i="32" s="1"/>
  <c r="Y146" i="31"/>
  <c r="W146" i="27"/>
  <c r="AC354" i="32"/>
  <c r="AC172" i="32"/>
  <c r="AC166" i="32"/>
  <c r="AC162" i="32" s="1"/>
  <c r="AD77" i="32"/>
  <c r="AD76" i="32"/>
  <c r="Z231" i="32"/>
  <c r="Z230" i="32" s="1"/>
  <c r="Z227" i="32"/>
  <c r="Z226" i="32" s="1"/>
  <c r="Z223" i="32"/>
  <c r="Z222" i="32" s="1"/>
  <c r="Y205" i="32"/>
  <c r="Y103" i="32" s="1"/>
  <c r="Y209" i="32"/>
  <c r="AF96" i="32"/>
  <c r="AF142" i="32"/>
  <c r="AF4" i="32"/>
  <c r="AG2" i="32"/>
  <c r="AF83" i="32"/>
  <c r="AF3" i="32"/>
  <c r="AG1" i="32"/>
  <c r="X125" i="32"/>
  <c r="X102" i="32"/>
  <c r="AA311" i="32"/>
  <c r="AA310" i="32"/>
  <c r="AB308" i="32"/>
  <c r="AB358" i="32"/>
  <c r="AB143" i="32"/>
  <c r="AB123" i="32"/>
  <c r="AB62" i="32"/>
  <c r="AD165" i="32"/>
  <c r="AD279" i="32"/>
  <c r="AE163" i="32"/>
  <c r="AE141" i="32"/>
  <c r="AE78" i="32"/>
  <c r="AE164" i="32"/>
  <c r="AE167" i="32"/>
  <c r="AE95" i="32"/>
  <c r="AE82" i="32"/>
  <c r="AC75" i="32"/>
  <c r="AC22" i="32" s="1"/>
  <c r="AC14" i="32" s="1"/>
  <c r="AC99" i="32"/>
  <c r="AA220" i="32"/>
  <c r="X146" i="32"/>
  <c r="X137" i="32"/>
  <c r="AH92" i="32"/>
  <c r="AI93" i="32" s="1"/>
  <c r="AI84" i="32"/>
  <c r="AI85" i="32"/>
  <c r="AE165" i="31"/>
  <c r="AE279" i="31"/>
  <c r="AB220" i="31"/>
  <c r="Y125" i="31"/>
  <c r="Y124" i="31" s="1"/>
  <c r="Y127" i="31" s="1"/>
  <c r="Y102" i="31"/>
  <c r="X102" i="31"/>
  <c r="X125" i="31"/>
  <c r="X124" i="31" s="1"/>
  <c r="X127" i="31" s="1"/>
  <c r="AA223" i="31"/>
  <c r="AA222" i="31" s="1"/>
  <c r="AA227" i="31"/>
  <c r="AA226" i="31" s="1"/>
  <c r="AA231" i="31"/>
  <c r="AA230" i="31" s="1"/>
  <c r="Z209" i="31"/>
  <c r="Z205" i="31"/>
  <c r="Z103" i="31" s="1"/>
  <c r="AG3" i="31"/>
  <c r="AH1" i="31"/>
  <c r="AD75" i="31"/>
  <c r="AD22" i="31" s="1"/>
  <c r="AD14" i="31" s="1"/>
  <c r="AD99" i="31"/>
  <c r="AC358" i="31"/>
  <c r="AC308" i="31"/>
  <c r="AC143" i="31"/>
  <c r="AC62" i="31"/>
  <c r="AC63" i="31" s="1"/>
  <c r="AC68" i="31" s="1"/>
  <c r="AC123" i="31"/>
  <c r="AC122" i="31" s="1"/>
  <c r="AA211" i="31"/>
  <c r="AA212" i="31"/>
  <c r="AA144" i="31" s="1"/>
  <c r="AF164" i="31"/>
  <c r="AF141" i="31"/>
  <c r="AF167" i="31"/>
  <c r="AF163" i="31"/>
  <c r="AF78" i="31"/>
  <c r="AF95" i="31"/>
  <c r="AF82" i="31"/>
  <c r="AB311" i="31"/>
  <c r="AB310" i="31"/>
  <c r="AE142" i="31"/>
  <c r="AE96" i="31"/>
  <c r="AE4" i="31"/>
  <c r="AF2" i="31"/>
  <c r="AE83" i="31"/>
  <c r="AA206" i="31"/>
  <c r="AA104" i="31" s="1"/>
  <c r="AA126" i="31" s="1"/>
  <c r="AE77" i="31"/>
  <c r="AE76" i="31"/>
  <c r="AD354" i="31"/>
  <c r="AD172" i="31"/>
  <c r="AD166" i="31"/>
  <c r="AD162" i="31" s="1"/>
  <c r="Z207" i="31"/>
  <c r="Z117" i="31" s="1"/>
  <c r="AB261" i="31"/>
  <c r="AB260" i="31" s="1"/>
  <c r="AB237" i="31"/>
  <c r="AB213" i="31"/>
  <c r="Z237" i="27"/>
  <c r="Z261" i="27"/>
  <c r="Z260" i="27" s="1"/>
  <c r="Z213" i="27"/>
  <c r="W125" i="27"/>
  <c r="W124" i="27" s="1"/>
  <c r="W127" i="27" s="1"/>
  <c r="W102" i="27"/>
  <c r="AI84" i="27"/>
  <c r="AH92" i="27"/>
  <c r="AI93" i="27" s="1"/>
  <c r="Y206" i="27"/>
  <c r="Y104" i="27" s="1"/>
  <c r="Y126" i="27" s="1"/>
  <c r="Z311" i="27"/>
  <c r="Z310" i="27"/>
  <c r="Y227" i="27"/>
  <c r="Y226" i="27" s="1"/>
  <c r="Y223" i="27"/>
  <c r="Y222" i="27" s="1"/>
  <c r="Y231" i="27"/>
  <c r="Y230" i="27" s="1"/>
  <c r="X207" i="27"/>
  <c r="X117" i="27" s="1"/>
  <c r="AA358" i="27"/>
  <c r="AA308" i="27"/>
  <c r="AA123" i="27"/>
  <c r="AA122" i="27" s="1"/>
  <c r="AA62" i="27"/>
  <c r="AA63" i="27" s="1"/>
  <c r="AA68" i="27" s="1"/>
  <c r="AA143" i="27"/>
  <c r="AE3" i="27"/>
  <c r="AF1" i="27"/>
  <c r="AI85" i="27"/>
  <c r="AE96" i="27"/>
  <c r="AE142" i="27"/>
  <c r="AE83" i="27"/>
  <c r="AE4" i="27"/>
  <c r="AF2" i="27"/>
  <c r="AD167" i="27"/>
  <c r="AD164" i="27"/>
  <c r="AD141" i="27"/>
  <c r="AD95" i="27"/>
  <c r="AD163" i="27"/>
  <c r="AD78" i="27"/>
  <c r="AD82" i="27"/>
  <c r="AC77" i="27"/>
  <c r="AC76" i="27"/>
  <c r="AB75" i="27"/>
  <c r="AB22" i="27" s="1"/>
  <c r="AB14" i="27" s="1"/>
  <c r="AB99" i="27"/>
  <c r="AC165" i="27"/>
  <c r="AC279" i="27"/>
  <c r="AB172" i="27"/>
  <c r="AB354" i="27"/>
  <c r="AB166" i="27"/>
  <c r="AB162" i="27" s="1"/>
  <c r="Z220" i="27"/>
  <c r="X209" i="27"/>
  <c r="X205" i="27"/>
  <c r="X103" i="27" s="1"/>
  <c r="Y212" i="27"/>
  <c r="Y144" i="27" s="1"/>
  <c r="Y211" i="27"/>
  <c r="Z220" i="24"/>
  <c r="X207" i="24"/>
  <c r="X117" i="24" s="1"/>
  <c r="AC77" i="24"/>
  <c r="AC76" i="24"/>
  <c r="AC165" i="24"/>
  <c r="AC279" i="24"/>
  <c r="Y223" i="24"/>
  <c r="Y222" i="24" s="1"/>
  <c r="Y231" i="24"/>
  <c r="Y230" i="24" s="1"/>
  <c r="Y227" i="24"/>
  <c r="Y226" i="24" s="1"/>
  <c r="W125" i="24"/>
  <c r="W124" i="24" s="1"/>
  <c r="W127" i="24" s="1"/>
  <c r="W102" i="24"/>
  <c r="Y211" i="24"/>
  <c r="Y212" i="24"/>
  <c r="Y144" i="24" s="1"/>
  <c r="AB354" i="24"/>
  <c r="AB166" i="24"/>
  <c r="AB162" i="24" s="1"/>
  <c r="AB172" i="24"/>
  <c r="Z213" i="24"/>
  <c r="Z237" i="24"/>
  <c r="Z261" i="24"/>
  <c r="Z260" i="24" s="1"/>
  <c r="Y206" i="24"/>
  <c r="Y104" i="24" s="1"/>
  <c r="Y126" i="24" s="1"/>
  <c r="AE3" i="24"/>
  <c r="AF1" i="24"/>
  <c r="X205" i="24"/>
  <c r="X103" i="24" s="1"/>
  <c r="X209" i="24"/>
  <c r="AD164" i="24"/>
  <c r="AD167" i="24"/>
  <c r="AD78" i="24"/>
  <c r="AD141" i="24"/>
  <c r="AD95" i="24"/>
  <c r="AD163" i="24"/>
  <c r="AD82" i="24"/>
  <c r="AB75" i="24"/>
  <c r="AB22" i="24" s="1"/>
  <c r="AB99" i="24"/>
  <c r="AJ92" i="24"/>
  <c r="AK93" i="24" s="1"/>
  <c r="AK84" i="24"/>
  <c r="Z311" i="24"/>
  <c r="Z310" i="24"/>
  <c r="AE96" i="24"/>
  <c r="AE4" i="24"/>
  <c r="AF2" i="24"/>
  <c r="AE142" i="24"/>
  <c r="AE83" i="24"/>
  <c r="AA358" i="24"/>
  <c r="AA308" i="24"/>
  <c r="AA143" i="24"/>
  <c r="AA123" i="24"/>
  <c r="AA122" i="24" s="1"/>
  <c r="AA62" i="24"/>
  <c r="AA63" i="24" s="1"/>
  <c r="AA68" i="24" s="1"/>
  <c r="AE167" i="20"/>
  <c r="AE163" i="20"/>
  <c r="AE141" i="20"/>
  <c r="AE95" i="20"/>
  <c r="AE164" i="20"/>
  <c r="AE82" i="20"/>
  <c r="AE78" i="20"/>
  <c r="AD279" i="20"/>
  <c r="AD165" i="20"/>
  <c r="AC172" i="20"/>
  <c r="AC166" i="20"/>
  <c r="AC162" i="20" s="1"/>
  <c r="AC354" i="20"/>
  <c r="AA311" i="20"/>
  <c r="AA310" i="20"/>
  <c r="AF2" i="20"/>
  <c r="AE142" i="20"/>
  <c r="AE96" i="20"/>
  <c r="AE4" i="20"/>
  <c r="AE83" i="20"/>
  <c r="AA220" i="20"/>
  <c r="AC99" i="20"/>
  <c r="AC75" i="20"/>
  <c r="AC22" i="20" s="1"/>
  <c r="AC14" i="20" s="1"/>
  <c r="AI92" i="20"/>
  <c r="AJ93" i="20" s="1"/>
  <c r="AJ84" i="20"/>
  <c r="AK85" i="20" s="1"/>
  <c r="Y207" i="20"/>
  <c r="AB308" i="20"/>
  <c r="AB358" i="20"/>
  <c r="AB143" i="20"/>
  <c r="AB123" i="20"/>
  <c r="AB62" i="20"/>
  <c r="Z231" i="20"/>
  <c r="Z230" i="20" s="1"/>
  <c r="Z227" i="20"/>
  <c r="Z226" i="20" s="1"/>
  <c r="Z223" i="20"/>
  <c r="Z222" i="20" s="1"/>
  <c r="AD77" i="20"/>
  <c r="AD76" i="20"/>
  <c r="AG1" i="20"/>
  <c r="AF3" i="20"/>
  <c r="Z12" i="5"/>
  <c r="Y13" i="33"/>
  <c r="Y213" i="33" s="1"/>
  <c r="V45" i="4"/>
  <c r="W43" i="4"/>
  <c r="D26" i="2"/>
  <c r="D25" i="2"/>
  <c r="AC214" i="32" l="1"/>
  <c r="AC12" i="32"/>
  <c r="AD214" i="31"/>
  <c r="AD12" i="31"/>
  <c r="AA12" i="33"/>
  <c r="AA212" i="33" s="1"/>
  <c r="AB214" i="27"/>
  <c r="AB12" i="27"/>
  <c r="AB22" i="33"/>
  <c r="AB14" i="24"/>
  <c r="Y205" i="20"/>
  <c r="Y103" i="20" s="1"/>
  <c r="AC214" i="20"/>
  <c r="AC12" i="20"/>
  <c r="Z144" i="32"/>
  <c r="Z68" i="33"/>
  <c r="X126" i="33"/>
  <c r="AA143" i="33"/>
  <c r="AC76" i="33"/>
  <c r="Y230" i="33"/>
  <c r="Y226" i="33"/>
  <c r="AB75" i="33"/>
  <c r="AB333" i="33" s="1"/>
  <c r="AB99" i="33"/>
  <c r="Y222" i="33"/>
  <c r="Z144" i="20"/>
  <c r="AC279" i="33"/>
  <c r="R124" i="33"/>
  <c r="Y144" i="33"/>
  <c r="X124" i="32"/>
  <c r="X127" i="32" s="1"/>
  <c r="X117" i="33"/>
  <c r="Y104" i="33"/>
  <c r="AA123" i="33"/>
  <c r="AA122" i="33"/>
  <c r="X103" i="33"/>
  <c r="W146" i="33"/>
  <c r="W102" i="33"/>
  <c r="W125" i="33"/>
  <c r="AA62" i="33"/>
  <c r="Y206" i="33"/>
  <c r="X207" i="33"/>
  <c r="X205" i="33"/>
  <c r="Z211" i="20"/>
  <c r="Z209" i="20" s="1"/>
  <c r="AA213" i="20"/>
  <c r="AA212" i="20" s="1"/>
  <c r="P127" i="20"/>
  <c r="P127" i="33" s="1"/>
  <c r="Q127" i="20"/>
  <c r="Q127" i="33" s="1"/>
  <c r="S127" i="20"/>
  <c r="S127" i="33" s="1"/>
  <c r="AA68" i="20"/>
  <c r="AA63" i="33"/>
  <c r="V127" i="20"/>
  <c r="V127" i="33" s="1"/>
  <c r="AA261" i="20"/>
  <c r="AA260" i="20" s="1"/>
  <c r="AA206" i="20" s="1"/>
  <c r="AB122" i="20"/>
  <c r="AA237" i="20"/>
  <c r="R127" i="20"/>
  <c r="R127" i="33" s="1"/>
  <c r="AJ85" i="32"/>
  <c r="AA261" i="32"/>
  <c r="AA260" i="32" s="1"/>
  <c r="AA206" i="32" s="1"/>
  <c r="Z211" i="32"/>
  <c r="Z209" i="32" s="1"/>
  <c r="Z104" i="32"/>
  <c r="Y126" i="32"/>
  <c r="AA68" i="32"/>
  <c r="AA237" i="32"/>
  <c r="AB63" i="32"/>
  <c r="AA213" i="32"/>
  <c r="AA212" i="32" s="1"/>
  <c r="AB122" i="32"/>
  <c r="X137" i="20"/>
  <c r="X102" i="20"/>
  <c r="W124" i="20"/>
  <c r="W124" i="33" s="1"/>
  <c r="AJ92" i="31"/>
  <c r="AK93" i="31" s="1"/>
  <c r="AK84" i="31"/>
  <c r="AB63" i="20"/>
  <c r="T127" i="20"/>
  <c r="T127" i="33" s="1"/>
  <c r="Z104" i="20"/>
  <c r="Y126" i="20"/>
  <c r="X146" i="20"/>
  <c r="X125" i="20"/>
  <c r="Y117" i="20"/>
  <c r="Z21" i="33"/>
  <c r="AH141" i="33"/>
  <c r="AH82" i="33"/>
  <c r="AH78" i="33"/>
  <c r="AH95" i="33"/>
  <c r="AG77" i="33"/>
  <c r="AC223" i="33"/>
  <c r="AC231" i="33"/>
  <c r="AC227" i="33"/>
  <c r="AI3" i="33"/>
  <c r="AJ1" i="33"/>
  <c r="AI142" i="33"/>
  <c r="AI83" i="33"/>
  <c r="AJ2" i="33"/>
  <c r="AI96" i="33"/>
  <c r="AI4" i="33"/>
  <c r="Z207" i="32"/>
  <c r="Z117" i="32" s="1"/>
  <c r="Z146" i="32" s="1"/>
  <c r="Y146" i="32"/>
  <c r="Y207" i="27"/>
  <c r="Y117" i="27" s="1"/>
  <c r="Y137" i="27" s="1"/>
  <c r="Z207" i="20"/>
  <c r="AC308" i="32"/>
  <c r="AC358" i="32"/>
  <c r="AC143" i="32"/>
  <c r="AC123" i="32"/>
  <c r="AC62" i="32"/>
  <c r="AG3" i="32"/>
  <c r="AH1" i="32"/>
  <c r="AI92" i="32"/>
  <c r="AJ93" i="32" s="1"/>
  <c r="AJ84" i="32"/>
  <c r="AF167" i="32"/>
  <c r="AF163" i="32"/>
  <c r="AF164" i="32"/>
  <c r="AF78" i="32"/>
  <c r="AF82" i="32"/>
  <c r="AF141" i="32"/>
  <c r="AF95" i="32"/>
  <c r="Y125" i="32"/>
  <c r="Y102" i="32"/>
  <c r="AE165" i="32"/>
  <c r="AE279" i="32"/>
  <c r="AD354" i="32"/>
  <c r="AD172" i="32"/>
  <c r="AD166" i="32"/>
  <c r="AD162" i="32" s="1"/>
  <c r="AA231" i="32"/>
  <c r="AA230" i="32" s="1"/>
  <c r="AA227" i="32"/>
  <c r="AA226" i="32" s="1"/>
  <c r="AA223" i="32"/>
  <c r="AA222" i="32" s="1"/>
  <c r="AB220" i="32"/>
  <c r="AE77" i="32"/>
  <c r="AE76" i="32"/>
  <c r="AB311" i="32"/>
  <c r="AB310" i="32"/>
  <c r="AG142" i="32"/>
  <c r="AG96" i="32"/>
  <c r="AG4" i="32"/>
  <c r="AH2" i="32"/>
  <c r="AG83" i="32"/>
  <c r="AD75" i="32"/>
  <c r="AD22" i="32" s="1"/>
  <c r="AD14" i="32" s="1"/>
  <c r="AD99" i="32"/>
  <c r="AB212" i="31"/>
  <c r="AB144" i="31" s="1"/>
  <c r="AB211" i="31"/>
  <c r="AH3" i="31"/>
  <c r="AI1" i="31"/>
  <c r="AA209" i="31"/>
  <c r="AA205" i="31"/>
  <c r="AA103" i="31" s="1"/>
  <c r="Z125" i="31"/>
  <c r="Z124" i="31" s="1"/>
  <c r="Z127" i="31" s="1"/>
  <c r="Z102" i="31"/>
  <c r="AB206" i="31"/>
  <c r="AB104" i="31" s="1"/>
  <c r="AB126" i="31" s="1"/>
  <c r="AC261" i="31"/>
  <c r="AC260" i="31" s="1"/>
  <c r="AC213" i="31"/>
  <c r="AC237" i="31"/>
  <c r="AG167" i="31"/>
  <c r="AG141" i="31"/>
  <c r="AG82" i="31"/>
  <c r="AG163" i="31"/>
  <c r="AG164" i="31"/>
  <c r="AG78" i="31"/>
  <c r="AG95" i="31"/>
  <c r="AB223" i="31"/>
  <c r="AB222" i="31" s="1"/>
  <c r="AB227" i="31"/>
  <c r="AB226" i="31" s="1"/>
  <c r="AB231" i="31"/>
  <c r="AB230" i="31" s="1"/>
  <c r="AF83" i="31"/>
  <c r="AF142" i="31"/>
  <c r="AF4" i="31"/>
  <c r="AG2" i="31"/>
  <c r="AF96" i="31"/>
  <c r="AC220" i="31"/>
  <c r="Z146" i="31"/>
  <c r="Z137" i="31"/>
  <c r="AC311" i="31"/>
  <c r="AC310" i="31"/>
  <c r="AA207" i="31"/>
  <c r="AA117" i="31" s="1"/>
  <c r="AE172" i="31"/>
  <c r="AE354" i="31"/>
  <c r="AE166" i="31"/>
  <c r="AE162" i="31" s="1"/>
  <c r="AF77" i="31"/>
  <c r="AF76" i="31"/>
  <c r="AF165" i="31"/>
  <c r="AF279" i="31"/>
  <c r="AE75" i="31"/>
  <c r="AE22" i="31" s="1"/>
  <c r="AE14" i="31" s="1"/>
  <c r="AE99" i="31"/>
  <c r="AD358" i="31"/>
  <c r="AD308" i="31"/>
  <c r="AD143" i="31"/>
  <c r="AD123" i="31"/>
  <c r="AD122" i="31" s="1"/>
  <c r="AD62" i="31"/>
  <c r="AD63" i="31" s="1"/>
  <c r="AD68" i="31" s="1"/>
  <c r="AD77" i="27"/>
  <c r="AD76" i="27"/>
  <c r="AF3" i="27"/>
  <c r="AG1" i="27"/>
  <c r="AD165" i="27"/>
  <c r="AD279" i="27"/>
  <c r="AE164" i="27"/>
  <c r="AE141" i="27"/>
  <c r="AE95" i="27"/>
  <c r="AE167" i="27"/>
  <c r="AE163" i="27"/>
  <c r="AE78" i="27"/>
  <c r="AE82" i="27"/>
  <c r="AA220" i="27"/>
  <c r="AC354" i="27"/>
  <c r="AC172" i="27"/>
  <c r="AC166" i="27"/>
  <c r="AC162" i="27" s="1"/>
  <c r="X125" i="27"/>
  <c r="X124" i="27" s="1"/>
  <c r="X127" i="27" s="1"/>
  <c r="X102" i="27"/>
  <c r="AA237" i="27"/>
  <c r="AA261" i="27"/>
  <c r="AA260" i="27" s="1"/>
  <c r="AA213" i="27"/>
  <c r="AJ84" i="27"/>
  <c r="AI92" i="27"/>
  <c r="AJ93" i="27" s="1"/>
  <c r="AA311" i="27"/>
  <c r="AA310" i="27"/>
  <c r="X146" i="27"/>
  <c r="X137" i="27"/>
  <c r="AF142" i="27"/>
  <c r="AF83" i="27"/>
  <c r="AF96" i="27"/>
  <c r="AF4" i="27"/>
  <c r="AG2" i="27"/>
  <c r="AB308" i="27"/>
  <c r="AB358" i="27"/>
  <c r="AB123" i="27"/>
  <c r="AB122" i="27" s="1"/>
  <c r="AB143" i="27"/>
  <c r="AB62" i="27"/>
  <c r="AB63" i="27" s="1"/>
  <c r="AB68" i="27" s="1"/>
  <c r="Z223" i="27"/>
  <c r="Z222" i="27" s="1"/>
  <c r="Z231" i="27"/>
  <c r="Z230" i="27" s="1"/>
  <c r="Z227" i="27"/>
  <c r="Z226" i="27" s="1"/>
  <c r="AC75" i="27"/>
  <c r="AC22" i="27" s="1"/>
  <c r="AC14" i="27" s="1"/>
  <c r="AC99" i="27"/>
  <c r="Z211" i="27"/>
  <c r="Z212" i="27"/>
  <c r="Z144" i="27" s="1"/>
  <c r="Z206" i="27"/>
  <c r="Z104" i="27" s="1"/>
  <c r="Z126" i="27" s="1"/>
  <c r="Y209" i="27"/>
  <c r="Y205" i="27"/>
  <c r="Y103" i="27" s="1"/>
  <c r="AJ85" i="27"/>
  <c r="AE164" i="24"/>
  <c r="AE167" i="24"/>
  <c r="AE141" i="24"/>
  <c r="AE95" i="24"/>
  <c r="AE163" i="24"/>
  <c r="AE82" i="24"/>
  <c r="AE78" i="24"/>
  <c r="AC75" i="24"/>
  <c r="AC22" i="24" s="1"/>
  <c r="AC14" i="24" s="1"/>
  <c r="AC99" i="24"/>
  <c r="AA220" i="24"/>
  <c r="AK92" i="24"/>
  <c r="AL93" i="24" s="1"/>
  <c r="AL84" i="24"/>
  <c r="AF3" i="24"/>
  <c r="AG1" i="24"/>
  <c r="AA311" i="24"/>
  <c r="AA310" i="24"/>
  <c r="Z206" i="24"/>
  <c r="Z104" i="24" s="1"/>
  <c r="Z126" i="24" s="1"/>
  <c r="Y207" i="24"/>
  <c r="Y117" i="24" s="1"/>
  <c r="X146" i="24"/>
  <c r="X137" i="24"/>
  <c r="AD77" i="24"/>
  <c r="AD76" i="24"/>
  <c r="Z212" i="24"/>
  <c r="Z144" i="24" s="1"/>
  <c r="Z211" i="24"/>
  <c r="AC354" i="24"/>
  <c r="AC166" i="24"/>
  <c r="AC162" i="24" s="1"/>
  <c r="AC172" i="24"/>
  <c r="Z223" i="24"/>
  <c r="Z222" i="24" s="1"/>
  <c r="Z227" i="24"/>
  <c r="Z226" i="24" s="1"/>
  <c r="Z231" i="24"/>
  <c r="Z230" i="24" s="1"/>
  <c r="AL85" i="24"/>
  <c r="AD165" i="24"/>
  <c r="AD279" i="24"/>
  <c r="Y209" i="24"/>
  <c r="Y205" i="24"/>
  <c r="Y103" i="24" s="1"/>
  <c r="AA213" i="24"/>
  <c r="AA237" i="24"/>
  <c r="AA261" i="24"/>
  <c r="AA260" i="24" s="1"/>
  <c r="AF142" i="24"/>
  <c r="AF96" i="24"/>
  <c r="AG2" i="24"/>
  <c r="AF83" i="24"/>
  <c r="AF4" i="24"/>
  <c r="AB358" i="24"/>
  <c r="AB308" i="24"/>
  <c r="AB143" i="24"/>
  <c r="AB123" i="24"/>
  <c r="AB122" i="24" s="1"/>
  <c r="AB62" i="24"/>
  <c r="AB63" i="24" s="1"/>
  <c r="AB68" i="24" s="1"/>
  <c r="X125" i="24"/>
  <c r="X124" i="24" s="1"/>
  <c r="X127" i="24" s="1"/>
  <c r="X102" i="24"/>
  <c r="AC358" i="20"/>
  <c r="AC143" i="20"/>
  <c r="AC308" i="20"/>
  <c r="AC62" i="20"/>
  <c r="AC123" i="20"/>
  <c r="AB311" i="20"/>
  <c r="AB310" i="20"/>
  <c r="AE77" i="20"/>
  <c r="AE76" i="20"/>
  <c r="AG3" i="20"/>
  <c r="AH1" i="20"/>
  <c r="AD75" i="20"/>
  <c r="AD22" i="20" s="1"/>
  <c r="AD14" i="20" s="1"/>
  <c r="AD99" i="20"/>
  <c r="AE165" i="20"/>
  <c r="AE279" i="20"/>
  <c r="AJ92" i="20"/>
  <c r="AK93" i="20" s="1"/>
  <c r="AK84" i="20"/>
  <c r="AL85" i="20" s="1"/>
  <c r="AB220" i="20"/>
  <c r="AD354" i="20"/>
  <c r="AD166" i="20"/>
  <c r="AD162" i="20" s="1"/>
  <c r="AD172" i="20"/>
  <c r="AF83" i="20"/>
  <c r="AF4" i="20"/>
  <c r="AF96" i="20"/>
  <c r="AG2" i="20"/>
  <c r="AF142" i="20"/>
  <c r="AA231" i="20"/>
  <c r="AA230" i="20" s="1"/>
  <c r="AA223" i="20"/>
  <c r="AA222" i="20" s="1"/>
  <c r="AA227" i="20"/>
  <c r="AA226" i="20" s="1"/>
  <c r="AF163" i="20"/>
  <c r="AF164" i="20"/>
  <c r="AF141" i="20"/>
  <c r="AF82" i="20"/>
  <c r="AF78" i="20"/>
  <c r="AF95" i="20"/>
  <c r="AF167" i="20"/>
  <c r="AA12" i="5"/>
  <c r="Z13" i="33"/>
  <c r="Z213" i="33" s="1"/>
  <c r="J2486" i="2"/>
  <c r="K2486" i="2" s="1"/>
  <c r="J2485" i="2"/>
  <c r="K2485" i="2" s="1"/>
  <c r="J2484" i="2"/>
  <c r="K2484" i="2" s="1"/>
  <c r="J2483" i="2"/>
  <c r="K2483" i="2" s="1"/>
  <c r="J2482" i="2"/>
  <c r="K2482" i="2" s="1"/>
  <c r="J2481" i="2"/>
  <c r="K2481" i="2" s="1"/>
  <c r="J2480" i="2"/>
  <c r="K2480" i="2" s="1"/>
  <c r="J2479" i="2"/>
  <c r="K2479" i="2" s="1"/>
  <c r="J2478" i="2"/>
  <c r="K2478" i="2" s="1"/>
  <c r="J2477" i="2"/>
  <c r="K2477" i="2" s="1"/>
  <c r="J2476" i="2"/>
  <c r="K2476" i="2" s="1"/>
  <c r="J2475" i="2"/>
  <c r="K2475" i="2" s="1"/>
  <c r="J2474" i="2"/>
  <c r="K2474" i="2" s="1"/>
  <c r="J2473" i="2"/>
  <c r="K2473" i="2" s="1"/>
  <c r="J2472" i="2"/>
  <c r="K2472" i="2" s="1"/>
  <c r="J2471" i="2"/>
  <c r="K2471" i="2" s="1"/>
  <c r="J2470" i="2"/>
  <c r="K2470" i="2" s="1"/>
  <c r="J2469" i="2"/>
  <c r="K2469" i="2" s="1"/>
  <c r="J2468" i="2"/>
  <c r="K2468" i="2" s="1"/>
  <c r="J2467" i="2"/>
  <c r="K2467" i="2" s="1"/>
  <c r="J2466" i="2"/>
  <c r="K2466" i="2" s="1"/>
  <c r="J2465" i="2"/>
  <c r="K2465" i="2" s="1"/>
  <c r="J2464" i="2"/>
  <c r="K2464" i="2" s="1"/>
  <c r="J2463" i="2"/>
  <c r="K2463" i="2" s="1"/>
  <c r="J2462" i="2"/>
  <c r="K2462" i="2" s="1"/>
  <c r="J2461" i="2"/>
  <c r="K2461" i="2" s="1"/>
  <c r="J2460" i="2"/>
  <c r="K2460" i="2" s="1"/>
  <c r="J2459" i="2"/>
  <c r="K2459" i="2" s="1"/>
  <c r="J2458" i="2"/>
  <c r="K2458" i="2" s="1"/>
  <c r="J2457" i="2"/>
  <c r="K2457" i="2" s="1"/>
  <c r="J2456" i="2"/>
  <c r="K2456" i="2" s="1"/>
  <c r="J2455" i="2"/>
  <c r="K2455" i="2" s="1"/>
  <c r="J2454" i="2"/>
  <c r="K2454" i="2" s="1"/>
  <c r="J2453" i="2"/>
  <c r="K2453" i="2" s="1"/>
  <c r="J2452" i="2"/>
  <c r="K2452" i="2" s="1"/>
  <c r="J2451" i="2"/>
  <c r="K2451" i="2" s="1"/>
  <c r="J2450" i="2"/>
  <c r="K2450" i="2" s="1"/>
  <c r="J2449" i="2"/>
  <c r="K2449" i="2" s="1"/>
  <c r="J2448" i="2"/>
  <c r="K2448" i="2" s="1"/>
  <c r="J2447" i="2"/>
  <c r="K2447" i="2" s="1"/>
  <c r="J2446" i="2"/>
  <c r="K2446" i="2" s="1"/>
  <c r="J2445" i="2"/>
  <c r="K2445" i="2" s="1"/>
  <c r="J2444" i="2"/>
  <c r="K2444" i="2" s="1"/>
  <c r="J2443" i="2"/>
  <c r="K2443" i="2" s="1"/>
  <c r="J2442" i="2"/>
  <c r="K2442" i="2" s="1"/>
  <c r="J2441" i="2"/>
  <c r="K2441" i="2" s="1"/>
  <c r="J2440" i="2"/>
  <c r="K2440" i="2" s="1"/>
  <c r="J2439" i="2"/>
  <c r="K2439" i="2" s="1"/>
  <c r="J2438" i="2"/>
  <c r="K2438" i="2" s="1"/>
  <c r="J2437" i="2"/>
  <c r="K2437" i="2" s="1"/>
  <c r="J2436" i="2"/>
  <c r="K2436" i="2" s="1"/>
  <c r="J2435" i="2"/>
  <c r="K2435" i="2" s="1"/>
  <c r="J2434" i="2"/>
  <c r="K2434" i="2" s="1"/>
  <c r="J2433" i="2"/>
  <c r="K2433" i="2" s="1"/>
  <c r="J2432" i="2"/>
  <c r="K2432" i="2" s="1"/>
  <c r="J2431" i="2"/>
  <c r="K2431" i="2" s="1"/>
  <c r="J2430" i="2"/>
  <c r="K2430" i="2" s="1"/>
  <c r="J2429" i="2"/>
  <c r="K2429" i="2" s="1"/>
  <c r="J2428" i="2"/>
  <c r="K2428" i="2" s="1"/>
  <c r="J2427" i="2"/>
  <c r="K2427" i="2" s="1"/>
  <c r="J2426" i="2"/>
  <c r="K2426" i="2" s="1"/>
  <c r="J2425" i="2"/>
  <c r="K2425" i="2" s="1"/>
  <c r="J2424" i="2"/>
  <c r="K2424" i="2" s="1"/>
  <c r="J2423" i="2"/>
  <c r="K2423" i="2" s="1"/>
  <c r="J2422" i="2"/>
  <c r="K2422" i="2" s="1"/>
  <c r="J2421" i="2"/>
  <c r="K2421" i="2" s="1"/>
  <c r="J2420" i="2"/>
  <c r="K2420" i="2" s="1"/>
  <c r="J2419" i="2"/>
  <c r="K2419" i="2" s="1"/>
  <c r="J2418" i="2"/>
  <c r="K2418" i="2" s="1"/>
  <c r="J2417" i="2"/>
  <c r="K2417" i="2" s="1"/>
  <c r="J2416" i="2"/>
  <c r="K2416" i="2" s="1"/>
  <c r="J2415" i="2"/>
  <c r="K2415" i="2" s="1"/>
  <c r="J2414" i="2"/>
  <c r="K2414" i="2" s="1"/>
  <c r="J2413" i="2"/>
  <c r="K2413" i="2" s="1"/>
  <c r="J2412" i="2"/>
  <c r="K2412" i="2" s="1"/>
  <c r="J2411" i="2"/>
  <c r="K2411" i="2" s="1"/>
  <c r="J2410" i="2"/>
  <c r="K2410" i="2" s="1"/>
  <c r="J2409" i="2"/>
  <c r="K2409" i="2" s="1"/>
  <c r="J2408" i="2"/>
  <c r="K2408" i="2" s="1"/>
  <c r="J2407" i="2"/>
  <c r="K2407" i="2" s="1"/>
  <c r="J2406" i="2"/>
  <c r="K2406" i="2" s="1"/>
  <c r="J2405" i="2"/>
  <c r="K2405" i="2" s="1"/>
  <c r="J2404" i="2"/>
  <c r="K2404" i="2" s="1"/>
  <c r="J2403" i="2"/>
  <c r="K2403" i="2" s="1"/>
  <c r="J2402" i="2"/>
  <c r="K2402" i="2" s="1"/>
  <c r="J2401" i="2"/>
  <c r="K2401" i="2" s="1"/>
  <c r="J2400" i="2"/>
  <c r="K2400" i="2" s="1"/>
  <c r="J2399" i="2"/>
  <c r="K2399" i="2" s="1"/>
  <c r="J2398" i="2"/>
  <c r="K2398" i="2" s="1"/>
  <c r="J2397" i="2"/>
  <c r="K2397" i="2" s="1"/>
  <c r="J2396" i="2"/>
  <c r="K2396" i="2" s="1"/>
  <c r="J2395" i="2"/>
  <c r="K2395" i="2" s="1"/>
  <c r="J2394" i="2"/>
  <c r="K2394" i="2" s="1"/>
  <c r="J2393" i="2"/>
  <c r="K2393" i="2" s="1"/>
  <c r="J2392" i="2"/>
  <c r="K2392" i="2" s="1"/>
  <c r="J2391" i="2"/>
  <c r="K2391" i="2" s="1"/>
  <c r="J2390" i="2"/>
  <c r="K2390" i="2" s="1"/>
  <c r="J2389" i="2"/>
  <c r="K2389" i="2" s="1"/>
  <c r="J2388" i="2"/>
  <c r="K2388" i="2" s="1"/>
  <c r="J2387" i="2"/>
  <c r="K2387" i="2" s="1"/>
  <c r="J2386" i="2"/>
  <c r="K2386" i="2" s="1"/>
  <c r="J2385" i="2"/>
  <c r="K2385" i="2" s="1"/>
  <c r="J2384" i="2"/>
  <c r="K2384" i="2" s="1"/>
  <c r="J2383" i="2"/>
  <c r="K2383" i="2" s="1"/>
  <c r="J2382" i="2"/>
  <c r="K2382" i="2" s="1"/>
  <c r="J2381" i="2"/>
  <c r="K2381" i="2" s="1"/>
  <c r="J2380" i="2"/>
  <c r="K2380" i="2" s="1"/>
  <c r="J2379" i="2"/>
  <c r="K2379" i="2" s="1"/>
  <c r="J2378" i="2"/>
  <c r="K2378" i="2" s="1"/>
  <c r="J2377" i="2"/>
  <c r="K2377" i="2" s="1"/>
  <c r="J2376" i="2"/>
  <c r="K2376" i="2" s="1"/>
  <c r="J2375" i="2"/>
  <c r="K2375" i="2" s="1"/>
  <c r="J2374" i="2"/>
  <c r="K2374" i="2" s="1"/>
  <c r="J2373" i="2"/>
  <c r="K2373" i="2" s="1"/>
  <c r="J2372" i="2"/>
  <c r="K2372" i="2" s="1"/>
  <c r="J2371" i="2"/>
  <c r="K2371" i="2" s="1"/>
  <c r="J2370" i="2"/>
  <c r="K2370" i="2" s="1"/>
  <c r="J2369" i="2"/>
  <c r="K2369" i="2" s="1"/>
  <c r="J2368" i="2"/>
  <c r="K2368" i="2" s="1"/>
  <c r="J2367" i="2"/>
  <c r="K2367" i="2" s="1"/>
  <c r="J2366" i="2"/>
  <c r="K2366" i="2" s="1"/>
  <c r="J2365" i="2"/>
  <c r="K2365" i="2" s="1"/>
  <c r="J2364" i="2"/>
  <c r="K2364" i="2" s="1"/>
  <c r="J2363" i="2"/>
  <c r="K2363" i="2" s="1"/>
  <c r="J2362" i="2"/>
  <c r="K2362" i="2" s="1"/>
  <c r="J2361" i="2"/>
  <c r="K2361" i="2" s="1"/>
  <c r="J2360" i="2"/>
  <c r="K2360" i="2" s="1"/>
  <c r="J2359" i="2"/>
  <c r="K2359" i="2" s="1"/>
  <c r="J2358" i="2"/>
  <c r="K2358" i="2" s="1"/>
  <c r="J2357" i="2"/>
  <c r="K2357" i="2" s="1"/>
  <c r="J2356" i="2"/>
  <c r="K2356" i="2" s="1"/>
  <c r="J2355" i="2"/>
  <c r="K2355" i="2" s="1"/>
  <c r="J2354" i="2"/>
  <c r="K2354" i="2" s="1"/>
  <c r="J2353" i="2"/>
  <c r="K2353" i="2" s="1"/>
  <c r="J2352" i="2"/>
  <c r="K2352" i="2" s="1"/>
  <c r="J2351" i="2"/>
  <c r="K2351" i="2" s="1"/>
  <c r="J2350" i="2"/>
  <c r="K2350" i="2" s="1"/>
  <c r="J2349" i="2"/>
  <c r="K2349" i="2" s="1"/>
  <c r="J2348" i="2"/>
  <c r="K2348" i="2" s="1"/>
  <c r="J2347" i="2"/>
  <c r="K2347" i="2" s="1"/>
  <c r="J2346" i="2"/>
  <c r="K2346" i="2" s="1"/>
  <c r="J2345" i="2"/>
  <c r="K2345" i="2" s="1"/>
  <c r="J2344" i="2"/>
  <c r="K2344" i="2" s="1"/>
  <c r="J2343" i="2"/>
  <c r="K2343" i="2" s="1"/>
  <c r="J2342" i="2"/>
  <c r="K2342" i="2" s="1"/>
  <c r="J2341" i="2"/>
  <c r="K2341" i="2" s="1"/>
  <c r="J2340" i="2"/>
  <c r="K2340" i="2" s="1"/>
  <c r="J2339" i="2"/>
  <c r="K2339" i="2" s="1"/>
  <c r="J2338" i="2"/>
  <c r="K2338" i="2" s="1"/>
  <c r="J2337" i="2"/>
  <c r="K2337" i="2" s="1"/>
  <c r="J2336" i="2"/>
  <c r="K2336" i="2" s="1"/>
  <c r="J2335" i="2"/>
  <c r="K2335" i="2" s="1"/>
  <c r="J2334" i="2"/>
  <c r="K2334" i="2" s="1"/>
  <c r="J2333" i="2"/>
  <c r="K2333" i="2" s="1"/>
  <c r="J2332" i="2"/>
  <c r="K2332" i="2" s="1"/>
  <c r="J2331" i="2"/>
  <c r="K2331" i="2" s="1"/>
  <c r="J2330" i="2"/>
  <c r="K2330" i="2" s="1"/>
  <c r="J2329" i="2"/>
  <c r="K2329" i="2" s="1"/>
  <c r="J2328" i="2"/>
  <c r="K2328" i="2" s="1"/>
  <c r="J2327" i="2"/>
  <c r="K2327" i="2" s="1"/>
  <c r="J2326" i="2"/>
  <c r="K2326" i="2" s="1"/>
  <c r="J2325" i="2"/>
  <c r="K2325" i="2" s="1"/>
  <c r="J2324" i="2"/>
  <c r="K2324" i="2" s="1"/>
  <c r="J2323" i="2"/>
  <c r="K2323" i="2" s="1"/>
  <c r="J2322" i="2"/>
  <c r="K2322" i="2" s="1"/>
  <c r="J2321" i="2"/>
  <c r="K2321" i="2" s="1"/>
  <c r="J2320" i="2"/>
  <c r="K2320" i="2" s="1"/>
  <c r="J2319" i="2"/>
  <c r="K2319" i="2" s="1"/>
  <c r="J2318" i="2"/>
  <c r="K2318" i="2" s="1"/>
  <c r="J2317" i="2"/>
  <c r="K2317" i="2" s="1"/>
  <c r="J2316" i="2"/>
  <c r="K2316" i="2" s="1"/>
  <c r="J2315" i="2"/>
  <c r="K2315" i="2" s="1"/>
  <c r="J2314" i="2"/>
  <c r="K2314" i="2" s="1"/>
  <c r="J2313" i="2"/>
  <c r="K2313" i="2" s="1"/>
  <c r="J2312" i="2"/>
  <c r="K2312" i="2" s="1"/>
  <c r="J2311" i="2"/>
  <c r="K2311" i="2" s="1"/>
  <c r="J2310" i="2"/>
  <c r="K2310" i="2" s="1"/>
  <c r="J2309" i="2"/>
  <c r="K2309" i="2" s="1"/>
  <c r="J2308" i="2"/>
  <c r="K2308" i="2" s="1"/>
  <c r="J2307" i="2"/>
  <c r="K2307" i="2" s="1"/>
  <c r="J2306" i="2"/>
  <c r="K2306" i="2" s="1"/>
  <c r="J2305" i="2"/>
  <c r="K2305" i="2" s="1"/>
  <c r="J2304" i="2"/>
  <c r="K2304" i="2" s="1"/>
  <c r="J2303" i="2"/>
  <c r="K2303" i="2" s="1"/>
  <c r="J2302" i="2"/>
  <c r="K2302" i="2" s="1"/>
  <c r="J2301" i="2"/>
  <c r="K2301" i="2" s="1"/>
  <c r="J2300" i="2"/>
  <c r="K2300" i="2" s="1"/>
  <c r="J2299" i="2"/>
  <c r="K2299" i="2" s="1"/>
  <c r="J2298" i="2"/>
  <c r="K2298" i="2" s="1"/>
  <c r="J2297" i="2"/>
  <c r="K2297" i="2" s="1"/>
  <c r="J2296" i="2"/>
  <c r="K2296" i="2" s="1"/>
  <c r="J2295" i="2"/>
  <c r="K2295" i="2" s="1"/>
  <c r="J2294" i="2"/>
  <c r="K2294" i="2" s="1"/>
  <c r="J2293" i="2"/>
  <c r="K2293" i="2" s="1"/>
  <c r="J2292" i="2"/>
  <c r="K2292" i="2" s="1"/>
  <c r="J2291" i="2"/>
  <c r="K2291" i="2" s="1"/>
  <c r="J2290" i="2"/>
  <c r="K2290" i="2" s="1"/>
  <c r="J2289" i="2"/>
  <c r="K2289" i="2" s="1"/>
  <c r="J2288" i="2"/>
  <c r="K2288" i="2" s="1"/>
  <c r="J2287" i="2"/>
  <c r="K2287" i="2" s="1"/>
  <c r="J2286" i="2"/>
  <c r="K2286" i="2" s="1"/>
  <c r="J2285" i="2"/>
  <c r="K2285" i="2" s="1"/>
  <c r="J2284" i="2"/>
  <c r="K2284" i="2" s="1"/>
  <c r="J2283" i="2"/>
  <c r="K2283" i="2" s="1"/>
  <c r="J2282" i="2"/>
  <c r="K2282" i="2" s="1"/>
  <c r="J2281" i="2"/>
  <c r="K2281" i="2" s="1"/>
  <c r="J2280" i="2"/>
  <c r="K2280" i="2" s="1"/>
  <c r="J2279" i="2"/>
  <c r="K2279" i="2" s="1"/>
  <c r="J2278" i="2"/>
  <c r="K2278" i="2" s="1"/>
  <c r="J2277" i="2"/>
  <c r="K2277" i="2" s="1"/>
  <c r="J2276" i="2"/>
  <c r="K2276" i="2" s="1"/>
  <c r="J2275" i="2"/>
  <c r="K2275" i="2" s="1"/>
  <c r="J2274" i="2"/>
  <c r="K2274" i="2" s="1"/>
  <c r="J2273" i="2"/>
  <c r="K2273" i="2" s="1"/>
  <c r="J2272" i="2"/>
  <c r="K2272" i="2" s="1"/>
  <c r="J2271" i="2"/>
  <c r="K2271" i="2" s="1"/>
  <c r="J2270" i="2"/>
  <c r="K2270" i="2" s="1"/>
  <c r="J2269" i="2"/>
  <c r="K2269" i="2" s="1"/>
  <c r="J2268" i="2"/>
  <c r="K2268" i="2" s="1"/>
  <c r="J2267" i="2"/>
  <c r="K2267" i="2" s="1"/>
  <c r="J2266" i="2"/>
  <c r="K2266" i="2" s="1"/>
  <c r="J2265" i="2"/>
  <c r="K2265" i="2" s="1"/>
  <c r="J2264" i="2"/>
  <c r="K2264" i="2" s="1"/>
  <c r="J2263" i="2"/>
  <c r="K2263" i="2" s="1"/>
  <c r="J2262" i="2"/>
  <c r="K2262" i="2" s="1"/>
  <c r="J2261" i="2"/>
  <c r="K2261" i="2" s="1"/>
  <c r="J2260" i="2"/>
  <c r="K2260" i="2" s="1"/>
  <c r="J2259" i="2"/>
  <c r="K2259" i="2" s="1"/>
  <c r="J2258" i="2"/>
  <c r="K2258" i="2" s="1"/>
  <c r="J2257" i="2"/>
  <c r="K2257" i="2" s="1"/>
  <c r="J2256" i="2"/>
  <c r="K2256" i="2" s="1"/>
  <c r="J2255" i="2"/>
  <c r="K2255" i="2" s="1"/>
  <c r="J2254" i="2"/>
  <c r="K2254" i="2" s="1"/>
  <c r="J2253" i="2"/>
  <c r="K2253" i="2" s="1"/>
  <c r="J2252" i="2"/>
  <c r="K2252" i="2" s="1"/>
  <c r="J2251" i="2"/>
  <c r="K2251" i="2" s="1"/>
  <c r="J2250" i="2"/>
  <c r="K2250" i="2" s="1"/>
  <c r="J2249" i="2"/>
  <c r="K2249" i="2" s="1"/>
  <c r="J2248" i="2"/>
  <c r="K2248" i="2" s="1"/>
  <c r="J2247" i="2"/>
  <c r="K2247" i="2" s="1"/>
  <c r="J2246" i="2"/>
  <c r="K2246" i="2" s="1"/>
  <c r="J2245" i="2"/>
  <c r="K2245" i="2" s="1"/>
  <c r="J2244" i="2"/>
  <c r="K2244" i="2" s="1"/>
  <c r="J2243" i="2"/>
  <c r="K2243" i="2" s="1"/>
  <c r="J2242" i="2"/>
  <c r="K2242" i="2" s="1"/>
  <c r="J2241" i="2"/>
  <c r="K2241" i="2" s="1"/>
  <c r="J2240" i="2"/>
  <c r="K2240" i="2" s="1"/>
  <c r="J2239" i="2"/>
  <c r="K2239" i="2" s="1"/>
  <c r="J2238" i="2"/>
  <c r="K2238" i="2" s="1"/>
  <c r="J2237" i="2"/>
  <c r="K2237" i="2" s="1"/>
  <c r="J2236" i="2"/>
  <c r="K2236" i="2" s="1"/>
  <c r="J2235" i="2"/>
  <c r="K2235" i="2" s="1"/>
  <c r="J2234" i="2"/>
  <c r="K2234" i="2" s="1"/>
  <c r="J2233" i="2"/>
  <c r="K2233" i="2" s="1"/>
  <c r="J2232" i="2"/>
  <c r="K2232" i="2" s="1"/>
  <c r="J2231" i="2"/>
  <c r="K2231" i="2" s="1"/>
  <c r="J2230" i="2"/>
  <c r="K2230" i="2" s="1"/>
  <c r="J2229" i="2"/>
  <c r="K2229" i="2" s="1"/>
  <c r="J2228" i="2"/>
  <c r="K2228" i="2" s="1"/>
  <c r="J2227" i="2"/>
  <c r="K2227" i="2" s="1"/>
  <c r="J2226" i="2"/>
  <c r="K2226" i="2" s="1"/>
  <c r="J2225" i="2"/>
  <c r="K2225" i="2" s="1"/>
  <c r="J2224" i="2"/>
  <c r="K2224" i="2" s="1"/>
  <c r="J2223" i="2"/>
  <c r="K2223" i="2" s="1"/>
  <c r="J2222" i="2"/>
  <c r="K2222" i="2" s="1"/>
  <c r="J2221" i="2"/>
  <c r="K2221" i="2" s="1"/>
  <c r="J2220" i="2"/>
  <c r="K2220" i="2" s="1"/>
  <c r="J2219" i="2"/>
  <c r="K2219" i="2" s="1"/>
  <c r="J2218" i="2"/>
  <c r="K2218" i="2" s="1"/>
  <c r="J2217" i="2"/>
  <c r="K2217" i="2" s="1"/>
  <c r="J2216" i="2"/>
  <c r="K2216" i="2" s="1"/>
  <c r="J2215" i="2"/>
  <c r="K2215" i="2" s="1"/>
  <c r="J2214" i="2"/>
  <c r="K2214" i="2" s="1"/>
  <c r="J2213" i="2"/>
  <c r="K2213" i="2" s="1"/>
  <c r="J2212" i="2"/>
  <c r="K2212" i="2" s="1"/>
  <c r="J2211" i="2"/>
  <c r="K2211" i="2" s="1"/>
  <c r="J2210" i="2"/>
  <c r="K2210" i="2" s="1"/>
  <c r="J2209" i="2"/>
  <c r="K2209" i="2" s="1"/>
  <c r="J2208" i="2"/>
  <c r="K2208" i="2" s="1"/>
  <c r="J2207" i="2"/>
  <c r="K2207" i="2" s="1"/>
  <c r="J2206" i="2"/>
  <c r="K2206" i="2" s="1"/>
  <c r="J2205" i="2"/>
  <c r="K2205" i="2" s="1"/>
  <c r="J2204" i="2"/>
  <c r="K2204" i="2" s="1"/>
  <c r="J2203" i="2"/>
  <c r="K2203" i="2" s="1"/>
  <c r="J2202" i="2"/>
  <c r="K2202" i="2" s="1"/>
  <c r="J2201" i="2"/>
  <c r="K2201" i="2" s="1"/>
  <c r="J2200" i="2"/>
  <c r="K2200" i="2" s="1"/>
  <c r="J2199" i="2"/>
  <c r="K2199" i="2" s="1"/>
  <c r="J2198" i="2"/>
  <c r="K2198" i="2" s="1"/>
  <c r="J2197" i="2"/>
  <c r="K2197" i="2" s="1"/>
  <c r="J2196" i="2"/>
  <c r="K2196" i="2" s="1"/>
  <c r="J2195" i="2"/>
  <c r="K2195" i="2" s="1"/>
  <c r="J2194" i="2"/>
  <c r="K2194" i="2" s="1"/>
  <c r="J2193" i="2"/>
  <c r="K2193" i="2" s="1"/>
  <c r="J2192" i="2"/>
  <c r="K2192" i="2" s="1"/>
  <c r="J2191" i="2"/>
  <c r="K2191" i="2" s="1"/>
  <c r="J2190" i="2"/>
  <c r="K2190" i="2" s="1"/>
  <c r="J2189" i="2"/>
  <c r="K2189" i="2" s="1"/>
  <c r="J2188" i="2"/>
  <c r="K2188" i="2" s="1"/>
  <c r="J2187" i="2"/>
  <c r="K2187" i="2" s="1"/>
  <c r="J2186" i="2"/>
  <c r="K2186" i="2" s="1"/>
  <c r="J2185" i="2"/>
  <c r="K2185" i="2" s="1"/>
  <c r="J2184" i="2"/>
  <c r="K2184" i="2" s="1"/>
  <c r="J2183" i="2"/>
  <c r="K2183" i="2" s="1"/>
  <c r="J2182" i="2"/>
  <c r="K2182" i="2" s="1"/>
  <c r="J2181" i="2"/>
  <c r="K2181" i="2" s="1"/>
  <c r="J2180" i="2"/>
  <c r="K2180" i="2" s="1"/>
  <c r="J2179" i="2"/>
  <c r="K2179" i="2" s="1"/>
  <c r="J2178" i="2"/>
  <c r="K2178" i="2" s="1"/>
  <c r="J2177" i="2"/>
  <c r="K2177" i="2" s="1"/>
  <c r="J2176" i="2"/>
  <c r="K2176" i="2" s="1"/>
  <c r="J2175" i="2"/>
  <c r="K2175" i="2" s="1"/>
  <c r="J2174" i="2"/>
  <c r="K2174" i="2" s="1"/>
  <c r="J2173" i="2"/>
  <c r="K2173" i="2" s="1"/>
  <c r="J2172" i="2"/>
  <c r="K2172" i="2" s="1"/>
  <c r="J2171" i="2"/>
  <c r="K2171" i="2" s="1"/>
  <c r="J2170" i="2"/>
  <c r="K2170" i="2" s="1"/>
  <c r="J2169" i="2"/>
  <c r="K2169" i="2" s="1"/>
  <c r="J2168" i="2"/>
  <c r="K2168" i="2" s="1"/>
  <c r="J2167" i="2"/>
  <c r="K2167" i="2" s="1"/>
  <c r="J2166" i="2"/>
  <c r="K2166" i="2" s="1"/>
  <c r="J2165" i="2"/>
  <c r="K2165" i="2" s="1"/>
  <c r="J2164" i="2"/>
  <c r="K2164" i="2" s="1"/>
  <c r="J2163" i="2"/>
  <c r="K2163" i="2" s="1"/>
  <c r="J2162" i="2"/>
  <c r="K2162" i="2" s="1"/>
  <c r="J2161" i="2"/>
  <c r="K2161" i="2" s="1"/>
  <c r="J2160" i="2"/>
  <c r="K2160" i="2" s="1"/>
  <c r="J2159" i="2"/>
  <c r="K2159" i="2" s="1"/>
  <c r="J2158" i="2"/>
  <c r="K2158" i="2" s="1"/>
  <c r="J2157" i="2"/>
  <c r="K2157" i="2" s="1"/>
  <c r="J2156" i="2"/>
  <c r="K2156" i="2" s="1"/>
  <c r="J2155" i="2"/>
  <c r="K2155" i="2" s="1"/>
  <c r="J2154" i="2"/>
  <c r="K2154" i="2" s="1"/>
  <c r="J2153" i="2"/>
  <c r="K2153" i="2" s="1"/>
  <c r="J2152" i="2"/>
  <c r="K2152" i="2" s="1"/>
  <c r="J2151" i="2"/>
  <c r="K2151" i="2" s="1"/>
  <c r="J2150" i="2"/>
  <c r="K2150" i="2" s="1"/>
  <c r="J2149" i="2"/>
  <c r="K2149" i="2" s="1"/>
  <c r="J2148" i="2"/>
  <c r="K2148" i="2" s="1"/>
  <c r="J2147" i="2"/>
  <c r="K2147" i="2" s="1"/>
  <c r="J2146" i="2"/>
  <c r="K2146" i="2" s="1"/>
  <c r="J2145" i="2"/>
  <c r="K2145" i="2" s="1"/>
  <c r="J2144" i="2"/>
  <c r="K2144" i="2" s="1"/>
  <c r="J2143" i="2"/>
  <c r="K2143" i="2" s="1"/>
  <c r="J2142" i="2"/>
  <c r="K2142" i="2" s="1"/>
  <c r="J2141" i="2"/>
  <c r="K2141" i="2" s="1"/>
  <c r="J2140" i="2"/>
  <c r="K2140" i="2" s="1"/>
  <c r="J2139" i="2"/>
  <c r="K2139" i="2" s="1"/>
  <c r="J2138" i="2"/>
  <c r="K2138" i="2" s="1"/>
  <c r="J2137" i="2"/>
  <c r="K2137" i="2" s="1"/>
  <c r="J2136" i="2"/>
  <c r="K2136" i="2" s="1"/>
  <c r="J2135" i="2"/>
  <c r="K2135" i="2" s="1"/>
  <c r="J2134" i="2"/>
  <c r="K2134" i="2" s="1"/>
  <c r="J2133" i="2"/>
  <c r="K2133" i="2" s="1"/>
  <c r="J2132" i="2"/>
  <c r="K2132" i="2" s="1"/>
  <c r="J2131" i="2"/>
  <c r="K2131" i="2" s="1"/>
  <c r="J2130" i="2"/>
  <c r="K2130" i="2" s="1"/>
  <c r="J2129" i="2"/>
  <c r="K2129" i="2" s="1"/>
  <c r="J2128" i="2"/>
  <c r="K2128" i="2" s="1"/>
  <c r="J2127" i="2"/>
  <c r="K2127" i="2" s="1"/>
  <c r="J2126" i="2"/>
  <c r="K2126" i="2" s="1"/>
  <c r="J2125" i="2"/>
  <c r="K2125" i="2" s="1"/>
  <c r="J2124" i="2"/>
  <c r="K2124" i="2" s="1"/>
  <c r="J2123" i="2"/>
  <c r="K2123" i="2" s="1"/>
  <c r="J2122" i="2"/>
  <c r="K2122" i="2" s="1"/>
  <c r="J2121" i="2"/>
  <c r="K2121" i="2" s="1"/>
  <c r="J2120" i="2"/>
  <c r="K2120" i="2" s="1"/>
  <c r="J2119" i="2"/>
  <c r="K2119" i="2" s="1"/>
  <c r="J2118" i="2"/>
  <c r="K2118" i="2" s="1"/>
  <c r="J2117" i="2"/>
  <c r="K2117" i="2" s="1"/>
  <c r="J2116" i="2"/>
  <c r="K2116" i="2" s="1"/>
  <c r="J2115" i="2"/>
  <c r="K2115" i="2" s="1"/>
  <c r="J2114" i="2"/>
  <c r="K2114" i="2" s="1"/>
  <c r="J2113" i="2"/>
  <c r="K2113" i="2" s="1"/>
  <c r="J2112" i="2"/>
  <c r="K2112" i="2" s="1"/>
  <c r="J2111" i="2"/>
  <c r="K2111" i="2" s="1"/>
  <c r="J2110" i="2"/>
  <c r="K2110" i="2" s="1"/>
  <c r="J2109" i="2"/>
  <c r="K2109" i="2" s="1"/>
  <c r="J2108" i="2"/>
  <c r="K2108" i="2" s="1"/>
  <c r="J2107" i="2"/>
  <c r="K2107" i="2" s="1"/>
  <c r="J2106" i="2"/>
  <c r="K2106" i="2" s="1"/>
  <c r="J2105" i="2"/>
  <c r="K2105" i="2" s="1"/>
  <c r="J2104" i="2"/>
  <c r="K2104" i="2" s="1"/>
  <c r="J2103" i="2"/>
  <c r="K2103" i="2" s="1"/>
  <c r="J2102" i="2"/>
  <c r="K2102" i="2" s="1"/>
  <c r="J2101" i="2"/>
  <c r="K2101" i="2" s="1"/>
  <c r="J2100" i="2"/>
  <c r="K2100" i="2" s="1"/>
  <c r="J2099" i="2"/>
  <c r="K2099" i="2" s="1"/>
  <c r="J2098" i="2"/>
  <c r="K2098" i="2" s="1"/>
  <c r="J2097" i="2"/>
  <c r="K2097" i="2" s="1"/>
  <c r="J2096" i="2"/>
  <c r="K2096" i="2" s="1"/>
  <c r="J2095" i="2"/>
  <c r="K2095" i="2" s="1"/>
  <c r="J2094" i="2"/>
  <c r="K2094" i="2" s="1"/>
  <c r="J2093" i="2"/>
  <c r="K2093" i="2" s="1"/>
  <c r="J2092" i="2"/>
  <c r="K2092" i="2" s="1"/>
  <c r="J2091" i="2"/>
  <c r="K2091" i="2" s="1"/>
  <c r="J2090" i="2"/>
  <c r="K2090" i="2" s="1"/>
  <c r="J2089" i="2"/>
  <c r="K2089" i="2" s="1"/>
  <c r="J2088" i="2"/>
  <c r="K2088" i="2" s="1"/>
  <c r="J2087" i="2"/>
  <c r="K2087" i="2" s="1"/>
  <c r="J2086" i="2"/>
  <c r="K2086" i="2" s="1"/>
  <c r="J2085" i="2"/>
  <c r="K2085" i="2" s="1"/>
  <c r="J2084" i="2"/>
  <c r="K2084" i="2" s="1"/>
  <c r="J2083" i="2"/>
  <c r="K2083" i="2" s="1"/>
  <c r="J2082" i="2"/>
  <c r="K2082" i="2" s="1"/>
  <c r="J2081" i="2"/>
  <c r="K2081" i="2" s="1"/>
  <c r="J2080" i="2"/>
  <c r="K2080" i="2" s="1"/>
  <c r="J2079" i="2"/>
  <c r="K2079" i="2" s="1"/>
  <c r="J2078" i="2"/>
  <c r="K2078" i="2" s="1"/>
  <c r="J2077" i="2"/>
  <c r="K2077" i="2" s="1"/>
  <c r="J2076" i="2"/>
  <c r="K2076" i="2" s="1"/>
  <c r="J2075" i="2"/>
  <c r="K2075" i="2" s="1"/>
  <c r="J2074" i="2"/>
  <c r="K2074" i="2" s="1"/>
  <c r="J2073" i="2"/>
  <c r="K2073" i="2" s="1"/>
  <c r="J2072" i="2"/>
  <c r="K2072" i="2" s="1"/>
  <c r="J2071" i="2"/>
  <c r="K2071" i="2" s="1"/>
  <c r="J2070" i="2"/>
  <c r="K2070" i="2" s="1"/>
  <c r="J2069" i="2"/>
  <c r="K2069" i="2" s="1"/>
  <c r="J2068" i="2"/>
  <c r="K2068" i="2" s="1"/>
  <c r="J2067" i="2"/>
  <c r="K2067" i="2" s="1"/>
  <c r="J2066" i="2"/>
  <c r="K2066" i="2" s="1"/>
  <c r="J2065" i="2"/>
  <c r="K2065" i="2" s="1"/>
  <c r="J2064" i="2"/>
  <c r="K2064" i="2" s="1"/>
  <c r="J2063" i="2"/>
  <c r="K2063" i="2" s="1"/>
  <c r="J2062" i="2"/>
  <c r="K2062" i="2" s="1"/>
  <c r="J2061" i="2"/>
  <c r="K2061" i="2" s="1"/>
  <c r="J2060" i="2"/>
  <c r="K2060" i="2" s="1"/>
  <c r="J2059" i="2"/>
  <c r="K2059" i="2" s="1"/>
  <c r="J2058" i="2"/>
  <c r="K2058" i="2" s="1"/>
  <c r="J2057" i="2"/>
  <c r="K2057" i="2" s="1"/>
  <c r="J2056" i="2"/>
  <c r="K2056" i="2" s="1"/>
  <c r="J2055" i="2"/>
  <c r="K2055" i="2" s="1"/>
  <c r="J2054" i="2"/>
  <c r="K2054" i="2" s="1"/>
  <c r="J2053" i="2"/>
  <c r="K2053" i="2" s="1"/>
  <c r="J2052" i="2"/>
  <c r="K2052" i="2" s="1"/>
  <c r="J2051" i="2"/>
  <c r="K2051" i="2" s="1"/>
  <c r="J2050" i="2"/>
  <c r="K2050" i="2" s="1"/>
  <c r="J2049" i="2"/>
  <c r="K2049" i="2" s="1"/>
  <c r="J2048" i="2"/>
  <c r="K2048" i="2" s="1"/>
  <c r="J2047" i="2"/>
  <c r="K2047" i="2" s="1"/>
  <c r="J2046" i="2"/>
  <c r="K2046" i="2" s="1"/>
  <c r="J2045" i="2"/>
  <c r="K2045" i="2" s="1"/>
  <c r="J2044" i="2"/>
  <c r="K2044" i="2" s="1"/>
  <c r="J2043" i="2"/>
  <c r="K2043" i="2" s="1"/>
  <c r="J2042" i="2"/>
  <c r="K2042" i="2" s="1"/>
  <c r="J2041" i="2"/>
  <c r="K2041" i="2" s="1"/>
  <c r="J2040" i="2"/>
  <c r="K2040" i="2" s="1"/>
  <c r="J2039" i="2"/>
  <c r="K2039" i="2" s="1"/>
  <c r="J2038" i="2"/>
  <c r="K2038" i="2" s="1"/>
  <c r="J2037" i="2"/>
  <c r="K2037" i="2" s="1"/>
  <c r="J2036" i="2"/>
  <c r="K2036" i="2" s="1"/>
  <c r="J2035" i="2"/>
  <c r="K2035" i="2" s="1"/>
  <c r="J2034" i="2"/>
  <c r="K2034" i="2" s="1"/>
  <c r="J2033" i="2"/>
  <c r="K2033" i="2" s="1"/>
  <c r="J2032" i="2"/>
  <c r="K2032" i="2" s="1"/>
  <c r="J2031" i="2"/>
  <c r="K2031" i="2" s="1"/>
  <c r="J2030" i="2"/>
  <c r="K2030" i="2" s="1"/>
  <c r="J2029" i="2"/>
  <c r="K2029" i="2" s="1"/>
  <c r="J2028" i="2"/>
  <c r="K2028" i="2" s="1"/>
  <c r="J2027" i="2"/>
  <c r="K2027" i="2" s="1"/>
  <c r="J2026" i="2"/>
  <c r="K2026" i="2" s="1"/>
  <c r="J2025" i="2"/>
  <c r="K2025" i="2" s="1"/>
  <c r="J2024" i="2"/>
  <c r="K2024" i="2" s="1"/>
  <c r="J2023" i="2"/>
  <c r="K2023" i="2" s="1"/>
  <c r="J2022" i="2"/>
  <c r="K2022" i="2" s="1"/>
  <c r="J2021" i="2"/>
  <c r="K2021" i="2" s="1"/>
  <c r="J2020" i="2"/>
  <c r="K2020" i="2" s="1"/>
  <c r="J2019" i="2"/>
  <c r="K2019" i="2" s="1"/>
  <c r="J2018" i="2"/>
  <c r="K2018" i="2" s="1"/>
  <c r="J2017" i="2"/>
  <c r="K2017" i="2" s="1"/>
  <c r="J2016" i="2"/>
  <c r="K2016" i="2" s="1"/>
  <c r="J2015" i="2"/>
  <c r="K2015" i="2" s="1"/>
  <c r="J2014" i="2"/>
  <c r="K2014" i="2" s="1"/>
  <c r="J2013" i="2"/>
  <c r="K2013" i="2" s="1"/>
  <c r="J2012" i="2"/>
  <c r="K2012" i="2" s="1"/>
  <c r="J2011" i="2"/>
  <c r="K2011" i="2" s="1"/>
  <c r="J2010" i="2"/>
  <c r="K2010" i="2" s="1"/>
  <c r="J2009" i="2"/>
  <c r="K2009" i="2" s="1"/>
  <c r="J2008" i="2"/>
  <c r="K2008" i="2" s="1"/>
  <c r="J2007" i="2"/>
  <c r="K2007" i="2" s="1"/>
  <c r="J2006" i="2"/>
  <c r="K2006" i="2" s="1"/>
  <c r="J2005" i="2"/>
  <c r="K2005" i="2" s="1"/>
  <c r="J2004" i="2"/>
  <c r="K2004" i="2" s="1"/>
  <c r="J2003" i="2"/>
  <c r="K2003" i="2" s="1"/>
  <c r="J2002" i="2"/>
  <c r="K2002" i="2" s="1"/>
  <c r="J2001" i="2"/>
  <c r="K2001" i="2" s="1"/>
  <c r="J2000" i="2"/>
  <c r="K2000" i="2" s="1"/>
  <c r="J1999" i="2"/>
  <c r="K1999" i="2" s="1"/>
  <c r="J1998" i="2"/>
  <c r="K1998" i="2" s="1"/>
  <c r="J1997" i="2"/>
  <c r="K1997" i="2" s="1"/>
  <c r="J1996" i="2"/>
  <c r="K1996" i="2" s="1"/>
  <c r="J1995" i="2"/>
  <c r="K1995" i="2" s="1"/>
  <c r="J1994" i="2"/>
  <c r="K1994" i="2" s="1"/>
  <c r="J1993" i="2"/>
  <c r="K1993" i="2" s="1"/>
  <c r="J1992" i="2"/>
  <c r="K1992" i="2" s="1"/>
  <c r="J1991" i="2"/>
  <c r="K1991" i="2" s="1"/>
  <c r="J1990" i="2"/>
  <c r="K1990" i="2" s="1"/>
  <c r="J1989" i="2"/>
  <c r="K1989" i="2" s="1"/>
  <c r="J1988" i="2"/>
  <c r="K1988" i="2" s="1"/>
  <c r="J1987" i="2"/>
  <c r="K1987" i="2" s="1"/>
  <c r="J1986" i="2"/>
  <c r="K1986" i="2" s="1"/>
  <c r="J1985" i="2"/>
  <c r="K1985" i="2" s="1"/>
  <c r="J1984" i="2"/>
  <c r="K1984" i="2" s="1"/>
  <c r="J1983" i="2"/>
  <c r="K1983" i="2" s="1"/>
  <c r="J1982" i="2"/>
  <c r="K1982" i="2" s="1"/>
  <c r="J1981" i="2"/>
  <c r="K1981" i="2" s="1"/>
  <c r="J1980" i="2"/>
  <c r="K1980" i="2" s="1"/>
  <c r="J1979" i="2"/>
  <c r="K1979" i="2" s="1"/>
  <c r="J1978" i="2"/>
  <c r="K1978" i="2" s="1"/>
  <c r="J1977" i="2"/>
  <c r="K1977" i="2" s="1"/>
  <c r="J1976" i="2"/>
  <c r="K1976" i="2" s="1"/>
  <c r="J1975" i="2"/>
  <c r="K1975" i="2" s="1"/>
  <c r="J1974" i="2"/>
  <c r="K1974" i="2" s="1"/>
  <c r="J1973" i="2"/>
  <c r="K1973" i="2" s="1"/>
  <c r="J1972" i="2"/>
  <c r="K1972" i="2" s="1"/>
  <c r="J1971" i="2"/>
  <c r="K1971" i="2" s="1"/>
  <c r="J1970" i="2"/>
  <c r="K1970" i="2" s="1"/>
  <c r="J1969" i="2"/>
  <c r="K1969" i="2" s="1"/>
  <c r="J1968" i="2"/>
  <c r="K1968" i="2" s="1"/>
  <c r="J1967" i="2"/>
  <c r="K1967" i="2" s="1"/>
  <c r="J1966" i="2"/>
  <c r="K1966" i="2" s="1"/>
  <c r="J1965" i="2"/>
  <c r="K1965" i="2" s="1"/>
  <c r="J1964" i="2"/>
  <c r="K1964" i="2" s="1"/>
  <c r="J1963" i="2"/>
  <c r="K1963" i="2" s="1"/>
  <c r="J1962" i="2"/>
  <c r="K1962" i="2" s="1"/>
  <c r="J1961" i="2"/>
  <c r="K1961" i="2" s="1"/>
  <c r="J1960" i="2"/>
  <c r="K1960" i="2" s="1"/>
  <c r="J1959" i="2"/>
  <c r="K1959" i="2" s="1"/>
  <c r="J1958" i="2"/>
  <c r="K1958" i="2" s="1"/>
  <c r="J1957" i="2"/>
  <c r="K1957" i="2" s="1"/>
  <c r="J1956" i="2"/>
  <c r="K1956" i="2" s="1"/>
  <c r="J1955" i="2"/>
  <c r="K1955" i="2" s="1"/>
  <c r="J1954" i="2"/>
  <c r="K1954" i="2" s="1"/>
  <c r="J1953" i="2"/>
  <c r="K1953" i="2" s="1"/>
  <c r="J1952" i="2"/>
  <c r="K1952" i="2" s="1"/>
  <c r="J1951" i="2"/>
  <c r="K1951" i="2" s="1"/>
  <c r="J1950" i="2"/>
  <c r="K1950" i="2" s="1"/>
  <c r="J1949" i="2"/>
  <c r="K1949" i="2" s="1"/>
  <c r="J1948" i="2"/>
  <c r="K1948" i="2" s="1"/>
  <c r="J1947" i="2"/>
  <c r="K1947" i="2" s="1"/>
  <c r="J1946" i="2"/>
  <c r="K1946" i="2" s="1"/>
  <c r="J1945" i="2"/>
  <c r="K1945" i="2" s="1"/>
  <c r="J1944" i="2"/>
  <c r="K1944" i="2" s="1"/>
  <c r="J1943" i="2"/>
  <c r="K1943" i="2" s="1"/>
  <c r="J1942" i="2"/>
  <c r="K1942" i="2" s="1"/>
  <c r="J1941" i="2"/>
  <c r="K1941" i="2" s="1"/>
  <c r="J1940" i="2"/>
  <c r="K1940" i="2" s="1"/>
  <c r="J1939" i="2"/>
  <c r="K1939" i="2" s="1"/>
  <c r="J1938" i="2"/>
  <c r="K1938" i="2" s="1"/>
  <c r="J1937" i="2"/>
  <c r="K1937" i="2" s="1"/>
  <c r="J1936" i="2"/>
  <c r="K1936" i="2" s="1"/>
  <c r="J1935" i="2"/>
  <c r="K1935" i="2" s="1"/>
  <c r="J1934" i="2"/>
  <c r="K1934" i="2" s="1"/>
  <c r="J1933" i="2"/>
  <c r="K1933" i="2" s="1"/>
  <c r="J1932" i="2"/>
  <c r="K1932" i="2" s="1"/>
  <c r="J1931" i="2"/>
  <c r="K1931" i="2" s="1"/>
  <c r="J1930" i="2"/>
  <c r="K1930" i="2" s="1"/>
  <c r="J1929" i="2"/>
  <c r="K1929" i="2" s="1"/>
  <c r="J1928" i="2"/>
  <c r="K1928" i="2" s="1"/>
  <c r="J1927" i="2"/>
  <c r="K1927" i="2" s="1"/>
  <c r="J1926" i="2"/>
  <c r="K1926" i="2" s="1"/>
  <c r="J1925" i="2"/>
  <c r="K1925" i="2" s="1"/>
  <c r="J1924" i="2"/>
  <c r="K1924" i="2" s="1"/>
  <c r="J1923" i="2"/>
  <c r="K1923" i="2" s="1"/>
  <c r="J1922" i="2"/>
  <c r="K1922" i="2" s="1"/>
  <c r="J1921" i="2"/>
  <c r="K1921" i="2" s="1"/>
  <c r="J1920" i="2"/>
  <c r="K1920" i="2" s="1"/>
  <c r="J1919" i="2"/>
  <c r="K1919" i="2" s="1"/>
  <c r="J1918" i="2"/>
  <c r="K1918" i="2" s="1"/>
  <c r="J1917" i="2"/>
  <c r="K1917" i="2" s="1"/>
  <c r="J1916" i="2"/>
  <c r="K1916" i="2" s="1"/>
  <c r="J1915" i="2"/>
  <c r="K1915" i="2" s="1"/>
  <c r="J1914" i="2"/>
  <c r="K1914" i="2" s="1"/>
  <c r="J1913" i="2"/>
  <c r="K1913" i="2" s="1"/>
  <c r="J1912" i="2"/>
  <c r="K1912" i="2" s="1"/>
  <c r="J1911" i="2"/>
  <c r="K1911" i="2" s="1"/>
  <c r="J1910" i="2"/>
  <c r="K1910" i="2" s="1"/>
  <c r="J1909" i="2"/>
  <c r="K1909" i="2" s="1"/>
  <c r="J1908" i="2"/>
  <c r="K1908" i="2" s="1"/>
  <c r="J1907" i="2"/>
  <c r="K1907" i="2" s="1"/>
  <c r="J1906" i="2"/>
  <c r="K1906" i="2" s="1"/>
  <c r="J1905" i="2"/>
  <c r="K1905" i="2" s="1"/>
  <c r="J1904" i="2"/>
  <c r="K1904" i="2" s="1"/>
  <c r="J1903" i="2"/>
  <c r="K1903" i="2" s="1"/>
  <c r="J1902" i="2"/>
  <c r="K1902" i="2" s="1"/>
  <c r="J1901" i="2"/>
  <c r="K1901" i="2" s="1"/>
  <c r="J1900" i="2"/>
  <c r="K1900" i="2" s="1"/>
  <c r="J1899" i="2"/>
  <c r="K1899" i="2" s="1"/>
  <c r="J1898" i="2"/>
  <c r="K1898" i="2" s="1"/>
  <c r="J1897" i="2"/>
  <c r="K1897" i="2" s="1"/>
  <c r="J1896" i="2"/>
  <c r="K1896" i="2" s="1"/>
  <c r="J1895" i="2"/>
  <c r="K1895" i="2" s="1"/>
  <c r="J1894" i="2"/>
  <c r="K1894" i="2" s="1"/>
  <c r="J1893" i="2"/>
  <c r="K1893" i="2" s="1"/>
  <c r="J1892" i="2"/>
  <c r="K1892" i="2" s="1"/>
  <c r="J1891" i="2"/>
  <c r="K1891" i="2" s="1"/>
  <c r="J1890" i="2"/>
  <c r="K1890" i="2" s="1"/>
  <c r="J1889" i="2"/>
  <c r="K1889" i="2" s="1"/>
  <c r="J1888" i="2"/>
  <c r="K1888" i="2" s="1"/>
  <c r="J1887" i="2"/>
  <c r="K1887" i="2" s="1"/>
  <c r="J1886" i="2"/>
  <c r="K1886" i="2" s="1"/>
  <c r="J1885" i="2"/>
  <c r="K1885" i="2" s="1"/>
  <c r="J1884" i="2"/>
  <c r="K1884" i="2" s="1"/>
  <c r="J1883" i="2"/>
  <c r="K1883" i="2" s="1"/>
  <c r="J1882" i="2"/>
  <c r="K1882" i="2" s="1"/>
  <c r="J1881" i="2"/>
  <c r="K1881" i="2" s="1"/>
  <c r="J1880" i="2"/>
  <c r="K1880" i="2" s="1"/>
  <c r="J1879" i="2"/>
  <c r="K1879" i="2" s="1"/>
  <c r="J1878" i="2"/>
  <c r="K1878" i="2" s="1"/>
  <c r="J1877" i="2"/>
  <c r="K1877" i="2" s="1"/>
  <c r="J1876" i="2"/>
  <c r="K1876" i="2" s="1"/>
  <c r="J1875" i="2"/>
  <c r="K1875" i="2" s="1"/>
  <c r="J1874" i="2"/>
  <c r="K1874" i="2" s="1"/>
  <c r="J1873" i="2"/>
  <c r="K1873" i="2" s="1"/>
  <c r="J1872" i="2"/>
  <c r="K1872" i="2" s="1"/>
  <c r="J1871" i="2"/>
  <c r="K1871" i="2" s="1"/>
  <c r="J1870" i="2"/>
  <c r="K1870" i="2" s="1"/>
  <c r="J1869" i="2"/>
  <c r="K1869" i="2" s="1"/>
  <c r="J1868" i="2"/>
  <c r="K1868" i="2" s="1"/>
  <c r="J1867" i="2"/>
  <c r="K1867" i="2" s="1"/>
  <c r="J1866" i="2"/>
  <c r="K1866" i="2" s="1"/>
  <c r="J1865" i="2"/>
  <c r="K1865" i="2" s="1"/>
  <c r="J1864" i="2"/>
  <c r="K1864" i="2" s="1"/>
  <c r="J1863" i="2"/>
  <c r="K1863" i="2" s="1"/>
  <c r="J1862" i="2"/>
  <c r="K1862" i="2" s="1"/>
  <c r="J1861" i="2"/>
  <c r="K1861" i="2" s="1"/>
  <c r="J1860" i="2"/>
  <c r="K1860" i="2" s="1"/>
  <c r="J1859" i="2"/>
  <c r="K1859" i="2" s="1"/>
  <c r="J1858" i="2"/>
  <c r="K1858" i="2" s="1"/>
  <c r="J1857" i="2"/>
  <c r="K1857" i="2" s="1"/>
  <c r="J1856" i="2"/>
  <c r="K1856" i="2" s="1"/>
  <c r="J1855" i="2"/>
  <c r="K1855" i="2" s="1"/>
  <c r="J1854" i="2"/>
  <c r="K1854" i="2" s="1"/>
  <c r="J1853" i="2"/>
  <c r="K1853" i="2" s="1"/>
  <c r="J1852" i="2"/>
  <c r="K1852" i="2" s="1"/>
  <c r="J1851" i="2"/>
  <c r="K1851" i="2" s="1"/>
  <c r="J1850" i="2"/>
  <c r="K1850" i="2" s="1"/>
  <c r="J1849" i="2"/>
  <c r="K1849" i="2" s="1"/>
  <c r="J1848" i="2"/>
  <c r="K1848" i="2" s="1"/>
  <c r="J1847" i="2"/>
  <c r="K1847" i="2" s="1"/>
  <c r="J1846" i="2"/>
  <c r="K1846" i="2" s="1"/>
  <c r="J1845" i="2"/>
  <c r="K1845" i="2" s="1"/>
  <c r="J1844" i="2"/>
  <c r="K1844" i="2" s="1"/>
  <c r="J1843" i="2"/>
  <c r="K1843" i="2" s="1"/>
  <c r="J1842" i="2"/>
  <c r="K1842" i="2" s="1"/>
  <c r="J1841" i="2"/>
  <c r="K1841" i="2" s="1"/>
  <c r="J1840" i="2"/>
  <c r="K1840" i="2" s="1"/>
  <c r="J1839" i="2"/>
  <c r="K1839" i="2" s="1"/>
  <c r="J1838" i="2"/>
  <c r="K1838" i="2" s="1"/>
  <c r="J1837" i="2"/>
  <c r="K1837" i="2" s="1"/>
  <c r="J1836" i="2"/>
  <c r="K1836" i="2" s="1"/>
  <c r="J1835" i="2"/>
  <c r="K1835" i="2" s="1"/>
  <c r="J1834" i="2"/>
  <c r="K1834" i="2" s="1"/>
  <c r="J1833" i="2"/>
  <c r="K1833" i="2" s="1"/>
  <c r="J1832" i="2"/>
  <c r="K1832" i="2" s="1"/>
  <c r="J1831" i="2"/>
  <c r="K1831" i="2" s="1"/>
  <c r="J1830" i="2"/>
  <c r="K1830" i="2" s="1"/>
  <c r="J1829" i="2"/>
  <c r="K1829" i="2" s="1"/>
  <c r="J1828" i="2"/>
  <c r="K1828" i="2" s="1"/>
  <c r="J1827" i="2"/>
  <c r="K1827" i="2" s="1"/>
  <c r="J1826" i="2"/>
  <c r="K1826" i="2" s="1"/>
  <c r="J1825" i="2"/>
  <c r="K1825" i="2" s="1"/>
  <c r="J1824" i="2"/>
  <c r="K1824" i="2" s="1"/>
  <c r="J1823" i="2"/>
  <c r="K1823" i="2" s="1"/>
  <c r="J1822" i="2"/>
  <c r="K1822" i="2" s="1"/>
  <c r="J1821" i="2"/>
  <c r="K1821" i="2" s="1"/>
  <c r="J1820" i="2"/>
  <c r="K1820" i="2" s="1"/>
  <c r="J1819" i="2"/>
  <c r="K1819" i="2" s="1"/>
  <c r="J1818" i="2"/>
  <c r="K1818" i="2" s="1"/>
  <c r="J1817" i="2"/>
  <c r="K1817" i="2" s="1"/>
  <c r="J1816" i="2"/>
  <c r="K1816" i="2" s="1"/>
  <c r="J1815" i="2"/>
  <c r="K1815" i="2" s="1"/>
  <c r="J1814" i="2"/>
  <c r="K1814" i="2" s="1"/>
  <c r="J1813" i="2"/>
  <c r="K1813" i="2" s="1"/>
  <c r="J1812" i="2"/>
  <c r="K1812" i="2" s="1"/>
  <c r="J1811" i="2"/>
  <c r="K1811" i="2" s="1"/>
  <c r="J1810" i="2"/>
  <c r="K1810" i="2" s="1"/>
  <c r="J1809" i="2"/>
  <c r="K1809" i="2" s="1"/>
  <c r="J1808" i="2"/>
  <c r="K1808" i="2" s="1"/>
  <c r="J1807" i="2"/>
  <c r="K1807" i="2" s="1"/>
  <c r="J1806" i="2"/>
  <c r="K1806" i="2" s="1"/>
  <c r="J1805" i="2"/>
  <c r="K1805" i="2" s="1"/>
  <c r="J1804" i="2"/>
  <c r="K1804" i="2" s="1"/>
  <c r="J1803" i="2"/>
  <c r="K1803" i="2" s="1"/>
  <c r="J1802" i="2"/>
  <c r="K1802" i="2" s="1"/>
  <c r="J1801" i="2"/>
  <c r="K1801" i="2" s="1"/>
  <c r="J1800" i="2"/>
  <c r="K1800" i="2" s="1"/>
  <c r="J1799" i="2"/>
  <c r="K1799" i="2" s="1"/>
  <c r="J1798" i="2"/>
  <c r="K1798" i="2" s="1"/>
  <c r="J1797" i="2"/>
  <c r="K1797" i="2" s="1"/>
  <c r="J1796" i="2"/>
  <c r="K1796" i="2" s="1"/>
  <c r="J1795" i="2"/>
  <c r="K1795" i="2" s="1"/>
  <c r="J1794" i="2"/>
  <c r="K1794" i="2" s="1"/>
  <c r="J1793" i="2"/>
  <c r="K1793" i="2" s="1"/>
  <c r="J1792" i="2"/>
  <c r="K1792" i="2" s="1"/>
  <c r="J1791" i="2"/>
  <c r="K1791" i="2" s="1"/>
  <c r="J1790" i="2"/>
  <c r="K1790" i="2" s="1"/>
  <c r="J1789" i="2"/>
  <c r="K1789" i="2" s="1"/>
  <c r="J1788" i="2"/>
  <c r="K1788" i="2" s="1"/>
  <c r="J1787" i="2"/>
  <c r="K1787" i="2" s="1"/>
  <c r="J1786" i="2"/>
  <c r="K1786" i="2" s="1"/>
  <c r="J1785" i="2"/>
  <c r="K1785" i="2" s="1"/>
  <c r="J1784" i="2"/>
  <c r="K1784" i="2" s="1"/>
  <c r="J1783" i="2"/>
  <c r="K1783" i="2" s="1"/>
  <c r="J1782" i="2"/>
  <c r="K1782" i="2" s="1"/>
  <c r="J1781" i="2"/>
  <c r="K1781" i="2" s="1"/>
  <c r="J1780" i="2"/>
  <c r="K1780" i="2" s="1"/>
  <c r="J1779" i="2"/>
  <c r="K1779" i="2" s="1"/>
  <c r="J1778" i="2"/>
  <c r="K1778" i="2" s="1"/>
  <c r="J1777" i="2"/>
  <c r="K1777" i="2" s="1"/>
  <c r="J1776" i="2"/>
  <c r="K1776" i="2" s="1"/>
  <c r="J1775" i="2"/>
  <c r="K1775" i="2" s="1"/>
  <c r="J1774" i="2"/>
  <c r="K1774" i="2" s="1"/>
  <c r="J1773" i="2"/>
  <c r="K1773" i="2" s="1"/>
  <c r="J1772" i="2"/>
  <c r="K1772" i="2" s="1"/>
  <c r="J1771" i="2"/>
  <c r="K1771" i="2" s="1"/>
  <c r="J1770" i="2"/>
  <c r="K1770" i="2" s="1"/>
  <c r="J1769" i="2"/>
  <c r="K1769" i="2" s="1"/>
  <c r="J1768" i="2"/>
  <c r="K1768" i="2" s="1"/>
  <c r="J1767" i="2"/>
  <c r="K1767" i="2" s="1"/>
  <c r="J1766" i="2"/>
  <c r="K1766" i="2" s="1"/>
  <c r="J1765" i="2"/>
  <c r="K1765" i="2" s="1"/>
  <c r="J1764" i="2"/>
  <c r="K1764" i="2" s="1"/>
  <c r="J1763" i="2"/>
  <c r="K1763" i="2" s="1"/>
  <c r="J1762" i="2"/>
  <c r="K1762" i="2" s="1"/>
  <c r="J1761" i="2"/>
  <c r="K1761" i="2" s="1"/>
  <c r="J1760" i="2"/>
  <c r="K1760" i="2" s="1"/>
  <c r="J1759" i="2"/>
  <c r="K1759" i="2" s="1"/>
  <c r="J1758" i="2"/>
  <c r="K1758" i="2" s="1"/>
  <c r="J1757" i="2"/>
  <c r="K1757" i="2" s="1"/>
  <c r="J1756" i="2"/>
  <c r="K1756" i="2" s="1"/>
  <c r="J1755" i="2"/>
  <c r="K1755" i="2" s="1"/>
  <c r="J1754" i="2"/>
  <c r="K1754" i="2" s="1"/>
  <c r="J1753" i="2"/>
  <c r="K1753" i="2" s="1"/>
  <c r="J1752" i="2"/>
  <c r="K1752" i="2" s="1"/>
  <c r="J1751" i="2"/>
  <c r="K1751" i="2" s="1"/>
  <c r="J1750" i="2"/>
  <c r="K1750" i="2" s="1"/>
  <c r="J1749" i="2"/>
  <c r="K1749" i="2" s="1"/>
  <c r="J1748" i="2"/>
  <c r="K1748" i="2" s="1"/>
  <c r="J1747" i="2"/>
  <c r="K1747" i="2" s="1"/>
  <c r="J1746" i="2"/>
  <c r="K1746" i="2" s="1"/>
  <c r="J1745" i="2"/>
  <c r="K1745" i="2" s="1"/>
  <c r="J1744" i="2"/>
  <c r="K1744" i="2" s="1"/>
  <c r="J1743" i="2"/>
  <c r="K1743" i="2" s="1"/>
  <c r="J1742" i="2"/>
  <c r="K1742" i="2" s="1"/>
  <c r="J1741" i="2"/>
  <c r="K1741" i="2" s="1"/>
  <c r="J1740" i="2"/>
  <c r="K1740" i="2" s="1"/>
  <c r="J1739" i="2"/>
  <c r="K1739" i="2" s="1"/>
  <c r="J1738" i="2"/>
  <c r="K1738" i="2" s="1"/>
  <c r="J1737" i="2"/>
  <c r="K1737" i="2" s="1"/>
  <c r="J1736" i="2"/>
  <c r="K1736" i="2" s="1"/>
  <c r="J1735" i="2"/>
  <c r="K1735" i="2" s="1"/>
  <c r="J1734" i="2"/>
  <c r="K1734" i="2" s="1"/>
  <c r="J1733" i="2"/>
  <c r="K1733" i="2" s="1"/>
  <c r="J1732" i="2"/>
  <c r="K1732" i="2" s="1"/>
  <c r="J1731" i="2"/>
  <c r="K1731" i="2" s="1"/>
  <c r="J1730" i="2"/>
  <c r="K1730" i="2" s="1"/>
  <c r="J1729" i="2"/>
  <c r="K1729" i="2" s="1"/>
  <c r="J1728" i="2"/>
  <c r="K1728" i="2" s="1"/>
  <c r="J1727" i="2"/>
  <c r="K1727" i="2" s="1"/>
  <c r="J1726" i="2"/>
  <c r="K1726" i="2" s="1"/>
  <c r="J1725" i="2"/>
  <c r="K1725" i="2" s="1"/>
  <c r="J1724" i="2"/>
  <c r="K1724" i="2" s="1"/>
  <c r="J1723" i="2"/>
  <c r="K1723" i="2" s="1"/>
  <c r="J1722" i="2"/>
  <c r="K1722" i="2" s="1"/>
  <c r="J1721" i="2"/>
  <c r="K1721" i="2" s="1"/>
  <c r="J1720" i="2"/>
  <c r="K1720" i="2" s="1"/>
  <c r="J1719" i="2"/>
  <c r="K1719" i="2" s="1"/>
  <c r="J1718" i="2"/>
  <c r="K1718" i="2" s="1"/>
  <c r="J1717" i="2"/>
  <c r="K1717" i="2" s="1"/>
  <c r="J1716" i="2"/>
  <c r="K1716" i="2" s="1"/>
  <c r="J1715" i="2"/>
  <c r="K1715" i="2" s="1"/>
  <c r="J1714" i="2"/>
  <c r="K1714" i="2" s="1"/>
  <c r="J1713" i="2"/>
  <c r="K1713" i="2" s="1"/>
  <c r="J1712" i="2"/>
  <c r="K1712" i="2" s="1"/>
  <c r="J1711" i="2"/>
  <c r="K1711" i="2" s="1"/>
  <c r="J1710" i="2"/>
  <c r="K1710" i="2" s="1"/>
  <c r="J1709" i="2"/>
  <c r="K1709" i="2" s="1"/>
  <c r="J1708" i="2"/>
  <c r="K1708" i="2" s="1"/>
  <c r="J1707" i="2"/>
  <c r="K1707" i="2" s="1"/>
  <c r="J1706" i="2"/>
  <c r="K1706" i="2" s="1"/>
  <c r="J1705" i="2"/>
  <c r="K1705" i="2" s="1"/>
  <c r="J1704" i="2"/>
  <c r="K1704" i="2" s="1"/>
  <c r="J1703" i="2"/>
  <c r="K1703" i="2" s="1"/>
  <c r="J1702" i="2"/>
  <c r="K1702" i="2" s="1"/>
  <c r="J1701" i="2"/>
  <c r="K1701" i="2" s="1"/>
  <c r="J1700" i="2"/>
  <c r="K1700" i="2" s="1"/>
  <c r="J1699" i="2"/>
  <c r="K1699" i="2" s="1"/>
  <c r="J1698" i="2"/>
  <c r="K1698" i="2" s="1"/>
  <c r="J1697" i="2"/>
  <c r="K1697" i="2" s="1"/>
  <c r="J1696" i="2"/>
  <c r="K1696" i="2" s="1"/>
  <c r="J1695" i="2"/>
  <c r="K1695" i="2" s="1"/>
  <c r="J1694" i="2"/>
  <c r="K1694" i="2" s="1"/>
  <c r="J1693" i="2"/>
  <c r="K1693" i="2" s="1"/>
  <c r="J1692" i="2"/>
  <c r="K1692" i="2" s="1"/>
  <c r="J1691" i="2"/>
  <c r="K1691" i="2" s="1"/>
  <c r="J1690" i="2"/>
  <c r="K1690" i="2" s="1"/>
  <c r="J1689" i="2"/>
  <c r="K1689" i="2" s="1"/>
  <c r="J1688" i="2"/>
  <c r="K1688" i="2" s="1"/>
  <c r="J1687" i="2"/>
  <c r="K1687" i="2" s="1"/>
  <c r="J1686" i="2"/>
  <c r="K1686" i="2" s="1"/>
  <c r="J1685" i="2"/>
  <c r="K1685" i="2" s="1"/>
  <c r="J1684" i="2"/>
  <c r="K1684" i="2" s="1"/>
  <c r="J1683" i="2"/>
  <c r="K1683" i="2" s="1"/>
  <c r="J1682" i="2"/>
  <c r="K1682" i="2" s="1"/>
  <c r="J1681" i="2"/>
  <c r="K1681" i="2" s="1"/>
  <c r="J1680" i="2"/>
  <c r="K1680" i="2" s="1"/>
  <c r="J1679" i="2"/>
  <c r="K1679" i="2" s="1"/>
  <c r="J1678" i="2"/>
  <c r="K1678" i="2" s="1"/>
  <c r="J1677" i="2"/>
  <c r="K1677" i="2" s="1"/>
  <c r="J1676" i="2"/>
  <c r="K1676" i="2" s="1"/>
  <c r="J1675" i="2"/>
  <c r="K1675" i="2" s="1"/>
  <c r="J1674" i="2"/>
  <c r="K1674" i="2" s="1"/>
  <c r="J1673" i="2"/>
  <c r="K1673" i="2" s="1"/>
  <c r="J1672" i="2"/>
  <c r="K1672" i="2" s="1"/>
  <c r="J1671" i="2"/>
  <c r="K1671" i="2" s="1"/>
  <c r="J1670" i="2"/>
  <c r="K1670" i="2" s="1"/>
  <c r="J1669" i="2"/>
  <c r="K1669" i="2" s="1"/>
  <c r="J1668" i="2"/>
  <c r="K1668" i="2" s="1"/>
  <c r="J1667" i="2"/>
  <c r="K1667" i="2" s="1"/>
  <c r="J1666" i="2"/>
  <c r="K1666" i="2" s="1"/>
  <c r="J1665" i="2"/>
  <c r="K1665" i="2" s="1"/>
  <c r="J1664" i="2"/>
  <c r="K1664" i="2" s="1"/>
  <c r="J1663" i="2"/>
  <c r="K1663" i="2" s="1"/>
  <c r="J1662" i="2"/>
  <c r="K1662" i="2" s="1"/>
  <c r="J1661" i="2"/>
  <c r="K1661" i="2" s="1"/>
  <c r="J1660" i="2"/>
  <c r="K1660" i="2" s="1"/>
  <c r="J1659" i="2"/>
  <c r="K1659" i="2" s="1"/>
  <c r="J1658" i="2"/>
  <c r="K1658" i="2" s="1"/>
  <c r="J1657" i="2"/>
  <c r="K1657" i="2" s="1"/>
  <c r="J1656" i="2"/>
  <c r="K1656" i="2" s="1"/>
  <c r="J1655" i="2"/>
  <c r="K1655" i="2" s="1"/>
  <c r="J1654" i="2"/>
  <c r="K1654" i="2" s="1"/>
  <c r="J1653" i="2"/>
  <c r="K1653" i="2" s="1"/>
  <c r="J1652" i="2"/>
  <c r="K1652" i="2" s="1"/>
  <c r="J1651" i="2"/>
  <c r="K1651" i="2" s="1"/>
  <c r="J1650" i="2"/>
  <c r="K1650" i="2" s="1"/>
  <c r="J1649" i="2"/>
  <c r="K1649" i="2" s="1"/>
  <c r="J1648" i="2"/>
  <c r="K1648" i="2" s="1"/>
  <c r="J1647" i="2"/>
  <c r="K1647" i="2" s="1"/>
  <c r="J1646" i="2"/>
  <c r="K1646" i="2" s="1"/>
  <c r="J1645" i="2"/>
  <c r="K1645" i="2" s="1"/>
  <c r="J1644" i="2"/>
  <c r="K1644" i="2" s="1"/>
  <c r="J1643" i="2"/>
  <c r="K1643" i="2" s="1"/>
  <c r="J1642" i="2"/>
  <c r="K1642" i="2" s="1"/>
  <c r="J1641" i="2"/>
  <c r="K1641" i="2" s="1"/>
  <c r="J1640" i="2"/>
  <c r="K1640" i="2" s="1"/>
  <c r="J1639" i="2"/>
  <c r="K1639" i="2" s="1"/>
  <c r="J1638" i="2"/>
  <c r="K1638" i="2" s="1"/>
  <c r="J1637" i="2"/>
  <c r="K1637" i="2" s="1"/>
  <c r="J1636" i="2"/>
  <c r="K1636" i="2" s="1"/>
  <c r="J1635" i="2"/>
  <c r="K1635" i="2" s="1"/>
  <c r="J1634" i="2"/>
  <c r="K1634" i="2" s="1"/>
  <c r="J1633" i="2"/>
  <c r="K1633" i="2" s="1"/>
  <c r="J1632" i="2"/>
  <c r="K1632" i="2" s="1"/>
  <c r="J1631" i="2"/>
  <c r="K1631" i="2" s="1"/>
  <c r="J1630" i="2"/>
  <c r="K1630" i="2" s="1"/>
  <c r="J1629" i="2"/>
  <c r="K1629" i="2" s="1"/>
  <c r="J1628" i="2"/>
  <c r="K1628" i="2" s="1"/>
  <c r="J1627" i="2"/>
  <c r="K1627" i="2" s="1"/>
  <c r="J1626" i="2"/>
  <c r="K1626" i="2" s="1"/>
  <c r="J1625" i="2"/>
  <c r="K1625" i="2" s="1"/>
  <c r="J1624" i="2"/>
  <c r="K1624" i="2" s="1"/>
  <c r="J1623" i="2"/>
  <c r="K1623" i="2" s="1"/>
  <c r="J1622" i="2"/>
  <c r="K1622" i="2" s="1"/>
  <c r="J1621" i="2"/>
  <c r="K1621" i="2" s="1"/>
  <c r="J1620" i="2"/>
  <c r="K1620" i="2" s="1"/>
  <c r="J1619" i="2"/>
  <c r="K1619" i="2" s="1"/>
  <c r="J1618" i="2"/>
  <c r="K1618" i="2" s="1"/>
  <c r="J1617" i="2"/>
  <c r="K1617" i="2" s="1"/>
  <c r="J1616" i="2"/>
  <c r="K1616" i="2" s="1"/>
  <c r="J1615" i="2"/>
  <c r="K1615" i="2" s="1"/>
  <c r="J1614" i="2"/>
  <c r="K1614" i="2" s="1"/>
  <c r="J1613" i="2"/>
  <c r="K1613" i="2" s="1"/>
  <c r="J1612" i="2"/>
  <c r="K1612" i="2" s="1"/>
  <c r="J1611" i="2"/>
  <c r="K1611" i="2" s="1"/>
  <c r="J1610" i="2"/>
  <c r="K1610" i="2" s="1"/>
  <c r="J1609" i="2"/>
  <c r="K1609" i="2" s="1"/>
  <c r="J1608" i="2"/>
  <c r="K1608" i="2" s="1"/>
  <c r="J1607" i="2"/>
  <c r="K1607" i="2" s="1"/>
  <c r="J1606" i="2"/>
  <c r="K1606" i="2" s="1"/>
  <c r="J1605" i="2"/>
  <c r="K1605" i="2" s="1"/>
  <c r="J1604" i="2"/>
  <c r="K1604" i="2" s="1"/>
  <c r="J1603" i="2"/>
  <c r="K1603" i="2" s="1"/>
  <c r="J1602" i="2"/>
  <c r="K1602" i="2" s="1"/>
  <c r="J1601" i="2"/>
  <c r="K1601" i="2" s="1"/>
  <c r="J1600" i="2"/>
  <c r="K1600" i="2" s="1"/>
  <c r="J1599" i="2"/>
  <c r="K1599" i="2" s="1"/>
  <c r="J1598" i="2"/>
  <c r="K1598" i="2" s="1"/>
  <c r="J1597" i="2"/>
  <c r="K1597" i="2" s="1"/>
  <c r="J1596" i="2"/>
  <c r="K1596" i="2" s="1"/>
  <c r="J1595" i="2"/>
  <c r="K1595" i="2" s="1"/>
  <c r="J1594" i="2"/>
  <c r="K1594" i="2" s="1"/>
  <c r="J1593" i="2"/>
  <c r="K1593" i="2" s="1"/>
  <c r="J1592" i="2"/>
  <c r="K1592" i="2" s="1"/>
  <c r="J1591" i="2"/>
  <c r="K1591" i="2" s="1"/>
  <c r="J1590" i="2"/>
  <c r="K1590" i="2" s="1"/>
  <c r="J1589" i="2"/>
  <c r="K1589" i="2" s="1"/>
  <c r="J1588" i="2"/>
  <c r="K1588" i="2" s="1"/>
  <c r="J1587" i="2"/>
  <c r="K1587" i="2" s="1"/>
  <c r="J1586" i="2"/>
  <c r="K1586" i="2" s="1"/>
  <c r="J1585" i="2"/>
  <c r="K1585" i="2" s="1"/>
  <c r="J1584" i="2"/>
  <c r="K1584" i="2" s="1"/>
  <c r="J1583" i="2"/>
  <c r="K1583" i="2" s="1"/>
  <c r="J1582" i="2"/>
  <c r="K1582" i="2" s="1"/>
  <c r="J1581" i="2"/>
  <c r="K1581" i="2" s="1"/>
  <c r="J1580" i="2"/>
  <c r="K1580" i="2" s="1"/>
  <c r="J1579" i="2"/>
  <c r="K1579" i="2" s="1"/>
  <c r="J1578" i="2"/>
  <c r="K1578" i="2" s="1"/>
  <c r="J1577" i="2"/>
  <c r="K1577" i="2" s="1"/>
  <c r="J1576" i="2"/>
  <c r="K1576" i="2" s="1"/>
  <c r="J1575" i="2"/>
  <c r="K1575" i="2" s="1"/>
  <c r="J1574" i="2"/>
  <c r="K1574" i="2" s="1"/>
  <c r="J1573" i="2"/>
  <c r="K1573" i="2" s="1"/>
  <c r="J1572" i="2"/>
  <c r="K1572" i="2" s="1"/>
  <c r="J1571" i="2"/>
  <c r="K1571" i="2" s="1"/>
  <c r="J1570" i="2"/>
  <c r="K1570" i="2" s="1"/>
  <c r="J1569" i="2"/>
  <c r="K1569" i="2" s="1"/>
  <c r="J1568" i="2"/>
  <c r="K1568" i="2" s="1"/>
  <c r="J1567" i="2"/>
  <c r="K1567" i="2" s="1"/>
  <c r="J1566" i="2"/>
  <c r="K1566" i="2" s="1"/>
  <c r="J1565" i="2"/>
  <c r="K1565" i="2" s="1"/>
  <c r="J1564" i="2"/>
  <c r="K1564" i="2" s="1"/>
  <c r="J1563" i="2"/>
  <c r="K1563" i="2" s="1"/>
  <c r="J1562" i="2"/>
  <c r="K1562" i="2" s="1"/>
  <c r="J1561" i="2"/>
  <c r="K1561" i="2" s="1"/>
  <c r="J1560" i="2"/>
  <c r="K1560" i="2" s="1"/>
  <c r="J1559" i="2"/>
  <c r="K1559" i="2" s="1"/>
  <c r="J1558" i="2"/>
  <c r="K1558" i="2" s="1"/>
  <c r="J1557" i="2"/>
  <c r="K1557" i="2" s="1"/>
  <c r="J1556" i="2"/>
  <c r="K1556" i="2" s="1"/>
  <c r="J1555" i="2"/>
  <c r="K1555" i="2" s="1"/>
  <c r="J1554" i="2"/>
  <c r="K1554" i="2" s="1"/>
  <c r="J1553" i="2"/>
  <c r="K1553" i="2" s="1"/>
  <c r="J1552" i="2"/>
  <c r="K1552" i="2" s="1"/>
  <c r="J1551" i="2"/>
  <c r="K1551" i="2" s="1"/>
  <c r="J1550" i="2"/>
  <c r="K1550" i="2" s="1"/>
  <c r="J1549" i="2"/>
  <c r="K1549" i="2" s="1"/>
  <c r="J1548" i="2"/>
  <c r="K1548" i="2" s="1"/>
  <c r="J1547" i="2"/>
  <c r="K1547" i="2" s="1"/>
  <c r="J1546" i="2"/>
  <c r="K1546" i="2" s="1"/>
  <c r="J1545" i="2"/>
  <c r="K1545" i="2" s="1"/>
  <c r="J1544" i="2"/>
  <c r="K1544" i="2" s="1"/>
  <c r="J1543" i="2"/>
  <c r="K1543" i="2" s="1"/>
  <c r="J1542" i="2"/>
  <c r="K1542" i="2" s="1"/>
  <c r="J1541" i="2"/>
  <c r="K1541" i="2" s="1"/>
  <c r="J1540" i="2"/>
  <c r="K1540" i="2" s="1"/>
  <c r="J1539" i="2"/>
  <c r="K1539" i="2" s="1"/>
  <c r="J1538" i="2"/>
  <c r="K1538" i="2" s="1"/>
  <c r="J1537" i="2"/>
  <c r="K1537" i="2" s="1"/>
  <c r="J1536" i="2"/>
  <c r="K1536" i="2" s="1"/>
  <c r="J1535" i="2"/>
  <c r="K1535" i="2" s="1"/>
  <c r="J1534" i="2"/>
  <c r="K1534" i="2" s="1"/>
  <c r="J1533" i="2"/>
  <c r="K1533" i="2" s="1"/>
  <c r="J1532" i="2"/>
  <c r="K1532" i="2" s="1"/>
  <c r="J1531" i="2"/>
  <c r="K1531" i="2" s="1"/>
  <c r="J1530" i="2"/>
  <c r="K1530" i="2" s="1"/>
  <c r="J1529" i="2"/>
  <c r="K1529" i="2" s="1"/>
  <c r="J1528" i="2"/>
  <c r="K1528" i="2" s="1"/>
  <c r="J1527" i="2"/>
  <c r="K1527" i="2" s="1"/>
  <c r="J1526" i="2"/>
  <c r="K1526" i="2" s="1"/>
  <c r="J1525" i="2"/>
  <c r="K1525" i="2" s="1"/>
  <c r="J1524" i="2"/>
  <c r="K1524" i="2" s="1"/>
  <c r="J1523" i="2"/>
  <c r="K1523" i="2" s="1"/>
  <c r="J1522" i="2"/>
  <c r="K1522" i="2" s="1"/>
  <c r="J1521" i="2"/>
  <c r="K1521" i="2" s="1"/>
  <c r="J1520" i="2"/>
  <c r="K1520" i="2" s="1"/>
  <c r="J1519" i="2"/>
  <c r="K1519" i="2" s="1"/>
  <c r="J1518" i="2"/>
  <c r="K1518" i="2" s="1"/>
  <c r="J1517" i="2"/>
  <c r="K1517" i="2" s="1"/>
  <c r="J1516" i="2"/>
  <c r="K1516" i="2" s="1"/>
  <c r="J1515" i="2"/>
  <c r="K1515" i="2" s="1"/>
  <c r="J1514" i="2"/>
  <c r="K1514" i="2" s="1"/>
  <c r="J1513" i="2"/>
  <c r="K1513" i="2" s="1"/>
  <c r="J1512" i="2"/>
  <c r="K1512" i="2" s="1"/>
  <c r="J1511" i="2"/>
  <c r="K1511" i="2" s="1"/>
  <c r="J1510" i="2"/>
  <c r="K1510" i="2" s="1"/>
  <c r="J1509" i="2"/>
  <c r="K1509" i="2" s="1"/>
  <c r="J1508" i="2"/>
  <c r="K1508" i="2" s="1"/>
  <c r="J1507" i="2"/>
  <c r="K1507" i="2" s="1"/>
  <c r="J1506" i="2"/>
  <c r="K1506" i="2" s="1"/>
  <c r="J1505" i="2"/>
  <c r="K1505" i="2" s="1"/>
  <c r="J1504" i="2"/>
  <c r="K1504" i="2" s="1"/>
  <c r="J1503" i="2"/>
  <c r="K1503" i="2" s="1"/>
  <c r="J1502" i="2"/>
  <c r="K1502" i="2" s="1"/>
  <c r="J1501" i="2"/>
  <c r="K1501" i="2" s="1"/>
  <c r="J1500" i="2"/>
  <c r="K1500" i="2" s="1"/>
  <c r="J1499" i="2"/>
  <c r="K1499" i="2" s="1"/>
  <c r="J1498" i="2"/>
  <c r="K1498" i="2" s="1"/>
  <c r="J1497" i="2"/>
  <c r="K1497" i="2" s="1"/>
  <c r="J1496" i="2"/>
  <c r="K1496" i="2" s="1"/>
  <c r="J1495" i="2"/>
  <c r="K1495" i="2" s="1"/>
  <c r="J1494" i="2"/>
  <c r="K1494" i="2" s="1"/>
  <c r="J1493" i="2"/>
  <c r="K1493" i="2" s="1"/>
  <c r="J1492" i="2"/>
  <c r="K1492" i="2" s="1"/>
  <c r="J1491" i="2"/>
  <c r="K1491" i="2" s="1"/>
  <c r="J1490" i="2"/>
  <c r="K1490" i="2" s="1"/>
  <c r="J1489" i="2"/>
  <c r="K1489" i="2" s="1"/>
  <c r="J1488" i="2"/>
  <c r="K1488" i="2" s="1"/>
  <c r="J1487" i="2"/>
  <c r="K1487" i="2" s="1"/>
  <c r="J1486" i="2"/>
  <c r="K1486" i="2" s="1"/>
  <c r="J1485" i="2"/>
  <c r="K1485" i="2" s="1"/>
  <c r="J1484" i="2"/>
  <c r="K1484" i="2" s="1"/>
  <c r="J1483" i="2"/>
  <c r="K1483" i="2" s="1"/>
  <c r="J1482" i="2"/>
  <c r="K1482" i="2" s="1"/>
  <c r="J1481" i="2"/>
  <c r="K1481" i="2" s="1"/>
  <c r="J1480" i="2"/>
  <c r="K1480" i="2" s="1"/>
  <c r="J1479" i="2"/>
  <c r="K1479" i="2" s="1"/>
  <c r="J1478" i="2"/>
  <c r="K1478" i="2" s="1"/>
  <c r="J1477" i="2"/>
  <c r="K1477" i="2" s="1"/>
  <c r="J1476" i="2"/>
  <c r="K1476" i="2" s="1"/>
  <c r="J1475" i="2"/>
  <c r="K1475" i="2" s="1"/>
  <c r="J1474" i="2"/>
  <c r="K1474" i="2" s="1"/>
  <c r="J1473" i="2"/>
  <c r="K1473" i="2" s="1"/>
  <c r="J1472" i="2"/>
  <c r="K1472" i="2" s="1"/>
  <c r="J1471" i="2"/>
  <c r="K1471" i="2" s="1"/>
  <c r="J1470" i="2"/>
  <c r="K1470" i="2" s="1"/>
  <c r="J1469" i="2"/>
  <c r="K1469" i="2" s="1"/>
  <c r="J1468" i="2"/>
  <c r="K1468" i="2" s="1"/>
  <c r="J1467" i="2"/>
  <c r="K1467" i="2" s="1"/>
  <c r="J1466" i="2"/>
  <c r="K1466" i="2" s="1"/>
  <c r="J1465" i="2"/>
  <c r="K1465" i="2" s="1"/>
  <c r="J1464" i="2"/>
  <c r="K1464" i="2" s="1"/>
  <c r="J1463" i="2"/>
  <c r="K1463" i="2" s="1"/>
  <c r="J1462" i="2"/>
  <c r="K1462" i="2" s="1"/>
  <c r="J1461" i="2"/>
  <c r="K1461" i="2" s="1"/>
  <c r="J1460" i="2"/>
  <c r="K1460" i="2" s="1"/>
  <c r="J1459" i="2"/>
  <c r="K1459" i="2" s="1"/>
  <c r="J1458" i="2"/>
  <c r="K1458" i="2" s="1"/>
  <c r="J1457" i="2"/>
  <c r="K1457" i="2" s="1"/>
  <c r="J1456" i="2"/>
  <c r="K1456" i="2" s="1"/>
  <c r="J1455" i="2"/>
  <c r="K1455" i="2" s="1"/>
  <c r="J1454" i="2"/>
  <c r="K1454" i="2" s="1"/>
  <c r="J1453" i="2"/>
  <c r="K1453" i="2" s="1"/>
  <c r="J1452" i="2"/>
  <c r="K1452" i="2" s="1"/>
  <c r="J1451" i="2"/>
  <c r="K1451" i="2" s="1"/>
  <c r="J1450" i="2"/>
  <c r="K1450" i="2" s="1"/>
  <c r="J1449" i="2"/>
  <c r="K1449" i="2" s="1"/>
  <c r="J1448" i="2"/>
  <c r="K1448" i="2" s="1"/>
  <c r="J1447" i="2"/>
  <c r="K1447" i="2" s="1"/>
  <c r="J1446" i="2"/>
  <c r="K1446" i="2" s="1"/>
  <c r="J1445" i="2"/>
  <c r="K1445" i="2" s="1"/>
  <c r="J1444" i="2"/>
  <c r="K1444" i="2" s="1"/>
  <c r="J1443" i="2"/>
  <c r="K1443" i="2" s="1"/>
  <c r="J1442" i="2"/>
  <c r="K1442" i="2" s="1"/>
  <c r="J1441" i="2"/>
  <c r="K1441" i="2" s="1"/>
  <c r="J1440" i="2"/>
  <c r="K1440" i="2" s="1"/>
  <c r="J1439" i="2"/>
  <c r="K1439" i="2" s="1"/>
  <c r="J1438" i="2"/>
  <c r="K1438" i="2" s="1"/>
  <c r="J1437" i="2"/>
  <c r="K1437" i="2" s="1"/>
  <c r="J1436" i="2"/>
  <c r="K1436" i="2" s="1"/>
  <c r="J1435" i="2"/>
  <c r="K1435" i="2" s="1"/>
  <c r="J1434" i="2"/>
  <c r="K1434" i="2" s="1"/>
  <c r="J1433" i="2"/>
  <c r="K1433" i="2" s="1"/>
  <c r="J1432" i="2"/>
  <c r="K1432" i="2" s="1"/>
  <c r="J1431" i="2"/>
  <c r="K1431" i="2" s="1"/>
  <c r="J1430" i="2"/>
  <c r="K1430" i="2" s="1"/>
  <c r="J1429" i="2"/>
  <c r="K1429" i="2" s="1"/>
  <c r="J1428" i="2"/>
  <c r="K1428" i="2" s="1"/>
  <c r="J1427" i="2"/>
  <c r="K1427" i="2" s="1"/>
  <c r="J1426" i="2"/>
  <c r="K1426" i="2" s="1"/>
  <c r="J1425" i="2"/>
  <c r="K1425" i="2" s="1"/>
  <c r="J1424" i="2"/>
  <c r="K1424" i="2" s="1"/>
  <c r="J1423" i="2"/>
  <c r="K1423" i="2" s="1"/>
  <c r="J1422" i="2"/>
  <c r="K1422" i="2" s="1"/>
  <c r="J1421" i="2"/>
  <c r="K1421" i="2" s="1"/>
  <c r="J1420" i="2"/>
  <c r="K1420" i="2" s="1"/>
  <c r="J1419" i="2"/>
  <c r="K1419" i="2" s="1"/>
  <c r="J1418" i="2"/>
  <c r="K1418" i="2" s="1"/>
  <c r="J1417" i="2"/>
  <c r="K1417" i="2" s="1"/>
  <c r="J1416" i="2"/>
  <c r="K1416" i="2" s="1"/>
  <c r="J1415" i="2"/>
  <c r="K1415" i="2" s="1"/>
  <c r="J1414" i="2"/>
  <c r="K1414" i="2" s="1"/>
  <c r="J1413" i="2"/>
  <c r="K1413" i="2" s="1"/>
  <c r="J1412" i="2"/>
  <c r="K1412" i="2" s="1"/>
  <c r="J1411" i="2"/>
  <c r="K1411" i="2" s="1"/>
  <c r="J1410" i="2"/>
  <c r="K1410" i="2" s="1"/>
  <c r="J1409" i="2"/>
  <c r="K1409" i="2" s="1"/>
  <c r="J1408" i="2"/>
  <c r="K1408" i="2" s="1"/>
  <c r="J1407" i="2"/>
  <c r="K1407" i="2" s="1"/>
  <c r="J1406" i="2"/>
  <c r="K1406" i="2" s="1"/>
  <c r="J1405" i="2"/>
  <c r="K1405" i="2" s="1"/>
  <c r="J1404" i="2"/>
  <c r="K1404" i="2" s="1"/>
  <c r="J1403" i="2"/>
  <c r="K1403" i="2" s="1"/>
  <c r="J1402" i="2"/>
  <c r="K1402" i="2" s="1"/>
  <c r="J1401" i="2"/>
  <c r="K1401" i="2" s="1"/>
  <c r="J1400" i="2"/>
  <c r="K1400" i="2" s="1"/>
  <c r="J1399" i="2"/>
  <c r="K1399" i="2" s="1"/>
  <c r="J1398" i="2"/>
  <c r="K1398" i="2" s="1"/>
  <c r="J1397" i="2"/>
  <c r="K1397" i="2" s="1"/>
  <c r="J1396" i="2"/>
  <c r="K1396" i="2" s="1"/>
  <c r="J1395" i="2"/>
  <c r="K1395" i="2" s="1"/>
  <c r="J1394" i="2"/>
  <c r="K1394" i="2" s="1"/>
  <c r="J1393" i="2"/>
  <c r="K1393" i="2" s="1"/>
  <c r="J1392" i="2"/>
  <c r="K1392" i="2" s="1"/>
  <c r="J1391" i="2"/>
  <c r="K1391" i="2" s="1"/>
  <c r="J1390" i="2"/>
  <c r="K1390" i="2" s="1"/>
  <c r="J1389" i="2"/>
  <c r="K1389" i="2" s="1"/>
  <c r="J1388" i="2"/>
  <c r="K1388" i="2" s="1"/>
  <c r="J1387" i="2"/>
  <c r="K1387" i="2" s="1"/>
  <c r="J1386" i="2"/>
  <c r="K1386" i="2" s="1"/>
  <c r="J1385" i="2"/>
  <c r="K1385" i="2" s="1"/>
  <c r="J1384" i="2"/>
  <c r="K1384" i="2" s="1"/>
  <c r="J1383" i="2"/>
  <c r="K1383" i="2" s="1"/>
  <c r="J1382" i="2"/>
  <c r="K1382" i="2" s="1"/>
  <c r="J1381" i="2"/>
  <c r="K1381" i="2" s="1"/>
  <c r="J1380" i="2"/>
  <c r="K1380" i="2" s="1"/>
  <c r="J1379" i="2"/>
  <c r="K1379" i="2" s="1"/>
  <c r="J1378" i="2"/>
  <c r="K1378" i="2" s="1"/>
  <c r="J1377" i="2"/>
  <c r="K1377" i="2" s="1"/>
  <c r="J1376" i="2"/>
  <c r="K1376" i="2" s="1"/>
  <c r="J1375" i="2"/>
  <c r="K1375" i="2" s="1"/>
  <c r="J1374" i="2"/>
  <c r="K1374" i="2" s="1"/>
  <c r="J1373" i="2"/>
  <c r="K1373" i="2" s="1"/>
  <c r="J1372" i="2"/>
  <c r="K1372" i="2" s="1"/>
  <c r="J1371" i="2"/>
  <c r="K1371" i="2" s="1"/>
  <c r="J1370" i="2"/>
  <c r="K1370" i="2" s="1"/>
  <c r="J1369" i="2"/>
  <c r="K1369" i="2" s="1"/>
  <c r="J1368" i="2"/>
  <c r="K1368" i="2" s="1"/>
  <c r="J1367" i="2"/>
  <c r="K1367" i="2" s="1"/>
  <c r="J1366" i="2"/>
  <c r="K1366" i="2" s="1"/>
  <c r="J1365" i="2"/>
  <c r="K1365" i="2" s="1"/>
  <c r="J1364" i="2"/>
  <c r="K1364" i="2" s="1"/>
  <c r="J1363" i="2"/>
  <c r="K1363" i="2" s="1"/>
  <c r="J1362" i="2"/>
  <c r="K1362" i="2" s="1"/>
  <c r="J1361" i="2"/>
  <c r="K1361" i="2" s="1"/>
  <c r="J1360" i="2"/>
  <c r="K1360" i="2" s="1"/>
  <c r="J1359" i="2"/>
  <c r="K1359" i="2" s="1"/>
  <c r="J1358" i="2"/>
  <c r="K1358" i="2" s="1"/>
  <c r="J1357" i="2"/>
  <c r="K1357" i="2" s="1"/>
  <c r="J1356" i="2"/>
  <c r="K1356" i="2" s="1"/>
  <c r="J1355" i="2"/>
  <c r="K1355" i="2" s="1"/>
  <c r="J1354" i="2"/>
  <c r="K1354" i="2" s="1"/>
  <c r="J1353" i="2"/>
  <c r="K1353" i="2" s="1"/>
  <c r="J1352" i="2"/>
  <c r="K1352" i="2" s="1"/>
  <c r="J1351" i="2"/>
  <c r="K1351" i="2" s="1"/>
  <c r="J1350" i="2"/>
  <c r="K1350" i="2" s="1"/>
  <c r="J1349" i="2"/>
  <c r="K1349" i="2" s="1"/>
  <c r="J1348" i="2"/>
  <c r="K1348" i="2" s="1"/>
  <c r="J1347" i="2"/>
  <c r="K1347" i="2" s="1"/>
  <c r="J1346" i="2"/>
  <c r="K1346" i="2" s="1"/>
  <c r="J1345" i="2"/>
  <c r="K1345" i="2" s="1"/>
  <c r="J1344" i="2"/>
  <c r="K1344" i="2" s="1"/>
  <c r="J1343" i="2"/>
  <c r="K1343" i="2" s="1"/>
  <c r="J1342" i="2"/>
  <c r="K1342" i="2" s="1"/>
  <c r="J1341" i="2"/>
  <c r="K1341" i="2" s="1"/>
  <c r="J1340" i="2"/>
  <c r="K1340" i="2" s="1"/>
  <c r="J1339" i="2"/>
  <c r="K1339" i="2" s="1"/>
  <c r="J1338" i="2"/>
  <c r="K1338" i="2" s="1"/>
  <c r="J1337" i="2"/>
  <c r="K1337" i="2" s="1"/>
  <c r="J1336" i="2"/>
  <c r="K1336" i="2" s="1"/>
  <c r="J1335" i="2"/>
  <c r="K1335" i="2" s="1"/>
  <c r="J1334" i="2"/>
  <c r="K1334" i="2" s="1"/>
  <c r="J1333" i="2"/>
  <c r="K1333" i="2" s="1"/>
  <c r="J1332" i="2"/>
  <c r="K1332" i="2" s="1"/>
  <c r="J1331" i="2"/>
  <c r="K1331" i="2" s="1"/>
  <c r="J1330" i="2"/>
  <c r="K1330" i="2" s="1"/>
  <c r="J1329" i="2"/>
  <c r="K1329" i="2" s="1"/>
  <c r="J1328" i="2"/>
  <c r="K1328" i="2" s="1"/>
  <c r="J1327" i="2"/>
  <c r="K1327" i="2" s="1"/>
  <c r="J1326" i="2"/>
  <c r="K1326" i="2" s="1"/>
  <c r="J1325" i="2"/>
  <c r="K1325" i="2" s="1"/>
  <c r="J1324" i="2"/>
  <c r="K1324" i="2" s="1"/>
  <c r="J1323" i="2"/>
  <c r="K1323" i="2" s="1"/>
  <c r="J1322" i="2"/>
  <c r="K1322" i="2" s="1"/>
  <c r="J1321" i="2"/>
  <c r="K1321" i="2" s="1"/>
  <c r="J1320" i="2"/>
  <c r="K1320" i="2" s="1"/>
  <c r="J1319" i="2"/>
  <c r="K1319" i="2" s="1"/>
  <c r="J1318" i="2"/>
  <c r="K1318" i="2" s="1"/>
  <c r="J1317" i="2"/>
  <c r="K1317" i="2" s="1"/>
  <c r="J1316" i="2"/>
  <c r="K1316" i="2" s="1"/>
  <c r="J1315" i="2"/>
  <c r="K1315" i="2" s="1"/>
  <c r="J1314" i="2"/>
  <c r="K1314" i="2" s="1"/>
  <c r="J1313" i="2"/>
  <c r="K1313" i="2" s="1"/>
  <c r="J1312" i="2"/>
  <c r="K1312" i="2" s="1"/>
  <c r="J1311" i="2"/>
  <c r="K1311" i="2" s="1"/>
  <c r="J1310" i="2"/>
  <c r="K1310" i="2" s="1"/>
  <c r="J1309" i="2"/>
  <c r="K1309" i="2" s="1"/>
  <c r="J1308" i="2"/>
  <c r="K1308" i="2" s="1"/>
  <c r="J1307" i="2"/>
  <c r="K1307" i="2" s="1"/>
  <c r="J1306" i="2"/>
  <c r="K1306" i="2" s="1"/>
  <c r="J1305" i="2"/>
  <c r="K1305" i="2" s="1"/>
  <c r="J1304" i="2"/>
  <c r="K1304" i="2" s="1"/>
  <c r="J1303" i="2"/>
  <c r="K1303" i="2" s="1"/>
  <c r="J1302" i="2"/>
  <c r="K1302" i="2" s="1"/>
  <c r="J1301" i="2"/>
  <c r="K1301" i="2" s="1"/>
  <c r="J1300" i="2"/>
  <c r="K1300" i="2" s="1"/>
  <c r="J1299" i="2"/>
  <c r="K1299" i="2" s="1"/>
  <c r="J1298" i="2"/>
  <c r="K1298" i="2" s="1"/>
  <c r="J1297" i="2"/>
  <c r="K1297" i="2" s="1"/>
  <c r="J1296" i="2"/>
  <c r="K1296" i="2" s="1"/>
  <c r="J1295" i="2"/>
  <c r="K1295" i="2" s="1"/>
  <c r="J1294" i="2"/>
  <c r="K1294" i="2" s="1"/>
  <c r="J1293" i="2"/>
  <c r="K1293" i="2" s="1"/>
  <c r="J1292" i="2"/>
  <c r="K1292" i="2" s="1"/>
  <c r="J1291" i="2"/>
  <c r="K1291" i="2" s="1"/>
  <c r="J1290" i="2"/>
  <c r="K1290" i="2" s="1"/>
  <c r="J1289" i="2"/>
  <c r="K1289" i="2" s="1"/>
  <c r="J1288" i="2"/>
  <c r="K1288" i="2" s="1"/>
  <c r="J1287" i="2"/>
  <c r="K1287" i="2" s="1"/>
  <c r="J1286" i="2"/>
  <c r="K1286" i="2" s="1"/>
  <c r="J1285" i="2"/>
  <c r="K1285" i="2" s="1"/>
  <c r="J1284" i="2"/>
  <c r="K1284" i="2" s="1"/>
  <c r="J1283" i="2"/>
  <c r="K1283" i="2" s="1"/>
  <c r="J1282" i="2"/>
  <c r="K1282" i="2" s="1"/>
  <c r="J1281" i="2"/>
  <c r="K1281" i="2" s="1"/>
  <c r="J1280" i="2"/>
  <c r="K1280" i="2" s="1"/>
  <c r="J1279" i="2"/>
  <c r="K1279" i="2" s="1"/>
  <c r="J1278" i="2"/>
  <c r="K1278" i="2" s="1"/>
  <c r="J1277" i="2"/>
  <c r="K1277" i="2" s="1"/>
  <c r="J1276" i="2"/>
  <c r="K1276" i="2" s="1"/>
  <c r="J1275" i="2"/>
  <c r="K1275" i="2" s="1"/>
  <c r="J1274" i="2"/>
  <c r="K1274" i="2" s="1"/>
  <c r="J1273" i="2"/>
  <c r="K1273" i="2" s="1"/>
  <c r="J1272" i="2"/>
  <c r="K1272" i="2" s="1"/>
  <c r="J1271" i="2"/>
  <c r="K1271" i="2" s="1"/>
  <c r="J1270" i="2"/>
  <c r="K1270" i="2" s="1"/>
  <c r="J1269" i="2"/>
  <c r="K1269" i="2" s="1"/>
  <c r="J1268" i="2"/>
  <c r="K1268" i="2" s="1"/>
  <c r="J1267" i="2"/>
  <c r="K1267" i="2" s="1"/>
  <c r="J1266" i="2"/>
  <c r="K1266" i="2" s="1"/>
  <c r="J1265" i="2"/>
  <c r="K1265" i="2" s="1"/>
  <c r="J1264" i="2"/>
  <c r="K1264" i="2" s="1"/>
  <c r="J1263" i="2"/>
  <c r="K1263" i="2" s="1"/>
  <c r="J1262" i="2"/>
  <c r="K1262" i="2" s="1"/>
  <c r="J1261" i="2"/>
  <c r="K1261" i="2" s="1"/>
  <c r="J1260" i="2"/>
  <c r="K1260" i="2" s="1"/>
  <c r="J1259" i="2"/>
  <c r="K1259" i="2" s="1"/>
  <c r="J1258" i="2"/>
  <c r="K1258" i="2" s="1"/>
  <c r="J1257" i="2"/>
  <c r="K1257" i="2" s="1"/>
  <c r="J1256" i="2"/>
  <c r="K1256" i="2" s="1"/>
  <c r="J1255" i="2"/>
  <c r="K1255" i="2" s="1"/>
  <c r="J1254" i="2"/>
  <c r="K1254" i="2" s="1"/>
  <c r="J1253" i="2"/>
  <c r="K1253" i="2" s="1"/>
  <c r="J1252" i="2"/>
  <c r="K1252" i="2" s="1"/>
  <c r="J1251" i="2"/>
  <c r="K1251" i="2" s="1"/>
  <c r="J1250" i="2"/>
  <c r="K1250" i="2" s="1"/>
  <c r="J1249" i="2"/>
  <c r="K1249" i="2" s="1"/>
  <c r="J1248" i="2"/>
  <c r="K1248" i="2" s="1"/>
  <c r="J1247" i="2"/>
  <c r="K1247" i="2" s="1"/>
  <c r="J1246" i="2"/>
  <c r="K1246" i="2" s="1"/>
  <c r="J1245" i="2"/>
  <c r="K1245" i="2" s="1"/>
  <c r="J1244" i="2"/>
  <c r="K1244" i="2" s="1"/>
  <c r="J1243" i="2"/>
  <c r="K1243" i="2" s="1"/>
  <c r="J1242" i="2"/>
  <c r="K1242" i="2" s="1"/>
  <c r="J1241" i="2"/>
  <c r="K1241" i="2" s="1"/>
  <c r="J1240" i="2"/>
  <c r="K1240" i="2" s="1"/>
  <c r="J1239" i="2"/>
  <c r="K1239" i="2" s="1"/>
  <c r="J1238" i="2"/>
  <c r="K1238" i="2" s="1"/>
  <c r="J1237" i="2"/>
  <c r="K1237" i="2" s="1"/>
  <c r="J1236" i="2"/>
  <c r="K1236" i="2" s="1"/>
  <c r="J1235" i="2"/>
  <c r="K1235" i="2" s="1"/>
  <c r="J1234" i="2"/>
  <c r="K1234" i="2" s="1"/>
  <c r="J1233" i="2"/>
  <c r="K1233" i="2" s="1"/>
  <c r="J1232" i="2"/>
  <c r="K1232" i="2" s="1"/>
  <c r="J1231" i="2"/>
  <c r="K1231" i="2" s="1"/>
  <c r="J1230" i="2"/>
  <c r="K1230" i="2" s="1"/>
  <c r="J1229" i="2"/>
  <c r="K1229" i="2" s="1"/>
  <c r="J1228" i="2"/>
  <c r="K1228" i="2" s="1"/>
  <c r="J1227" i="2"/>
  <c r="K1227" i="2" s="1"/>
  <c r="J1226" i="2"/>
  <c r="K1226" i="2" s="1"/>
  <c r="J1225" i="2"/>
  <c r="K1225" i="2" s="1"/>
  <c r="J1224" i="2"/>
  <c r="K1224" i="2" s="1"/>
  <c r="J1223" i="2"/>
  <c r="K1223" i="2" s="1"/>
  <c r="J1222" i="2"/>
  <c r="K1222" i="2" s="1"/>
  <c r="J1221" i="2"/>
  <c r="K1221" i="2" s="1"/>
  <c r="J1220" i="2"/>
  <c r="K1220" i="2" s="1"/>
  <c r="J1219" i="2"/>
  <c r="K1219" i="2" s="1"/>
  <c r="J1218" i="2"/>
  <c r="K1218" i="2" s="1"/>
  <c r="J1217" i="2"/>
  <c r="K1217" i="2" s="1"/>
  <c r="J1216" i="2"/>
  <c r="K1216" i="2" s="1"/>
  <c r="J1215" i="2"/>
  <c r="K1215" i="2" s="1"/>
  <c r="J1214" i="2"/>
  <c r="K1214" i="2" s="1"/>
  <c r="J1213" i="2"/>
  <c r="K1213" i="2" s="1"/>
  <c r="J1212" i="2"/>
  <c r="K1212" i="2" s="1"/>
  <c r="J1211" i="2"/>
  <c r="K1211" i="2" s="1"/>
  <c r="J1210" i="2"/>
  <c r="K1210" i="2" s="1"/>
  <c r="J1209" i="2"/>
  <c r="K1209" i="2" s="1"/>
  <c r="J1208" i="2"/>
  <c r="K1208" i="2" s="1"/>
  <c r="J1207" i="2"/>
  <c r="K1207" i="2" s="1"/>
  <c r="J1206" i="2"/>
  <c r="K1206" i="2" s="1"/>
  <c r="J1205" i="2"/>
  <c r="K1205" i="2" s="1"/>
  <c r="J1204" i="2"/>
  <c r="K1204" i="2" s="1"/>
  <c r="J1203" i="2"/>
  <c r="K1203" i="2" s="1"/>
  <c r="J1202" i="2"/>
  <c r="K1202" i="2" s="1"/>
  <c r="J1201" i="2"/>
  <c r="K1201" i="2" s="1"/>
  <c r="J1200" i="2"/>
  <c r="K1200" i="2" s="1"/>
  <c r="J1199" i="2"/>
  <c r="K1199" i="2" s="1"/>
  <c r="J1198" i="2"/>
  <c r="K1198" i="2" s="1"/>
  <c r="J1197" i="2"/>
  <c r="K1197" i="2" s="1"/>
  <c r="J1196" i="2"/>
  <c r="K1196" i="2" s="1"/>
  <c r="J1195" i="2"/>
  <c r="K1195" i="2" s="1"/>
  <c r="J1194" i="2"/>
  <c r="K1194" i="2" s="1"/>
  <c r="J1193" i="2"/>
  <c r="K1193" i="2" s="1"/>
  <c r="J1192" i="2"/>
  <c r="K1192" i="2" s="1"/>
  <c r="J1191" i="2"/>
  <c r="K1191" i="2" s="1"/>
  <c r="J1190" i="2"/>
  <c r="K1190" i="2" s="1"/>
  <c r="J1189" i="2"/>
  <c r="K1189" i="2" s="1"/>
  <c r="J1188" i="2"/>
  <c r="K1188" i="2" s="1"/>
  <c r="J1187" i="2"/>
  <c r="K1187" i="2" s="1"/>
  <c r="J1186" i="2"/>
  <c r="K1186" i="2" s="1"/>
  <c r="J1185" i="2"/>
  <c r="K1185" i="2" s="1"/>
  <c r="J1184" i="2"/>
  <c r="K1184" i="2" s="1"/>
  <c r="J1183" i="2"/>
  <c r="K1183" i="2" s="1"/>
  <c r="J1182" i="2"/>
  <c r="K1182" i="2" s="1"/>
  <c r="J1181" i="2"/>
  <c r="K1181" i="2" s="1"/>
  <c r="J1180" i="2"/>
  <c r="K1180" i="2" s="1"/>
  <c r="J1179" i="2"/>
  <c r="K1179" i="2" s="1"/>
  <c r="J1178" i="2"/>
  <c r="K1178" i="2" s="1"/>
  <c r="J1177" i="2"/>
  <c r="K1177" i="2" s="1"/>
  <c r="J1176" i="2"/>
  <c r="K1176" i="2" s="1"/>
  <c r="J1175" i="2"/>
  <c r="K1175" i="2" s="1"/>
  <c r="J1174" i="2"/>
  <c r="K1174" i="2" s="1"/>
  <c r="J1173" i="2"/>
  <c r="K1173" i="2" s="1"/>
  <c r="J1172" i="2"/>
  <c r="K1172" i="2" s="1"/>
  <c r="J1171" i="2"/>
  <c r="K1171" i="2" s="1"/>
  <c r="J1170" i="2"/>
  <c r="K1170" i="2" s="1"/>
  <c r="J1169" i="2"/>
  <c r="K1169" i="2" s="1"/>
  <c r="J1168" i="2"/>
  <c r="K1168" i="2" s="1"/>
  <c r="J1167" i="2"/>
  <c r="K1167" i="2" s="1"/>
  <c r="J1166" i="2"/>
  <c r="K1166" i="2" s="1"/>
  <c r="J1165" i="2"/>
  <c r="K1165" i="2" s="1"/>
  <c r="J1164" i="2"/>
  <c r="K1164" i="2" s="1"/>
  <c r="J1163" i="2"/>
  <c r="K1163" i="2" s="1"/>
  <c r="J1162" i="2"/>
  <c r="K1162" i="2" s="1"/>
  <c r="J1161" i="2"/>
  <c r="K1161" i="2" s="1"/>
  <c r="J1160" i="2"/>
  <c r="K1160" i="2" s="1"/>
  <c r="J1159" i="2"/>
  <c r="K1159" i="2" s="1"/>
  <c r="J1158" i="2"/>
  <c r="K1158" i="2" s="1"/>
  <c r="J1157" i="2"/>
  <c r="K1157" i="2" s="1"/>
  <c r="J1156" i="2"/>
  <c r="K1156" i="2" s="1"/>
  <c r="J1155" i="2"/>
  <c r="K1155" i="2" s="1"/>
  <c r="J1154" i="2"/>
  <c r="K1154" i="2" s="1"/>
  <c r="J1153" i="2"/>
  <c r="K1153" i="2" s="1"/>
  <c r="J1152" i="2"/>
  <c r="K1152" i="2" s="1"/>
  <c r="J1151" i="2"/>
  <c r="K1151" i="2" s="1"/>
  <c r="J1150" i="2"/>
  <c r="K1150" i="2" s="1"/>
  <c r="J1149" i="2"/>
  <c r="K1149" i="2" s="1"/>
  <c r="J1148" i="2"/>
  <c r="K1148" i="2" s="1"/>
  <c r="J1147" i="2"/>
  <c r="K1147" i="2" s="1"/>
  <c r="J1146" i="2"/>
  <c r="K1146" i="2" s="1"/>
  <c r="J1145" i="2"/>
  <c r="K1145" i="2" s="1"/>
  <c r="J1144" i="2"/>
  <c r="K1144" i="2" s="1"/>
  <c r="J1143" i="2"/>
  <c r="K1143" i="2" s="1"/>
  <c r="J1142" i="2"/>
  <c r="K1142" i="2" s="1"/>
  <c r="J1141" i="2"/>
  <c r="K1141" i="2" s="1"/>
  <c r="J1140" i="2"/>
  <c r="K1140" i="2" s="1"/>
  <c r="J1139" i="2"/>
  <c r="K1139" i="2" s="1"/>
  <c r="J1138" i="2"/>
  <c r="K1138" i="2" s="1"/>
  <c r="J1137" i="2"/>
  <c r="K1137" i="2" s="1"/>
  <c r="J1136" i="2"/>
  <c r="K1136" i="2" s="1"/>
  <c r="J1135" i="2"/>
  <c r="K1135" i="2" s="1"/>
  <c r="J1134" i="2"/>
  <c r="K1134" i="2" s="1"/>
  <c r="J1133" i="2"/>
  <c r="K1133" i="2" s="1"/>
  <c r="J1132" i="2"/>
  <c r="K1132" i="2" s="1"/>
  <c r="J1131" i="2"/>
  <c r="K1131" i="2" s="1"/>
  <c r="J1130" i="2"/>
  <c r="K1130" i="2" s="1"/>
  <c r="J1129" i="2"/>
  <c r="K1129" i="2" s="1"/>
  <c r="J1128" i="2"/>
  <c r="K1128" i="2" s="1"/>
  <c r="J1127" i="2"/>
  <c r="K1127" i="2" s="1"/>
  <c r="J1126" i="2"/>
  <c r="K1126" i="2" s="1"/>
  <c r="J1125" i="2"/>
  <c r="K1125" i="2" s="1"/>
  <c r="J1124" i="2"/>
  <c r="K1124" i="2" s="1"/>
  <c r="J1123" i="2"/>
  <c r="K1123" i="2" s="1"/>
  <c r="J1122" i="2"/>
  <c r="K1122" i="2" s="1"/>
  <c r="J1121" i="2"/>
  <c r="K1121" i="2" s="1"/>
  <c r="J1120" i="2"/>
  <c r="K1120" i="2" s="1"/>
  <c r="J1119" i="2"/>
  <c r="K1119" i="2" s="1"/>
  <c r="J1118" i="2"/>
  <c r="K1118" i="2" s="1"/>
  <c r="J1117" i="2"/>
  <c r="K1117" i="2" s="1"/>
  <c r="J1116" i="2"/>
  <c r="K1116" i="2" s="1"/>
  <c r="J1115" i="2"/>
  <c r="K1115" i="2" s="1"/>
  <c r="J1114" i="2"/>
  <c r="K1114" i="2" s="1"/>
  <c r="J1113" i="2"/>
  <c r="K1113" i="2" s="1"/>
  <c r="J1112" i="2"/>
  <c r="K1112" i="2" s="1"/>
  <c r="J1111" i="2"/>
  <c r="K1111" i="2" s="1"/>
  <c r="J1110" i="2"/>
  <c r="K1110" i="2" s="1"/>
  <c r="J1109" i="2"/>
  <c r="K1109" i="2" s="1"/>
  <c r="J1108" i="2"/>
  <c r="K1108" i="2" s="1"/>
  <c r="J1107" i="2"/>
  <c r="K1107" i="2" s="1"/>
  <c r="J1106" i="2"/>
  <c r="K1106" i="2" s="1"/>
  <c r="J1105" i="2"/>
  <c r="K1105" i="2" s="1"/>
  <c r="J1104" i="2"/>
  <c r="K1104" i="2" s="1"/>
  <c r="J1103" i="2"/>
  <c r="K1103" i="2" s="1"/>
  <c r="J1102" i="2"/>
  <c r="K1102" i="2" s="1"/>
  <c r="J1101" i="2"/>
  <c r="K1101" i="2" s="1"/>
  <c r="J1100" i="2"/>
  <c r="K1100" i="2" s="1"/>
  <c r="J1099" i="2"/>
  <c r="K1099" i="2" s="1"/>
  <c r="J1098" i="2"/>
  <c r="K1098" i="2" s="1"/>
  <c r="J1097" i="2"/>
  <c r="K1097" i="2" s="1"/>
  <c r="J1096" i="2"/>
  <c r="K1096" i="2" s="1"/>
  <c r="J1095" i="2"/>
  <c r="K1095" i="2" s="1"/>
  <c r="J1094" i="2"/>
  <c r="K1094" i="2" s="1"/>
  <c r="J1093" i="2"/>
  <c r="K1093" i="2" s="1"/>
  <c r="J1092" i="2"/>
  <c r="K1092" i="2" s="1"/>
  <c r="J1091" i="2"/>
  <c r="K1091" i="2" s="1"/>
  <c r="J1090" i="2"/>
  <c r="K1090" i="2" s="1"/>
  <c r="J1089" i="2"/>
  <c r="K1089" i="2" s="1"/>
  <c r="J1088" i="2"/>
  <c r="K1088" i="2" s="1"/>
  <c r="J1087" i="2"/>
  <c r="K1087" i="2" s="1"/>
  <c r="J1086" i="2"/>
  <c r="K1086" i="2" s="1"/>
  <c r="J1085" i="2"/>
  <c r="K1085" i="2" s="1"/>
  <c r="J1084" i="2"/>
  <c r="K1084" i="2" s="1"/>
  <c r="J1083" i="2"/>
  <c r="K1083" i="2" s="1"/>
  <c r="J1082" i="2"/>
  <c r="K1082" i="2" s="1"/>
  <c r="J1081" i="2"/>
  <c r="K1081" i="2" s="1"/>
  <c r="J1080" i="2"/>
  <c r="K1080" i="2" s="1"/>
  <c r="J1079" i="2"/>
  <c r="K1079" i="2" s="1"/>
  <c r="J1078" i="2"/>
  <c r="K1078" i="2" s="1"/>
  <c r="J1077" i="2"/>
  <c r="K1077" i="2" s="1"/>
  <c r="J1076" i="2"/>
  <c r="K1076" i="2" s="1"/>
  <c r="J1075" i="2"/>
  <c r="K1075" i="2" s="1"/>
  <c r="J1074" i="2"/>
  <c r="K1074" i="2" s="1"/>
  <c r="J1073" i="2"/>
  <c r="K1073" i="2" s="1"/>
  <c r="J1072" i="2"/>
  <c r="K1072" i="2" s="1"/>
  <c r="J1071" i="2"/>
  <c r="K1071" i="2" s="1"/>
  <c r="J1070" i="2"/>
  <c r="K1070" i="2" s="1"/>
  <c r="J1069" i="2"/>
  <c r="K1069" i="2" s="1"/>
  <c r="J1068" i="2"/>
  <c r="K1068" i="2" s="1"/>
  <c r="J1067" i="2"/>
  <c r="K1067" i="2" s="1"/>
  <c r="J1066" i="2"/>
  <c r="K1066" i="2" s="1"/>
  <c r="J1065" i="2"/>
  <c r="K1065" i="2" s="1"/>
  <c r="J1064" i="2"/>
  <c r="K1064" i="2" s="1"/>
  <c r="J1063" i="2"/>
  <c r="K1063" i="2" s="1"/>
  <c r="J1062" i="2"/>
  <c r="K1062" i="2" s="1"/>
  <c r="J1061" i="2"/>
  <c r="K1061" i="2" s="1"/>
  <c r="J1060" i="2"/>
  <c r="K1060" i="2" s="1"/>
  <c r="J1059" i="2"/>
  <c r="K1059" i="2" s="1"/>
  <c r="J1058" i="2"/>
  <c r="K1058" i="2" s="1"/>
  <c r="J1057" i="2"/>
  <c r="K1057" i="2" s="1"/>
  <c r="J1056" i="2"/>
  <c r="K1056" i="2" s="1"/>
  <c r="J1055" i="2"/>
  <c r="K1055" i="2" s="1"/>
  <c r="J1054" i="2"/>
  <c r="K1054" i="2" s="1"/>
  <c r="J1053" i="2"/>
  <c r="K1053" i="2" s="1"/>
  <c r="J1052" i="2"/>
  <c r="K1052" i="2" s="1"/>
  <c r="J1051" i="2"/>
  <c r="K1051" i="2" s="1"/>
  <c r="J1050" i="2"/>
  <c r="K1050" i="2" s="1"/>
  <c r="J1049" i="2"/>
  <c r="K1049" i="2" s="1"/>
  <c r="J1048" i="2"/>
  <c r="K1048" i="2" s="1"/>
  <c r="J1047" i="2"/>
  <c r="K1047" i="2" s="1"/>
  <c r="J1046" i="2"/>
  <c r="K1046" i="2" s="1"/>
  <c r="J1045" i="2"/>
  <c r="K1045" i="2" s="1"/>
  <c r="J1044" i="2"/>
  <c r="K1044" i="2" s="1"/>
  <c r="J1043" i="2"/>
  <c r="K1043" i="2" s="1"/>
  <c r="J1042" i="2"/>
  <c r="K1042" i="2" s="1"/>
  <c r="J1041" i="2"/>
  <c r="K1041" i="2" s="1"/>
  <c r="J1040" i="2"/>
  <c r="K1040" i="2" s="1"/>
  <c r="J1039" i="2"/>
  <c r="K1039" i="2" s="1"/>
  <c r="J1038" i="2"/>
  <c r="K1038" i="2" s="1"/>
  <c r="J1037" i="2"/>
  <c r="K1037" i="2" s="1"/>
  <c r="J1036" i="2"/>
  <c r="K1036" i="2" s="1"/>
  <c r="J1035" i="2"/>
  <c r="K1035" i="2" s="1"/>
  <c r="J1034" i="2"/>
  <c r="K1034" i="2" s="1"/>
  <c r="J1033" i="2"/>
  <c r="K1033" i="2" s="1"/>
  <c r="J1032" i="2"/>
  <c r="K1032" i="2" s="1"/>
  <c r="J1031" i="2"/>
  <c r="K1031" i="2" s="1"/>
  <c r="J1030" i="2"/>
  <c r="K1030" i="2" s="1"/>
  <c r="J1029" i="2"/>
  <c r="K1029" i="2" s="1"/>
  <c r="J1028" i="2"/>
  <c r="K1028" i="2" s="1"/>
  <c r="J1027" i="2"/>
  <c r="K1027" i="2" s="1"/>
  <c r="J1026" i="2"/>
  <c r="K1026" i="2" s="1"/>
  <c r="J1025" i="2"/>
  <c r="K1025" i="2" s="1"/>
  <c r="J1024" i="2"/>
  <c r="K1024" i="2" s="1"/>
  <c r="J1023" i="2"/>
  <c r="K1023" i="2" s="1"/>
  <c r="J1022" i="2"/>
  <c r="K1022" i="2" s="1"/>
  <c r="J1021" i="2"/>
  <c r="K1021" i="2" s="1"/>
  <c r="J1020" i="2"/>
  <c r="K1020" i="2" s="1"/>
  <c r="J1019" i="2"/>
  <c r="K1019" i="2" s="1"/>
  <c r="J1018" i="2"/>
  <c r="K1018" i="2" s="1"/>
  <c r="J1017" i="2"/>
  <c r="K1017" i="2" s="1"/>
  <c r="J1016" i="2"/>
  <c r="K1016" i="2" s="1"/>
  <c r="J1015" i="2"/>
  <c r="K1015" i="2" s="1"/>
  <c r="J1014" i="2"/>
  <c r="K1014" i="2" s="1"/>
  <c r="J1013" i="2"/>
  <c r="K1013" i="2" s="1"/>
  <c r="J1012" i="2"/>
  <c r="K1012" i="2" s="1"/>
  <c r="J1011" i="2"/>
  <c r="K1011" i="2" s="1"/>
  <c r="J1010" i="2"/>
  <c r="K1010" i="2" s="1"/>
  <c r="J1009" i="2"/>
  <c r="K1009" i="2" s="1"/>
  <c r="J1008" i="2"/>
  <c r="K1008" i="2" s="1"/>
  <c r="J1007" i="2"/>
  <c r="K1007" i="2" s="1"/>
  <c r="J1006" i="2"/>
  <c r="K1006" i="2" s="1"/>
  <c r="J1005" i="2"/>
  <c r="K1005" i="2" s="1"/>
  <c r="J1004" i="2"/>
  <c r="K1004" i="2" s="1"/>
  <c r="J1003" i="2"/>
  <c r="K1003" i="2" s="1"/>
  <c r="J1002" i="2"/>
  <c r="K1002" i="2" s="1"/>
  <c r="J1001" i="2"/>
  <c r="K1001" i="2" s="1"/>
  <c r="J1000" i="2"/>
  <c r="K1000" i="2" s="1"/>
  <c r="J999" i="2"/>
  <c r="K999" i="2" s="1"/>
  <c r="J998" i="2"/>
  <c r="K998" i="2" s="1"/>
  <c r="J997" i="2"/>
  <c r="K997" i="2" s="1"/>
  <c r="J996" i="2"/>
  <c r="K996" i="2" s="1"/>
  <c r="J995" i="2"/>
  <c r="K995" i="2" s="1"/>
  <c r="J994" i="2"/>
  <c r="K994" i="2" s="1"/>
  <c r="J993" i="2"/>
  <c r="K993" i="2" s="1"/>
  <c r="J992" i="2"/>
  <c r="K992" i="2" s="1"/>
  <c r="J991" i="2"/>
  <c r="K991" i="2" s="1"/>
  <c r="J990" i="2"/>
  <c r="K990" i="2" s="1"/>
  <c r="J989" i="2"/>
  <c r="K989" i="2" s="1"/>
  <c r="J988" i="2"/>
  <c r="K988" i="2" s="1"/>
  <c r="J987" i="2"/>
  <c r="K987" i="2" s="1"/>
  <c r="J986" i="2"/>
  <c r="K986" i="2" s="1"/>
  <c r="J985" i="2"/>
  <c r="K985" i="2" s="1"/>
  <c r="J984" i="2"/>
  <c r="K984" i="2" s="1"/>
  <c r="J983" i="2"/>
  <c r="K983" i="2" s="1"/>
  <c r="J982" i="2"/>
  <c r="K982" i="2" s="1"/>
  <c r="J981" i="2"/>
  <c r="K981" i="2" s="1"/>
  <c r="J980" i="2"/>
  <c r="K980" i="2" s="1"/>
  <c r="J979" i="2"/>
  <c r="K979" i="2" s="1"/>
  <c r="J978" i="2"/>
  <c r="K978" i="2" s="1"/>
  <c r="J977" i="2"/>
  <c r="K977" i="2" s="1"/>
  <c r="J976" i="2"/>
  <c r="K976" i="2" s="1"/>
  <c r="J975" i="2"/>
  <c r="K975" i="2" s="1"/>
  <c r="J974" i="2"/>
  <c r="K974" i="2" s="1"/>
  <c r="J973" i="2"/>
  <c r="K973" i="2" s="1"/>
  <c r="J972" i="2"/>
  <c r="K972" i="2" s="1"/>
  <c r="J971" i="2"/>
  <c r="K971" i="2" s="1"/>
  <c r="J970" i="2"/>
  <c r="K970" i="2" s="1"/>
  <c r="J969" i="2"/>
  <c r="K969" i="2" s="1"/>
  <c r="J968" i="2"/>
  <c r="K968" i="2" s="1"/>
  <c r="J967" i="2"/>
  <c r="K967" i="2" s="1"/>
  <c r="J966" i="2"/>
  <c r="K966" i="2" s="1"/>
  <c r="J965" i="2"/>
  <c r="K965" i="2" s="1"/>
  <c r="J964" i="2"/>
  <c r="K964" i="2" s="1"/>
  <c r="J963" i="2"/>
  <c r="K963" i="2" s="1"/>
  <c r="J962" i="2"/>
  <c r="K962" i="2" s="1"/>
  <c r="J961" i="2"/>
  <c r="K961" i="2" s="1"/>
  <c r="J960" i="2"/>
  <c r="K960" i="2" s="1"/>
  <c r="J959" i="2"/>
  <c r="K959" i="2" s="1"/>
  <c r="J958" i="2"/>
  <c r="K958" i="2" s="1"/>
  <c r="J957" i="2"/>
  <c r="K957" i="2" s="1"/>
  <c r="J956" i="2"/>
  <c r="K956" i="2" s="1"/>
  <c r="J955" i="2"/>
  <c r="K955" i="2" s="1"/>
  <c r="J954" i="2"/>
  <c r="K954" i="2" s="1"/>
  <c r="J953" i="2"/>
  <c r="K953" i="2" s="1"/>
  <c r="J952" i="2"/>
  <c r="K952" i="2" s="1"/>
  <c r="J951" i="2"/>
  <c r="K951" i="2" s="1"/>
  <c r="J950" i="2"/>
  <c r="K950" i="2" s="1"/>
  <c r="J949" i="2"/>
  <c r="K949" i="2" s="1"/>
  <c r="J948" i="2"/>
  <c r="K948" i="2" s="1"/>
  <c r="J947" i="2"/>
  <c r="K947" i="2" s="1"/>
  <c r="J946" i="2"/>
  <c r="K946" i="2" s="1"/>
  <c r="J945" i="2"/>
  <c r="K945" i="2" s="1"/>
  <c r="J944" i="2"/>
  <c r="K944" i="2" s="1"/>
  <c r="J943" i="2"/>
  <c r="K943" i="2" s="1"/>
  <c r="J942" i="2"/>
  <c r="K942" i="2" s="1"/>
  <c r="J941" i="2"/>
  <c r="K941" i="2" s="1"/>
  <c r="J940" i="2"/>
  <c r="K940" i="2" s="1"/>
  <c r="J939" i="2"/>
  <c r="K939" i="2" s="1"/>
  <c r="J938" i="2"/>
  <c r="K938" i="2" s="1"/>
  <c r="J937" i="2"/>
  <c r="K937" i="2" s="1"/>
  <c r="J936" i="2"/>
  <c r="K936" i="2" s="1"/>
  <c r="J935" i="2"/>
  <c r="K935" i="2" s="1"/>
  <c r="J934" i="2"/>
  <c r="K934" i="2" s="1"/>
  <c r="J933" i="2"/>
  <c r="K933" i="2" s="1"/>
  <c r="J932" i="2"/>
  <c r="K932" i="2" s="1"/>
  <c r="J931" i="2"/>
  <c r="K931" i="2" s="1"/>
  <c r="J930" i="2"/>
  <c r="K930" i="2" s="1"/>
  <c r="J929" i="2"/>
  <c r="K929" i="2" s="1"/>
  <c r="J928" i="2"/>
  <c r="K928" i="2" s="1"/>
  <c r="J927" i="2"/>
  <c r="K927" i="2" s="1"/>
  <c r="J926" i="2"/>
  <c r="K926" i="2" s="1"/>
  <c r="J925" i="2"/>
  <c r="K925" i="2" s="1"/>
  <c r="J924" i="2"/>
  <c r="K924" i="2" s="1"/>
  <c r="J923" i="2"/>
  <c r="K923" i="2" s="1"/>
  <c r="J922" i="2"/>
  <c r="K922" i="2" s="1"/>
  <c r="J921" i="2"/>
  <c r="K921" i="2" s="1"/>
  <c r="J920" i="2"/>
  <c r="K920" i="2" s="1"/>
  <c r="J919" i="2"/>
  <c r="K919" i="2" s="1"/>
  <c r="J918" i="2"/>
  <c r="K918" i="2" s="1"/>
  <c r="J917" i="2"/>
  <c r="K917" i="2" s="1"/>
  <c r="J916" i="2"/>
  <c r="K916" i="2" s="1"/>
  <c r="J915" i="2"/>
  <c r="K915" i="2" s="1"/>
  <c r="J914" i="2"/>
  <c r="K914" i="2" s="1"/>
  <c r="J913" i="2"/>
  <c r="K913" i="2" s="1"/>
  <c r="J912" i="2"/>
  <c r="K912" i="2" s="1"/>
  <c r="J911" i="2"/>
  <c r="K911" i="2" s="1"/>
  <c r="J910" i="2"/>
  <c r="K910" i="2" s="1"/>
  <c r="J909" i="2"/>
  <c r="K909" i="2" s="1"/>
  <c r="J908" i="2"/>
  <c r="K908" i="2" s="1"/>
  <c r="J907" i="2"/>
  <c r="K907" i="2" s="1"/>
  <c r="J906" i="2"/>
  <c r="K906" i="2" s="1"/>
  <c r="J905" i="2"/>
  <c r="K905" i="2" s="1"/>
  <c r="J904" i="2"/>
  <c r="K904" i="2" s="1"/>
  <c r="J903" i="2"/>
  <c r="K903" i="2" s="1"/>
  <c r="J902" i="2"/>
  <c r="K902" i="2" s="1"/>
  <c r="J901" i="2"/>
  <c r="K901" i="2" s="1"/>
  <c r="J900" i="2"/>
  <c r="K900" i="2" s="1"/>
  <c r="J899" i="2"/>
  <c r="K899" i="2" s="1"/>
  <c r="J898" i="2"/>
  <c r="K898" i="2" s="1"/>
  <c r="J897" i="2"/>
  <c r="K897" i="2" s="1"/>
  <c r="J896" i="2"/>
  <c r="K896" i="2" s="1"/>
  <c r="J895" i="2"/>
  <c r="K895" i="2" s="1"/>
  <c r="J894" i="2"/>
  <c r="K894" i="2" s="1"/>
  <c r="J893" i="2"/>
  <c r="K893" i="2" s="1"/>
  <c r="J892" i="2"/>
  <c r="K892" i="2" s="1"/>
  <c r="J891" i="2"/>
  <c r="K891" i="2" s="1"/>
  <c r="J890" i="2"/>
  <c r="K890" i="2" s="1"/>
  <c r="J889" i="2"/>
  <c r="K889" i="2" s="1"/>
  <c r="J888" i="2"/>
  <c r="K888" i="2" s="1"/>
  <c r="J887" i="2"/>
  <c r="K887" i="2" s="1"/>
  <c r="J886" i="2"/>
  <c r="K886" i="2" s="1"/>
  <c r="J885" i="2"/>
  <c r="K885" i="2" s="1"/>
  <c r="J884" i="2"/>
  <c r="K884" i="2" s="1"/>
  <c r="J883" i="2"/>
  <c r="K883" i="2" s="1"/>
  <c r="J882" i="2"/>
  <c r="K882" i="2" s="1"/>
  <c r="J881" i="2"/>
  <c r="K881" i="2" s="1"/>
  <c r="J880" i="2"/>
  <c r="K880" i="2" s="1"/>
  <c r="J879" i="2"/>
  <c r="K879" i="2" s="1"/>
  <c r="J878" i="2"/>
  <c r="K878" i="2" s="1"/>
  <c r="J877" i="2"/>
  <c r="K877" i="2" s="1"/>
  <c r="J876" i="2"/>
  <c r="K876" i="2" s="1"/>
  <c r="J875" i="2"/>
  <c r="K875" i="2" s="1"/>
  <c r="J874" i="2"/>
  <c r="K874" i="2" s="1"/>
  <c r="J873" i="2"/>
  <c r="K873" i="2" s="1"/>
  <c r="J872" i="2"/>
  <c r="K872" i="2" s="1"/>
  <c r="J871" i="2"/>
  <c r="K871" i="2" s="1"/>
  <c r="J870" i="2"/>
  <c r="K870" i="2" s="1"/>
  <c r="J869" i="2"/>
  <c r="K869" i="2" s="1"/>
  <c r="J868" i="2"/>
  <c r="K868" i="2" s="1"/>
  <c r="J867" i="2"/>
  <c r="K867" i="2" s="1"/>
  <c r="J866" i="2"/>
  <c r="K866" i="2" s="1"/>
  <c r="J865" i="2"/>
  <c r="K865" i="2" s="1"/>
  <c r="J864" i="2"/>
  <c r="K864" i="2" s="1"/>
  <c r="J863" i="2"/>
  <c r="K863" i="2" s="1"/>
  <c r="J862" i="2"/>
  <c r="K862" i="2" s="1"/>
  <c r="J861" i="2"/>
  <c r="K861" i="2" s="1"/>
  <c r="J860" i="2"/>
  <c r="K860" i="2" s="1"/>
  <c r="J859" i="2"/>
  <c r="K859" i="2" s="1"/>
  <c r="J858" i="2"/>
  <c r="K858" i="2" s="1"/>
  <c r="J857" i="2"/>
  <c r="K857" i="2" s="1"/>
  <c r="J856" i="2"/>
  <c r="K856" i="2" s="1"/>
  <c r="J855" i="2"/>
  <c r="K855" i="2" s="1"/>
  <c r="J854" i="2"/>
  <c r="K854" i="2" s="1"/>
  <c r="J853" i="2"/>
  <c r="K853" i="2" s="1"/>
  <c r="J852" i="2"/>
  <c r="K852" i="2" s="1"/>
  <c r="J851" i="2"/>
  <c r="K851" i="2" s="1"/>
  <c r="J850" i="2"/>
  <c r="K850" i="2" s="1"/>
  <c r="J849" i="2"/>
  <c r="K849" i="2" s="1"/>
  <c r="J848" i="2"/>
  <c r="K848" i="2" s="1"/>
  <c r="J847" i="2"/>
  <c r="K847" i="2" s="1"/>
  <c r="J846" i="2"/>
  <c r="K846" i="2" s="1"/>
  <c r="J845" i="2"/>
  <c r="K845" i="2" s="1"/>
  <c r="J844" i="2"/>
  <c r="K844" i="2" s="1"/>
  <c r="J843" i="2"/>
  <c r="K843" i="2" s="1"/>
  <c r="J842" i="2"/>
  <c r="K842" i="2" s="1"/>
  <c r="J841" i="2"/>
  <c r="K841" i="2" s="1"/>
  <c r="J840" i="2"/>
  <c r="K840" i="2" s="1"/>
  <c r="J839" i="2"/>
  <c r="K839" i="2" s="1"/>
  <c r="J838" i="2"/>
  <c r="K838" i="2" s="1"/>
  <c r="J837" i="2"/>
  <c r="K837" i="2" s="1"/>
  <c r="J836" i="2"/>
  <c r="K836" i="2" s="1"/>
  <c r="J835" i="2"/>
  <c r="K835" i="2" s="1"/>
  <c r="J834" i="2"/>
  <c r="K834" i="2" s="1"/>
  <c r="J833" i="2"/>
  <c r="K833" i="2" s="1"/>
  <c r="J832" i="2"/>
  <c r="K832" i="2" s="1"/>
  <c r="J831" i="2"/>
  <c r="K831" i="2" s="1"/>
  <c r="J830" i="2"/>
  <c r="K830" i="2" s="1"/>
  <c r="J829" i="2"/>
  <c r="K829" i="2" s="1"/>
  <c r="J828" i="2"/>
  <c r="K828" i="2" s="1"/>
  <c r="J827" i="2"/>
  <c r="K827" i="2" s="1"/>
  <c r="J826" i="2"/>
  <c r="K826" i="2" s="1"/>
  <c r="J825" i="2"/>
  <c r="K825" i="2" s="1"/>
  <c r="J824" i="2"/>
  <c r="K824" i="2" s="1"/>
  <c r="J823" i="2"/>
  <c r="K823" i="2" s="1"/>
  <c r="J822" i="2"/>
  <c r="K822" i="2" s="1"/>
  <c r="J821" i="2"/>
  <c r="K821" i="2" s="1"/>
  <c r="J820" i="2"/>
  <c r="K820" i="2" s="1"/>
  <c r="J819" i="2"/>
  <c r="K819" i="2" s="1"/>
  <c r="J818" i="2"/>
  <c r="K818" i="2" s="1"/>
  <c r="J817" i="2"/>
  <c r="K817" i="2" s="1"/>
  <c r="J816" i="2"/>
  <c r="K816" i="2" s="1"/>
  <c r="J815" i="2"/>
  <c r="K815" i="2" s="1"/>
  <c r="J814" i="2"/>
  <c r="K814" i="2" s="1"/>
  <c r="J813" i="2"/>
  <c r="K813" i="2" s="1"/>
  <c r="J812" i="2"/>
  <c r="K812" i="2" s="1"/>
  <c r="J811" i="2"/>
  <c r="K811" i="2" s="1"/>
  <c r="J810" i="2"/>
  <c r="K810" i="2" s="1"/>
  <c r="J809" i="2"/>
  <c r="K809" i="2" s="1"/>
  <c r="J808" i="2"/>
  <c r="K808" i="2" s="1"/>
  <c r="J807" i="2"/>
  <c r="K807" i="2" s="1"/>
  <c r="J806" i="2"/>
  <c r="K806" i="2" s="1"/>
  <c r="J805" i="2"/>
  <c r="K805" i="2" s="1"/>
  <c r="J804" i="2"/>
  <c r="K804" i="2" s="1"/>
  <c r="J803" i="2"/>
  <c r="K803" i="2" s="1"/>
  <c r="J802" i="2"/>
  <c r="K802" i="2" s="1"/>
  <c r="J801" i="2"/>
  <c r="K801" i="2" s="1"/>
  <c r="J800" i="2"/>
  <c r="K800" i="2" s="1"/>
  <c r="J799" i="2"/>
  <c r="K799" i="2" s="1"/>
  <c r="J798" i="2"/>
  <c r="K798" i="2" s="1"/>
  <c r="J797" i="2"/>
  <c r="K797" i="2" s="1"/>
  <c r="J796" i="2"/>
  <c r="K796" i="2" s="1"/>
  <c r="J795" i="2"/>
  <c r="K795" i="2" s="1"/>
  <c r="J794" i="2"/>
  <c r="K794" i="2" s="1"/>
  <c r="J793" i="2"/>
  <c r="K793" i="2" s="1"/>
  <c r="J792" i="2"/>
  <c r="K792" i="2" s="1"/>
  <c r="J791" i="2"/>
  <c r="K791" i="2" s="1"/>
  <c r="J790" i="2"/>
  <c r="K790" i="2" s="1"/>
  <c r="J789" i="2"/>
  <c r="K789" i="2" s="1"/>
  <c r="J788" i="2"/>
  <c r="K788" i="2" s="1"/>
  <c r="J787" i="2"/>
  <c r="K787" i="2" s="1"/>
  <c r="J786" i="2"/>
  <c r="K786" i="2" s="1"/>
  <c r="J785" i="2"/>
  <c r="K785" i="2" s="1"/>
  <c r="J784" i="2"/>
  <c r="K784" i="2" s="1"/>
  <c r="J783" i="2"/>
  <c r="K783" i="2" s="1"/>
  <c r="J782" i="2"/>
  <c r="K782" i="2" s="1"/>
  <c r="J781" i="2"/>
  <c r="K781" i="2" s="1"/>
  <c r="J780" i="2"/>
  <c r="K780" i="2" s="1"/>
  <c r="J779" i="2"/>
  <c r="K779" i="2" s="1"/>
  <c r="J778" i="2"/>
  <c r="K778" i="2" s="1"/>
  <c r="J777" i="2"/>
  <c r="K777" i="2" s="1"/>
  <c r="J776" i="2"/>
  <c r="K776" i="2" s="1"/>
  <c r="J775" i="2"/>
  <c r="K775" i="2" s="1"/>
  <c r="J774" i="2"/>
  <c r="K774" i="2" s="1"/>
  <c r="J773" i="2"/>
  <c r="K773" i="2" s="1"/>
  <c r="J772" i="2"/>
  <c r="K772" i="2" s="1"/>
  <c r="J771" i="2"/>
  <c r="K771" i="2" s="1"/>
  <c r="J770" i="2"/>
  <c r="K770" i="2" s="1"/>
  <c r="J769" i="2"/>
  <c r="K769" i="2" s="1"/>
  <c r="J768" i="2"/>
  <c r="K768" i="2" s="1"/>
  <c r="J767" i="2"/>
  <c r="K767" i="2" s="1"/>
  <c r="J766" i="2"/>
  <c r="K766" i="2" s="1"/>
  <c r="J765" i="2"/>
  <c r="K765" i="2" s="1"/>
  <c r="J764" i="2"/>
  <c r="K764" i="2" s="1"/>
  <c r="J763" i="2"/>
  <c r="K763" i="2" s="1"/>
  <c r="J762" i="2"/>
  <c r="K762" i="2" s="1"/>
  <c r="J761" i="2"/>
  <c r="K761" i="2" s="1"/>
  <c r="J760" i="2"/>
  <c r="K760" i="2" s="1"/>
  <c r="J759" i="2"/>
  <c r="K759" i="2" s="1"/>
  <c r="J758" i="2"/>
  <c r="K758" i="2" s="1"/>
  <c r="J757" i="2"/>
  <c r="K757" i="2" s="1"/>
  <c r="J756" i="2"/>
  <c r="K756" i="2" s="1"/>
  <c r="J755" i="2"/>
  <c r="K755" i="2" s="1"/>
  <c r="J754" i="2"/>
  <c r="K754" i="2" s="1"/>
  <c r="J753" i="2"/>
  <c r="K753" i="2" s="1"/>
  <c r="J752" i="2"/>
  <c r="K752" i="2" s="1"/>
  <c r="J751" i="2"/>
  <c r="K751" i="2" s="1"/>
  <c r="J750" i="2"/>
  <c r="K750" i="2" s="1"/>
  <c r="J749" i="2"/>
  <c r="K749" i="2" s="1"/>
  <c r="J748" i="2"/>
  <c r="K748" i="2" s="1"/>
  <c r="J747" i="2"/>
  <c r="K747" i="2" s="1"/>
  <c r="J746" i="2"/>
  <c r="K746" i="2" s="1"/>
  <c r="J745" i="2"/>
  <c r="K745" i="2" s="1"/>
  <c r="J744" i="2"/>
  <c r="K744" i="2" s="1"/>
  <c r="J743" i="2"/>
  <c r="K743" i="2" s="1"/>
  <c r="J742" i="2"/>
  <c r="K742" i="2" s="1"/>
  <c r="J741" i="2"/>
  <c r="K741" i="2" s="1"/>
  <c r="J740" i="2"/>
  <c r="K740" i="2" s="1"/>
  <c r="J739" i="2"/>
  <c r="K739" i="2" s="1"/>
  <c r="J738" i="2"/>
  <c r="K738" i="2" s="1"/>
  <c r="J737" i="2"/>
  <c r="K737" i="2" s="1"/>
  <c r="J736" i="2"/>
  <c r="K736" i="2" s="1"/>
  <c r="J735" i="2"/>
  <c r="K735" i="2" s="1"/>
  <c r="J734" i="2"/>
  <c r="K734" i="2" s="1"/>
  <c r="J733" i="2"/>
  <c r="K733" i="2" s="1"/>
  <c r="J732" i="2"/>
  <c r="K732" i="2" s="1"/>
  <c r="J731" i="2"/>
  <c r="K731" i="2" s="1"/>
  <c r="J730" i="2"/>
  <c r="K730" i="2" s="1"/>
  <c r="J729" i="2"/>
  <c r="K729" i="2" s="1"/>
  <c r="J728" i="2"/>
  <c r="K728" i="2" s="1"/>
  <c r="J727" i="2"/>
  <c r="K727" i="2" s="1"/>
  <c r="J726" i="2"/>
  <c r="K726" i="2" s="1"/>
  <c r="J725" i="2"/>
  <c r="K725" i="2" s="1"/>
  <c r="J724" i="2"/>
  <c r="K724" i="2" s="1"/>
  <c r="J723" i="2"/>
  <c r="K723" i="2" s="1"/>
  <c r="J722" i="2"/>
  <c r="K722" i="2" s="1"/>
  <c r="J721" i="2"/>
  <c r="K721" i="2" s="1"/>
  <c r="J720" i="2"/>
  <c r="K720" i="2" s="1"/>
  <c r="J719" i="2"/>
  <c r="K719" i="2" s="1"/>
  <c r="J718" i="2"/>
  <c r="K718" i="2" s="1"/>
  <c r="J717" i="2"/>
  <c r="K717" i="2" s="1"/>
  <c r="J716" i="2"/>
  <c r="K716" i="2" s="1"/>
  <c r="J715" i="2"/>
  <c r="K715" i="2" s="1"/>
  <c r="J714" i="2"/>
  <c r="K714" i="2" s="1"/>
  <c r="J713" i="2"/>
  <c r="K713" i="2" s="1"/>
  <c r="J712" i="2"/>
  <c r="K712" i="2" s="1"/>
  <c r="J711" i="2"/>
  <c r="K711" i="2" s="1"/>
  <c r="J710" i="2"/>
  <c r="K710" i="2" s="1"/>
  <c r="J709" i="2"/>
  <c r="K709" i="2" s="1"/>
  <c r="J708" i="2"/>
  <c r="K708" i="2" s="1"/>
  <c r="J707" i="2"/>
  <c r="K707" i="2" s="1"/>
  <c r="J706" i="2"/>
  <c r="K706" i="2" s="1"/>
  <c r="J705" i="2"/>
  <c r="K705" i="2" s="1"/>
  <c r="J704" i="2"/>
  <c r="K704" i="2" s="1"/>
  <c r="J703" i="2"/>
  <c r="K703" i="2" s="1"/>
  <c r="J702" i="2"/>
  <c r="K702" i="2" s="1"/>
  <c r="J701" i="2"/>
  <c r="K701" i="2" s="1"/>
  <c r="J700" i="2"/>
  <c r="K700" i="2" s="1"/>
  <c r="J699" i="2"/>
  <c r="K699" i="2" s="1"/>
  <c r="J698" i="2"/>
  <c r="K698" i="2" s="1"/>
  <c r="J697" i="2"/>
  <c r="K697" i="2" s="1"/>
  <c r="J696" i="2"/>
  <c r="K696" i="2" s="1"/>
  <c r="J695" i="2"/>
  <c r="K695" i="2" s="1"/>
  <c r="J694" i="2"/>
  <c r="K694" i="2" s="1"/>
  <c r="J693" i="2"/>
  <c r="K693" i="2" s="1"/>
  <c r="J692" i="2"/>
  <c r="K692" i="2" s="1"/>
  <c r="J691" i="2"/>
  <c r="K691" i="2" s="1"/>
  <c r="J690" i="2"/>
  <c r="K690" i="2" s="1"/>
  <c r="J689" i="2"/>
  <c r="K689" i="2" s="1"/>
  <c r="J688" i="2"/>
  <c r="K688" i="2" s="1"/>
  <c r="J687" i="2"/>
  <c r="K687" i="2" s="1"/>
  <c r="J686" i="2"/>
  <c r="K686" i="2" s="1"/>
  <c r="J685" i="2"/>
  <c r="K685" i="2" s="1"/>
  <c r="J684" i="2"/>
  <c r="K684" i="2" s="1"/>
  <c r="J683" i="2"/>
  <c r="K683" i="2" s="1"/>
  <c r="J682" i="2"/>
  <c r="K682" i="2" s="1"/>
  <c r="J681" i="2"/>
  <c r="K681" i="2" s="1"/>
  <c r="J680" i="2"/>
  <c r="K680" i="2" s="1"/>
  <c r="J679" i="2"/>
  <c r="K679" i="2" s="1"/>
  <c r="J678" i="2"/>
  <c r="K678" i="2" s="1"/>
  <c r="J677" i="2"/>
  <c r="K677" i="2" s="1"/>
  <c r="J676" i="2"/>
  <c r="K676" i="2" s="1"/>
  <c r="J675" i="2"/>
  <c r="K675" i="2" s="1"/>
  <c r="J674" i="2"/>
  <c r="K674" i="2" s="1"/>
  <c r="J673" i="2"/>
  <c r="K673" i="2" s="1"/>
  <c r="J672" i="2"/>
  <c r="K672" i="2" s="1"/>
  <c r="J671" i="2"/>
  <c r="K671" i="2" s="1"/>
  <c r="J670" i="2"/>
  <c r="K670" i="2" s="1"/>
  <c r="J669" i="2"/>
  <c r="K669" i="2" s="1"/>
  <c r="J668" i="2"/>
  <c r="K668" i="2" s="1"/>
  <c r="J667" i="2"/>
  <c r="K667" i="2" s="1"/>
  <c r="J666" i="2"/>
  <c r="K666" i="2" s="1"/>
  <c r="J665" i="2"/>
  <c r="K665" i="2" s="1"/>
  <c r="J664" i="2"/>
  <c r="K664" i="2" s="1"/>
  <c r="J663" i="2"/>
  <c r="K663" i="2" s="1"/>
  <c r="J662" i="2"/>
  <c r="K662" i="2" s="1"/>
  <c r="J661" i="2"/>
  <c r="K661" i="2" s="1"/>
  <c r="J660" i="2"/>
  <c r="K660" i="2" s="1"/>
  <c r="J659" i="2"/>
  <c r="K659" i="2" s="1"/>
  <c r="J658" i="2"/>
  <c r="K658" i="2" s="1"/>
  <c r="J657" i="2"/>
  <c r="K657" i="2" s="1"/>
  <c r="J656" i="2"/>
  <c r="K656" i="2" s="1"/>
  <c r="J655" i="2"/>
  <c r="K655" i="2" s="1"/>
  <c r="J654" i="2"/>
  <c r="K654" i="2" s="1"/>
  <c r="J653" i="2"/>
  <c r="K653" i="2" s="1"/>
  <c r="J652" i="2"/>
  <c r="K652" i="2" s="1"/>
  <c r="J651" i="2"/>
  <c r="K651" i="2" s="1"/>
  <c r="J650" i="2"/>
  <c r="K650" i="2" s="1"/>
  <c r="J649" i="2"/>
  <c r="K649" i="2" s="1"/>
  <c r="J648" i="2"/>
  <c r="K648" i="2" s="1"/>
  <c r="J647" i="2"/>
  <c r="K647" i="2" s="1"/>
  <c r="J646" i="2"/>
  <c r="K646" i="2" s="1"/>
  <c r="J645" i="2"/>
  <c r="K645" i="2" s="1"/>
  <c r="J644" i="2"/>
  <c r="K644" i="2" s="1"/>
  <c r="J643" i="2"/>
  <c r="K643" i="2" s="1"/>
  <c r="J642" i="2"/>
  <c r="K642" i="2" s="1"/>
  <c r="J641" i="2"/>
  <c r="K641" i="2" s="1"/>
  <c r="J640" i="2"/>
  <c r="K640" i="2" s="1"/>
  <c r="J639" i="2"/>
  <c r="K639" i="2" s="1"/>
  <c r="J638" i="2"/>
  <c r="K638" i="2" s="1"/>
  <c r="J637" i="2"/>
  <c r="K637" i="2" s="1"/>
  <c r="J636" i="2"/>
  <c r="K636" i="2" s="1"/>
  <c r="J635" i="2"/>
  <c r="K635" i="2" s="1"/>
  <c r="J634" i="2"/>
  <c r="K634" i="2" s="1"/>
  <c r="J633" i="2"/>
  <c r="K633" i="2" s="1"/>
  <c r="J632" i="2"/>
  <c r="K632" i="2" s="1"/>
  <c r="J631" i="2"/>
  <c r="K631" i="2" s="1"/>
  <c r="J630" i="2"/>
  <c r="K630" i="2" s="1"/>
  <c r="J629" i="2"/>
  <c r="K629" i="2" s="1"/>
  <c r="J628" i="2"/>
  <c r="K628" i="2" s="1"/>
  <c r="J627" i="2"/>
  <c r="K627" i="2" s="1"/>
  <c r="J626" i="2"/>
  <c r="K626" i="2" s="1"/>
  <c r="J625" i="2"/>
  <c r="K625" i="2" s="1"/>
  <c r="J624" i="2"/>
  <c r="K624" i="2" s="1"/>
  <c r="J623" i="2"/>
  <c r="K623" i="2" s="1"/>
  <c r="J622" i="2"/>
  <c r="K622" i="2" s="1"/>
  <c r="J621" i="2"/>
  <c r="K621" i="2" s="1"/>
  <c r="J620" i="2"/>
  <c r="K620" i="2" s="1"/>
  <c r="J619" i="2"/>
  <c r="K619" i="2" s="1"/>
  <c r="J618" i="2"/>
  <c r="K618" i="2" s="1"/>
  <c r="J617" i="2"/>
  <c r="K617" i="2" s="1"/>
  <c r="J616" i="2"/>
  <c r="K616" i="2" s="1"/>
  <c r="J615" i="2"/>
  <c r="K615" i="2" s="1"/>
  <c r="J614" i="2"/>
  <c r="K614" i="2" s="1"/>
  <c r="J613" i="2"/>
  <c r="K613" i="2" s="1"/>
  <c r="J612" i="2"/>
  <c r="K612" i="2" s="1"/>
  <c r="J611" i="2"/>
  <c r="K611" i="2" s="1"/>
  <c r="J610" i="2"/>
  <c r="K610" i="2" s="1"/>
  <c r="J609" i="2"/>
  <c r="K609" i="2" s="1"/>
  <c r="J608" i="2"/>
  <c r="K608" i="2" s="1"/>
  <c r="J607" i="2"/>
  <c r="K607" i="2" s="1"/>
  <c r="J606" i="2"/>
  <c r="K606" i="2" s="1"/>
  <c r="J605" i="2"/>
  <c r="K605" i="2" s="1"/>
  <c r="J604" i="2"/>
  <c r="K604" i="2" s="1"/>
  <c r="J603" i="2"/>
  <c r="K603" i="2" s="1"/>
  <c r="J602" i="2"/>
  <c r="K602" i="2" s="1"/>
  <c r="J601" i="2"/>
  <c r="K601" i="2" s="1"/>
  <c r="J600" i="2"/>
  <c r="K600" i="2" s="1"/>
  <c r="J599" i="2"/>
  <c r="K599" i="2" s="1"/>
  <c r="J598" i="2"/>
  <c r="K598" i="2" s="1"/>
  <c r="J597" i="2"/>
  <c r="K597" i="2" s="1"/>
  <c r="J596" i="2"/>
  <c r="K596" i="2" s="1"/>
  <c r="J595" i="2"/>
  <c r="K595" i="2" s="1"/>
  <c r="J594" i="2"/>
  <c r="K594" i="2" s="1"/>
  <c r="J593" i="2"/>
  <c r="K593" i="2" s="1"/>
  <c r="J592" i="2"/>
  <c r="K592" i="2" s="1"/>
  <c r="J591" i="2"/>
  <c r="K591" i="2" s="1"/>
  <c r="J590" i="2"/>
  <c r="K590" i="2" s="1"/>
  <c r="J589" i="2"/>
  <c r="K589" i="2" s="1"/>
  <c r="J588" i="2"/>
  <c r="K588" i="2" s="1"/>
  <c r="J587" i="2"/>
  <c r="K587" i="2" s="1"/>
  <c r="J586" i="2"/>
  <c r="K586" i="2" s="1"/>
  <c r="J585" i="2"/>
  <c r="K585" i="2" s="1"/>
  <c r="J584" i="2"/>
  <c r="K584" i="2" s="1"/>
  <c r="J583" i="2"/>
  <c r="K583" i="2" s="1"/>
  <c r="J582" i="2"/>
  <c r="K582" i="2" s="1"/>
  <c r="J581" i="2"/>
  <c r="K581" i="2" s="1"/>
  <c r="J580" i="2"/>
  <c r="K580" i="2" s="1"/>
  <c r="J579" i="2"/>
  <c r="K579" i="2" s="1"/>
  <c r="J578" i="2"/>
  <c r="K578" i="2" s="1"/>
  <c r="J577" i="2"/>
  <c r="K577" i="2" s="1"/>
  <c r="J576" i="2"/>
  <c r="K576" i="2" s="1"/>
  <c r="J575" i="2"/>
  <c r="K575" i="2" s="1"/>
  <c r="J574" i="2"/>
  <c r="K574" i="2" s="1"/>
  <c r="J573" i="2"/>
  <c r="K573" i="2" s="1"/>
  <c r="J572" i="2"/>
  <c r="K572" i="2" s="1"/>
  <c r="J571" i="2"/>
  <c r="K571" i="2" s="1"/>
  <c r="J570" i="2"/>
  <c r="K570" i="2" s="1"/>
  <c r="J569" i="2"/>
  <c r="K569" i="2" s="1"/>
  <c r="J568" i="2"/>
  <c r="K568" i="2" s="1"/>
  <c r="J567" i="2"/>
  <c r="K567" i="2" s="1"/>
  <c r="J566" i="2"/>
  <c r="K566" i="2" s="1"/>
  <c r="J565" i="2"/>
  <c r="K565" i="2" s="1"/>
  <c r="J564" i="2"/>
  <c r="K564" i="2" s="1"/>
  <c r="J563" i="2"/>
  <c r="K563" i="2" s="1"/>
  <c r="J562" i="2"/>
  <c r="K562" i="2" s="1"/>
  <c r="J561" i="2"/>
  <c r="K561" i="2" s="1"/>
  <c r="J560" i="2"/>
  <c r="K560" i="2" s="1"/>
  <c r="J559" i="2"/>
  <c r="K559" i="2" s="1"/>
  <c r="J558" i="2"/>
  <c r="K558" i="2" s="1"/>
  <c r="J557" i="2"/>
  <c r="K557" i="2" s="1"/>
  <c r="J556" i="2"/>
  <c r="K556" i="2" s="1"/>
  <c r="J555" i="2"/>
  <c r="K555" i="2" s="1"/>
  <c r="J554" i="2"/>
  <c r="K554" i="2" s="1"/>
  <c r="J553" i="2"/>
  <c r="K553" i="2" s="1"/>
  <c r="J552" i="2"/>
  <c r="K552" i="2" s="1"/>
  <c r="J551" i="2"/>
  <c r="K551" i="2" s="1"/>
  <c r="J550" i="2"/>
  <c r="K550" i="2" s="1"/>
  <c r="J549" i="2"/>
  <c r="K549" i="2" s="1"/>
  <c r="J548" i="2"/>
  <c r="K548" i="2" s="1"/>
  <c r="J547" i="2"/>
  <c r="K547" i="2" s="1"/>
  <c r="J546" i="2"/>
  <c r="K546" i="2" s="1"/>
  <c r="J545" i="2"/>
  <c r="K545" i="2" s="1"/>
  <c r="J544" i="2"/>
  <c r="K544" i="2" s="1"/>
  <c r="J543" i="2"/>
  <c r="K543" i="2" s="1"/>
  <c r="J542" i="2"/>
  <c r="K542" i="2" s="1"/>
  <c r="J541" i="2"/>
  <c r="K541" i="2" s="1"/>
  <c r="J540" i="2"/>
  <c r="K540" i="2" s="1"/>
  <c r="J539" i="2"/>
  <c r="K539" i="2" s="1"/>
  <c r="J538" i="2"/>
  <c r="K538" i="2" s="1"/>
  <c r="J537" i="2"/>
  <c r="K537" i="2" s="1"/>
  <c r="J536" i="2"/>
  <c r="K536" i="2" s="1"/>
  <c r="J535" i="2"/>
  <c r="K535" i="2" s="1"/>
  <c r="J534" i="2"/>
  <c r="K534" i="2" s="1"/>
  <c r="J533" i="2"/>
  <c r="K533" i="2" s="1"/>
  <c r="J532" i="2"/>
  <c r="K532" i="2" s="1"/>
  <c r="J531" i="2"/>
  <c r="K531" i="2" s="1"/>
  <c r="J530" i="2"/>
  <c r="K530" i="2" s="1"/>
  <c r="J529" i="2"/>
  <c r="K529" i="2" s="1"/>
  <c r="J528" i="2"/>
  <c r="K528" i="2" s="1"/>
  <c r="J527" i="2"/>
  <c r="K527" i="2" s="1"/>
  <c r="J526" i="2"/>
  <c r="K526" i="2" s="1"/>
  <c r="J525" i="2"/>
  <c r="K525" i="2" s="1"/>
  <c r="J524" i="2"/>
  <c r="K524" i="2" s="1"/>
  <c r="J523" i="2"/>
  <c r="K523" i="2" s="1"/>
  <c r="J522" i="2"/>
  <c r="K522" i="2" s="1"/>
  <c r="J521" i="2"/>
  <c r="K521" i="2" s="1"/>
  <c r="J520" i="2"/>
  <c r="K520" i="2" s="1"/>
  <c r="J519" i="2"/>
  <c r="K519" i="2" s="1"/>
  <c r="J518" i="2"/>
  <c r="K518" i="2" s="1"/>
  <c r="J517" i="2"/>
  <c r="K517" i="2" s="1"/>
  <c r="J516" i="2"/>
  <c r="K516" i="2" s="1"/>
  <c r="J515" i="2"/>
  <c r="K515" i="2" s="1"/>
  <c r="J514" i="2"/>
  <c r="K514" i="2" s="1"/>
  <c r="J513" i="2"/>
  <c r="K513" i="2" s="1"/>
  <c r="J512" i="2"/>
  <c r="K512" i="2" s="1"/>
  <c r="J511" i="2"/>
  <c r="K511" i="2" s="1"/>
  <c r="J510" i="2"/>
  <c r="K510" i="2" s="1"/>
  <c r="J509" i="2"/>
  <c r="K509" i="2" s="1"/>
  <c r="J508" i="2"/>
  <c r="K508" i="2" s="1"/>
  <c r="J507" i="2"/>
  <c r="K507" i="2" s="1"/>
  <c r="J506" i="2"/>
  <c r="K506" i="2" s="1"/>
  <c r="J505" i="2"/>
  <c r="K505" i="2" s="1"/>
  <c r="J504" i="2"/>
  <c r="K504" i="2" s="1"/>
  <c r="J503" i="2"/>
  <c r="K503" i="2" s="1"/>
  <c r="J502" i="2"/>
  <c r="K502" i="2" s="1"/>
  <c r="J501" i="2"/>
  <c r="K501" i="2" s="1"/>
  <c r="J500" i="2"/>
  <c r="K500" i="2" s="1"/>
  <c r="J499" i="2"/>
  <c r="K499" i="2" s="1"/>
  <c r="J498" i="2"/>
  <c r="K498" i="2" s="1"/>
  <c r="J497" i="2"/>
  <c r="K497" i="2" s="1"/>
  <c r="J496" i="2"/>
  <c r="K496" i="2" s="1"/>
  <c r="J495" i="2"/>
  <c r="K495" i="2" s="1"/>
  <c r="J494" i="2"/>
  <c r="K494" i="2" s="1"/>
  <c r="J493" i="2"/>
  <c r="K493" i="2" s="1"/>
  <c r="J492" i="2"/>
  <c r="K492" i="2" s="1"/>
  <c r="J491" i="2"/>
  <c r="K491" i="2" s="1"/>
  <c r="J490" i="2"/>
  <c r="K490" i="2" s="1"/>
  <c r="J489" i="2"/>
  <c r="K489" i="2" s="1"/>
  <c r="J488" i="2"/>
  <c r="K488" i="2" s="1"/>
  <c r="J487" i="2"/>
  <c r="K487" i="2" s="1"/>
  <c r="J486" i="2"/>
  <c r="K486" i="2" s="1"/>
  <c r="J485" i="2"/>
  <c r="K485" i="2" s="1"/>
  <c r="J484" i="2"/>
  <c r="K484" i="2" s="1"/>
  <c r="J483" i="2"/>
  <c r="K483" i="2" s="1"/>
  <c r="J482" i="2"/>
  <c r="K482" i="2" s="1"/>
  <c r="J481" i="2"/>
  <c r="K481" i="2" s="1"/>
  <c r="J480" i="2"/>
  <c r="K480" i="2" s="1"/>
  <c r="J479" i="2"/>
  <c r="K479" i="2" s="1"/>
  <c r="J478" i="2"/>
  <c r="K478" i="2" s="1"/>
  <c r="J477" i="2"/>
  <c r="K477" i="2" s="1"/>
  <c r="J476" i="2"/>
  <c r="K476" i="2" s="1"/>
  <c r="J475" i="2"/>
  <c r="K475" i="2" s="1"/>
  <c r="J474" i="2"/>
  <c r="K474" i="2" s="1"/>
  <c r="J473" i="2"/>
  <c r="K473" i="2" s="1"/>
  <c r="J472" i="2"/>
  <c r="K472" i="2" s="1"/>
  <c r="J471" i="2"/>
  <c r="K471" i="2" s="1"/>
  <c r="J470" i="2"/>
  <c r="K470" i="2" s="1"/>
  <c r="J469" i="2"/>
  <c r="K469" i="2" s="1"/>
  <c r="J468" i="2"/>
  <c r="K468" i="2" s="1"/>
  <c r="J467" i="2"/>
  <c r="K467" i="2" s="1"/>
  <c r="J466" i="2"/>
  <c r="K466" i="2" s="1"/>
  <c r="J465" i="2"/>
  <c r="K465" i="2" s="1"/>
  <c r="J464" i="2"/>
  <c r="K464" i="2" s="1"/>
  <c r="J463" i="2"/>
  <c r="K463" i="2" s="1"/>
  <c r="J462" i="2"/>
  <c r="K462" i="2" s="1"/>
  <c r="J461" i="2"/>
  <c r="K461" i="2" s="1"/>
  <c r="J460" i="2"/>
  <c r="K460" i="2" s="1"/>
  <c r="J459" i="2"/>
  <c r="K459" i="2" s="1"/>
  <c r="J458" i="2"/>
  <c r="K458" i="2" s="1"/>
  <c r="J457" i="2"/>
  <c r="K457" i="2" s="1"/>
  <c r="J456" i="2"/>
  <c r="K456" i="2" s="1"/>
  <c r="J455" i="2"/>
  <c r="K455" i="2" s="1"/>
  <c r="J454" i="2"/>
  <c r="K454" i="2" s="1"/>
  <c r="J453" i="2"/>
  <c r="K453" i="2" s="1"/>
  <c r="J452" i="2"/>
  <c r="K452" i="2" s="1"/>
  <c r="J451" i="2"/>
  <c r="K451" i="2" s="1"/>
  <c r="J450" i="2"/>
  <c r="K450" i="2" s="1"/>
  <c r="J449" i="2"/>
  <c r="K449" i="2" s="1"/>
  <c r="J448" i="2"/>
  <c r="K448" i="2" s="1"/>
  <c r="J447" i="2"/>
  <c r="K447" i="2" s="1"/>
  <c r="J446" i="2"/>
  <c r="K446" i="2" s="1"/>
  <c r="J445" i="2"/>
  <c r="K445" i="2" s="1"/>
  <c r="J444" i="2"/>
  <c r="K444" i="2" s="1"/>
  <c r="J443" i="2"/>
  <c r="K443" i="2" s="1"/>
  <c r="J442" i="2"/>
  <c r="K442" i="2" s="1"/>
  <c r="J441" i="2"/>
  <c r="K441" i="2" s="1"/>
  <c r="J440" i="2"/>
  <c r="K440" i="2" s="1"/>
  <c r="J439" i="2"/>
  <c r="K439" i="2" s="1"/>
  <c r="J438" i="2"/>
  <c r="K438" i="2" s="1"/>
  <c r="J437" i="2"/>
  <c r="K437" i="2" s="1"/>
  <c r="J436" i="2"/>
  <c r="K436" i="2" s="1"/>
  <c r="J435" i="2"/>
  <c r="K435" i="2" s="1"/>
  <c r="J434" i="2"/>
  <c r="K434" i="2" s="1"/>
  <c r="J433" i="2"/>
  <c r="K433" i="2" s="1"/>
  <c r="J432" i="2"/>
  <c r="K432" i="2" s="1"/>
  <c r="J431" i="2"/>
  <c r="K431" i="2" s="1"/>
  <c r="J430" i="2"/>
  <c r="K430" i="2" s="1"/>
  <c r="J429" i="2"/>
  <c r="K429" i="2" s="1"/>
  <c r="J428" i="2"/>
  <c r="K428" i="2" s="1"/>
  <c r="J427" i="2"/>
  <c r="K427" i="2" s="1"/>
  <c r="J426" i="2"/>
  <c r="K426" i="2" s="1"/>
  <c r="J425" i="2"/>
  <c r="K425" i="2" s="1"/>
  <c r="J424" i="2"/>
  <c r="K424" i="2" s="1"/>
  <c r="J423" i="2"/>
  <c r="K423" i="2" s="1"/>
  <c r="J422" i="2"/>
  <c r="K422" i="2" s="1"/>
  <c r="J421" i="2"/>
  <c r="K421" i="2" s="1"/>
  <c r="J420" i="2"/>
  <c r="K420" i="2" s="1"/>
  <c r="J419" i="2"/>
  <c r="K419" i="2" s="1"/>
  <c r="J418" i="2"/>
  <c r="K418" i="2" s="1"/>
  <c r="J417" i="2"/>
  <c r="K417" i="2" s="1"/>
  <c r="J416" i="2"/>
  <c r="K416" i="2" s="1"/>
  <c r="J415" i="2"/>
  <c r="K415" i="2" s="1"/>
  <c r="J414" i="2"/>
  <c r="K414" i="2" s="1"/>
  <c r="J413" i="2"/>
  <c r="K413" i="2" s="1"/>
  <c r="J412" i="2"/>
  <c r="K412" i="2" s="1"/>
  <c r="J411" i="2"/>
  <c r="K411" i="2" s="1"/>
  <c r="J410" i="2"/>
  <c r="K410" i="2" s="1"/>
  <c r="J409" i="2"/>
  <c r="K409" i="2" s="1"/>
  <c r="J408" i="2"/>
  <c r="K408" i="2" s="1"/>
  <c r="J407" i="2"/>
  <c r="K407" i="2" s="1"/>
  <c r="J406" i="2"/>
  <c r="K406" i="2" s="1"/>
  <c r="J405" i="2"/>
  <c r="K405" i="2" s="1"/>
  <c r="J404" i="2"/>
  <c r="K404" i="2" s="1"/>
  <c r="J403" i="2"/>
  <c r="K403" i="2" s="1"/>
  <c r="J402" i="2"/>
  <c r="K402" i="2" s="1"/>
  <c r="J401" i="2"/>
  <c r="K401" i="2" s="1"/>
  <c r="J400" i="2"/>
  <c r="K400" i="2" s="1"/>
  <c r="J399" i="2"/>
  <c r="K399" i="2" s="1"/>
  <c r="J398" i="2"/>
  <c r="K398" i="2" s="1"/>
  <c r="J397" i="2"/>
  <c r="K397" i="2" s="1"/>
  <c r="J396" i="2"/>
  <c r="K396" i="2" s="1"/>
  <c r="J395" i="2"/>
  <c r="K395" i="2" s="1"/>
  <c r="J394" i="2"/>
  <c r="K394" i="2" s="1"/>
  <c r="J393" i="2"/>
  <c r="K393" i="2" s="1"/>
  <c r="J392" i="2"/>
  <c r="K392" i="2" s="1"/>
  <c r="J391" i="2"/>
  <c r="K391" i="2" s="1"/>
  <c r="J390" i="2"/>
  <c r="K390" i="2" s="1"/>
  <c r="J389" i="2"/>
  <c r="K389" i="2" s="1"/>
  <c r="J388" i="2"/>
  <c r="K388" i="2" s="1"/>
  <c r="J387" i="2"/>
  <c r="K387" i="2" s="1"/>
  <c r="J386" i="2"/>
  <c r="K386" i="2" s="1"/>
  <c r="J385" i="2"/>
  <c r="K385" i="2" s="1"/>
  <c r="J384" i="2"/>
  <c r="K384" i="2" s="1"/>
  <c r="J383" i="2"/>
  <c r="K383" i="2" s="1"/>
  <c r="J382" i="2"/>
  <c r="K382" i="2" s="1"/>
  <c r="J381" i="2"/>
  <c r="K381" i="2" s="1"/>
  <c r="J380" i="2"/>
  <c r="K380" i="2" s="1"/>
  <c r="J379" i="2"/>
  <c r="K379" i="2" s="1"/>
  <c r="J378" i="2"/>
  <c r="K378" i="2" s="1"/>
  <c r="J377" i="2"/>
  <c r="K377" i="2" s="1"/>
  <c r="J376" i="2"/>
  <c r="K376" i="2" s="1"/>
  <c r="J375" i="2"/>
  <c r="K375" i="2" s="1"/>
  <c r="J374" i="2"/>
  <c r="K374" i="2" s="1"/>
  <c r="J373" i="2"/>
  <c r="K373" i="2" s="1"/>
  <c r="J372" i="2"/>
  <c r="K372" i="2" s="1"/>
  <c r="J371" i="2"/>
  <c r="K371" i="2" s="1"/>
  <c r="J370" i="2"/>
  <c r="K370" i="2" s="1"/>
  <c r="J369" i="2"/>
  <c r="K369" i="2" s="1"/>
  <c r="J368" i="2"/>
  <c r="K368" i="2" s="1"/>
  <c r="J367" i="2"/>
  <c r="K367" i="2" s="1"/>
  <c r="J366" i="2"/>
  <c r="K366" i="2" s="1"/>
  <c r="J365" i="2"/>
  <c r="K365" i="2" s="1"/>
  <c r="J364" i="2"/>
  <c r="K364" i="2" s="1"/>
  <c r="J363" i="2"/>
  <c r="K363" i="2" s="1"/>
  <c r="J362" i="2"/>
  <c r="K362" i="2" s="1"/>
  <c r="J361" i="2"/>
  <c r="K361" i="2" s="1"/>
  <c r="J360" i="2"/>
  <c r="K360" i="2" s="1"/>
  <c r="J359" i="2"/>
  <c r="K359" i="2" s="1"/>
  <c r="J358" i="2"/>
  <c r="K358" i="2" s="1"/>
  <c r="J357" i="2"/>
  <c r="K357" i="2" s="1"/>
  <c r="J356" i="2"/>
  <c r="K356" i="2" s="1"/>
  <c r="J355" i="2"/>
  <c r="K355" i="2" s="1"/>
  <c r="J354" i="2"/>
  <c r="K354" i="2" s="1"/>
  <c r="J353" i="2"/>
  <c r="K353" i="2" s="1"/>
  <c r="J352" i="2"/>
  <c r="K352" i="2" s="1"/>
  <c r="J351" i="2"/>
  <c r="K351" i="2" s="1"/>
  <c r="J350" i="2"/>
  <c r="K350" i="2" s="1"/>
  <c r="J349" i="2"/>
  <c r="K349" i="2" s="1"/>
  <c r="J348" i="2"/>
  <c r="K348" i="2" s="1"/>
  <c r="J347" i="2"/>
  <c r="K347" i="2" s="1"/>
  <c r="J346" i="2"/>
  <c r="K346" i="2" s="1"/>
  <c r="J345" i="2"/>
  <c r="K345" i="2" s="1"/>
  <c r="J344" i="2"/>
  <c r="K344" i="2" s="1"/>
  <c r="J343" i="2"/>
  <c r="K343" i="2" s="1"/>
  <c r="J342" i="2"/>
  <c r="K342" i="2" s="1"/>
  <c r="J341" i="2"/>
  <c r="K341" i="2" s="1"/>
  <c r="J340" i="2"/>
  <c r="K340" i="2" s="1"/>
  <c r="J339" i="2"/>
  <c r="K339" i="2" s="1"/>
  <c r="J338" i="2"/>
  <c r="K338" i="2" s="1"/>
  <c r="J337" i="2"/>
  <c r="K337" i="2" s="1"/>
  <c r="J336" i="2"/>
  <c r="K336" i="2" s="1"/>
  <c r="J335" i="2"/>
  <c r="K335" i="2" s="1"/>
  <c r="J334" i="2"/>
  <c r="K334" i="2" s="1"/>
  <c r="J333" i="2"/>
  <c r="K333" i="2" s="1"/>
  <c r="J332" i="2"/>
  <c r="K332" i="2" s="1"/>
  <c r="J331" i="2"/>
  <c r="K331" i="2" s="1"/>
  <c r="J330" i="2"/>
  <c r="K330" i="2" s="1"/>
  <c r="J329" i="2"/>
  <c r="K329" i="2" s="1"/>
  <c r="J328" i="2"/>
  <c r="K328" i="2" s="1"/>
  <c r="J327" i="2"/>
  <c r="K327" i="2" s="1"/>
  <c r="J326" i="2"/>
  <c r="K326" i="2" s="1"/>
  <c r="J325" i="2"/>
  <c r="K325" i="2" s="1"/>
  <c r="J324" i="2"/>
  <c r="K324" i="2" s="1"/>
  <c r="J323" i="2"/>
  <c r="K323" i="2" s="1"/>
  <c r="J322" i="2"/>
  <c r="K322" i="2" s="1"/>
  <c r="J321" i="2"/>
  <c r="K321" i="2" s="1"/>
  <c r="J320" i="2"/>
  <c r="K320" i="2" s="1"/>
  <c r="J319" i="2"/>
  <c r="K319" i="2" s="1"/>
  <c r="J318" i="2"/>
  <c r="K318" i="2" s="1"/>
  <c r="J317" i="2"/>
  <c r="K317" i="2" s="1"/>
  <c r="J316" i="2"/>
  <c r="K316" i="2" s="1"/>
  <c r="J315" i="2"/>
  <c r="K315" i="2" s="1"/>
  <c r="J314" i="2"/>
  <c r="K314" i="2" s="1"/>
  <c r="J313" i="2"/>
  <c r="K313" i="2" s="1"/>
  <c r="J312" i="2"/>
  <c r="K312" i="2" s="1"/>
  <c r="J311" i="2"/>
  <c r="K311" i="2" s="1"/>
  <c r="J310" i="2"/>
  <c r="K310" i="2" s="1"/>
  <c r="J309" i="2"/>
  <c r="K309" i="2" s="1"/>
  <c r="J308" i="2"/>
  <c r="K308" i="2" s="1"/>
  <c r="J307" i="2"/>
  <c r="K307" i="2" s="1"/>
  <c r="J306" i="2"/>
  <c r="K306" i="2" s="1"/>
  <c r="J305" i="2"/>
  <c r="K305" i="2" s="1"/>
  <c r="J304" i="2"/>
  <c r="K304" i="2" s="1"/>
  <c r="J303" i="2"/>
  <c r="K303" i="2" s="1"/>
  <c r="J302" i="2"/>
  <c r="K302" i="2" s="1"/>
  <c r="J301" i="2"/>
  <c r="K301" i="2" s="1"/>
  <c r="J300" i="2"/>
  <c r="K300" i="2" s="1"/>
  <c r="J299" i="2"/>
  <c r="K299" i="2" s="1"/>
  <c r="J298" i="2"/>
  <c r="K298" i="2" s="1"/>
  <c r="J297" i="2"/>
  <c r="K297" i="2" s="1"/>
  <c r="J296" i="2"/>
  <c r="K296" i="2" s="1"/>
  <c r="J295" i="2"/>
  <c r="K295" i="2" s="1"/>
  <c r="J294" i="2"/>
  <c r="K294" i="2" s="1"/>
  <c r="J293" i="2"/>
  <c r="K293" i="2" s="1"/>
  <c r="J292" i="2"/>
  <c r="K292" i="2" s="1"/>
  <c r="J291" i="2"/>
  <c r="K291" i="2" s="1"/>
  <c r="J290" i="2"/>
  <c r="K290" i="2" s="1"/>
  <c r="J289" i="2"/>
  <c r="K289" i="2" s="1"/>
  <c r="J288" i="2"/>
  <c r="K288" i="2" s="1"/>
  <c r="J287" i="2"/>
  <c r="K287" i="2" s="1"/>
  <c r="J286" i="2"/>
  <c r="K286" i="2" s="1"/>
  <c r="J285" i="2"/>
  <c r="K285" i="2" s="1"/>
  <c r="J284" i="2"/>
  <c r="K284" i="2" s="1"/>
  <c r="J283" i="2"/>
  <c r="K283" i="2" s="1"/>
  <c r="J282" i="2"/>
  <c r="K282" i="2" s="1"/>
  <c r="J281" i="2"/>
  <c r="K281" i="2" s="1"/>
  <c r="J280" i="2"/>
  <c r="K280" i="2" s="1"/>
  <c r="J279" i="2"/>
  <c r="K279" i="2" s="1"/>
  <c r="J278" i="2"/>
  <c r="K278" i="2" s="1"/>
  <c r="J277" i="2"/>
  <c r="K277" i="2" s="1"/>
  <c r="J276" i="2"/>
  <c r="K276" i="2" s="1"/>
  <c r="J275" i="2"/>
  <c r="K275" i="2" s="1"/>
  <c r="J274" i="2"/>
  <c r="K274" i="2" s="1"/>
  <c r="J273" i="2"/>
  <c r="K273" i="2" s="1"/>
  <c r="J272" i="2"/>
  <c r="K272" i="2" s="1"/>
  <c r="J271" i="2"/>
  <c r="K271" i="2" s="1"/>
  <c r="J270" i="2"/>
  <c r="K270" i="2" s="1"/>
  <c r="J269" i="2"/>
  <c r="K269" i="2" s="1"/>
  <c r="J268" i="2"/>
  <c r="K268" i="2" s="1"/>
  <c r="J267" i="2"/>
  <c r="K267" i="2" s="1"/>
  <c r="J266" i="2"/>
  <c r="K266" i="2" s="1"/>
  <c r="J265" i="2"/>
  <c r="K265" i="2" s="1"/>
  <c r="J264" i="2"/>
  <c r="K264" i="2" s="1"/>
  <c r="J263" i="2"/>
  <c r="K263" i="2" s="1"/>
  <c r="J262" i="2"/>
  <c r="K262" i="2" s="1"/>
  <c r="J261" i="2"/>
  <c r="K261" i="2" s="1"/>
  <c r="J260" i="2"/>
  <c r="K260" i="2" s="1"/>
  <c r="J259" i="2"/>
  <c r="K259" i="2" s="1"/>
  <c r="J258" i="2"/>
  <c r="K258" i="2" s="1"/>
  <c r="J257" i="2"/>
  <c r="K257" i="2" s="1"/>
  <c r="J256" i="2"/>
  <c r="K256" i="2" s="1"/>
  <c r="J255" i="2"/>
  <c r="K255" i="2" s="1"/>
  <c r="J254" i="2"/>
  <c r="K254" i="2" s="1"/>
  <c r="J253" i="2"/>
  <c r="K253" i="2" s="1"/>
  <c r="J252" i="2"/>
  <c r="K252" i="2" s="1"/>
  <c r="J251" i="2"/>
  <c r="K251" i="2" s="1"/>
  <c r="J250" i="2"/>
  <c r="K250" i="2" s="1"/>
  <c r="J249" i="2"/>
  <c r="K249" i="2" s="1"/>
  <c r="J248" i="2"/>
  <c r="K248" i="2" s="1"/>
  <c r="J247" i="2"/>
  <c r="K247" i="2" s="1"/>
  <c r="J246" i="2"/>
  <c r="K246" i="2" s="1"/>
  <c r="J245" i="2"/>
  <c r="K245" i="2" s="1"/>
  <c r="J244" i="2"/>
  <c r="K244" i="2" s="1"/>
  <c r="J243" i="2"/>
  <c r="K243" i="2" s="1"/>
  <c r="J242" i="2"/>
  <c r="K242" i="2" s="1"/>
  <c r="J241" i="2"/>
  <c r="K241" i="2" s="1"/>
  <c r="J240" i="2"/>
  <c r="K240" i="2" s="1"/>
  <c r="J239" i="2"/>
  <c r="K239" i="2" s="1"/>
  <c r="J238" i="2"/>
  <c r="K238" i="2" s="1"/>
  <c r="J237" i="2"/>
  <c r="K237" i="2" s="1"/>
  <c r="J236" i="2"/>
  <c r="K236" i="2" s="1"/>
  <c r="J235" i="2"/>
  <c r="K235" i="2" s="1"/>
  <c r="J234" i="2"/>
  <c r="K234" i="2" s="1"/>
  <c r="J233" i="2"/>
  <c r="K233" i="2" s="1"/>
  <c r="J232" i="2"/>
  <c r="K232" i="2" s="1"/>
  <c r="J231" i="2"/>
  <c r="K231" i="2" s="1"/>
  <c r="J230" i="2"/>
  <c r="K230" i="2" s="1"/>
  <c r="J229" i="2"/>
  <c r="K229" i="2" s="1"/>
  <c r="J228" i="2"/>
  <c r="K228" i="2" s="1"/>
  <c r="J227" i="2"/>
  <c r="K227" i="2" s="1"/>
  <c r="J226" i="2"/>
  <c r="K226" i="2" s="1"/>
  <c r="J225" i="2"/>
  <c r="K225" i="2" s="1"/>
  <c r="J224" i="2"/>
  <c r="K224" i="2" s="1"/>
  <c r="J223" i="2"/>
  <c r="K223" i="2" s="1"/>
  <c r="J222" i="2"/>
  <c r="K222" i="2" s="1"/>
  <c r="J221" i="2"/>
  <c r="K221" i="2" s="1"/>
  <c r="J220" i="2"/>
  <c r="K220" i="2" s="1"/>
  <c r="J219" i="2"/>
  <c r="K219" i="2" s="1"/>
  <c r="J218" i="2"/>
  <c r="K218" i="2" s="1"/>
  <c r="J217" i="2"/>
  <c r="K217" i="2" s="1"/>
  <c r="J216" i="2"/>
  <c r="K216" i="2" s="1"/>
  <c r="J215" i="2"/>
  <c r="K215" i="2" s="1"/>
  <c r="J214" i="2"/>
  <c r="K214" i="2" s="1"/>
  <c r="J213" i="2"/>
  <c r="K213" i="2" s="1"/>
  <c r="J212" i="2"/>
  <c r="K212" i="2" s="1"/>
  <c r="J211" i="2"/>
  <c r="K211" i="2" s="1"/>
  <c r="J210" i="2"/>
  <c r="K210" i="2" s="1"/>
  <c r="J209" i="2"/>
  <c r="K209" i="2" s="1"/>
  <c r="J208" i="2"/>
  <c r="K208" i="2" s="1"/>
  <c r="J207" i="2"/>
  <c r="K207" i="2" s="1"/>
  <c r="J206" i="2"/>
  <c r="K206" i="2" s="1"/>
  <c r="J205" i="2"/>
  <c r="K205" i="2" s="1"/>
  <c r="J204" i="2"/>
  <c r="K204" i="2" s="1"/>
  <c r="J203" i="2"/>
  <c r="K203" i="2" s="1"/>
  <c r="J202" i="2"/>
  <c r="K202" i="2" s="1"/>
  <c r="J201" i="2"/>
  <c r="K201" i="2" s="1"/>
  <c r="J200" i="2"/>
  <c r="K200" i="2" s="1"/>
  <c r="J199" i="2"/>
  <c r="K199" i="2" s="1"/>
  <c r="J198" i="2"/>
  <c r="K198" i="2" s="1"/>
  <c r="J197" i="2"/>
  <c r="K197" i="2" s="1"/>
  <c r="J196" i="2"/>
  <c r="K196" i="2" s="1"/>
  <c r="J195" i="2"/>
  <c r="K195" i="2" s="1"/>
  <c r="J194" i="2"/>
  <c r="K194" i="2" s="1"/>
  <c r="J193" i="2"/>
  <c r="K193" i="2" s="1"/>
  <c r="J192" i="2"/>
  <c r="K192" i="2" s="1"/>
  <c r="J191" i="2"/>
  <c r="K191" i="2" s="1"/>
  <c r="J190" i="2"/>
  <c r="K190" i="2" s="1"/>
  <c r="J189" i="2"/>
  <c r="K189" i="2" s="1"/>
  <c r="J188" i="2"/>
  <c r="K188" i="2" s="1"/>
  <c r="J187" i="2"/>
  <c r="K187" i="2" s="1"/>
  <c r="J186" i="2"/>
  <c r="K186" i="2" s="1"/>
  <c r="J185" i="2"/>
  <c r="K185" i="2" s="1"/>
  <c r="J184" i="2"/>
  <c r="K184" i="2" s="1"/>
  <c r="J183" i="2"/>
  <c r="K183" i="2" s="1"/>
  <c r="J182" i="2"/>
  <c r="K182" i="2" s="1"/>
  <c r="J181" i="2"/>
  <c r="K181" i="2" s="1"/>
  <c r="J180" i="2"/>
  <c r="K180" i="2" s="1"/>
  <c r="J179" i="2"/>
  <c r="K179" i="2" s="1"/>
  <c r="J178" i="2"/>
  <c r="K178" i="2" s="1"/>
  <c r="J177" i="2"/>
  <c r="K177" i="2" s="1"/>
  <c r="J176" i="2"/>
  <c r="K176" i="2" s="1"/>
  <c r="J175" i="2"/>
  <c r="K175" i="2" s="1"/>
  <c r="J174" i="2"/>
  <c r="K174" i="2" s="1"/>
  <c r="J173" i="2"/>
  <c r="K173" i="2" s="1"/>
  <c r="J172" i="2"/>
  <c r="K172" i="2" s="1"/>
  <c r="J171" i="2"/>
  <c r="K171" i="2" s="1"/>
  <c r="J170" i="2"/>
  <c r="K170" i="2" s="1"/>
  <c r="J169" i="2"/>
  <c r="K169" i="2" s="1"/>
  <c r="J168" i="2"/>
  <c r="K168" i="2" s="1"/>
  <c r="J167" i="2"/>
  <c r="K167" i="2" s="1"/>
  <c r="J166" i="2"/>
  <c r="K166" i="2" s="1"/>
  <c r="J165" i="2"/>
  <c r="K165" i="2" s="1"/>
  <c r="J164" i="2"/>
  <c r="K164" i="2" s="1"/>
  <c r="J163" i="2"/>
  <c r="K163" i="2" s="1"/>
  <c r="J162" i="2"/>
  <c r="K162" i="2" s="1"/>
  <c r="J161" i="2"/>
  <c r="K161" i="2" s="1"/>
  <c r="J160" i="2"/>
  <c r="K160" i="2" s="1"/>
  <c r="J159" i="2"/>
  <c r="K159" i="2" s="1"/>
  <c r="J158" i="2"/>
  <c r="K158" i="2" s="1"/>
  <c r="J157" i="2"/>
  <c r="K157" i="2" s="1"/>
  <c r="J156" i="2"/>
  <c r="K156" i="2" s="1"/>
  <c r="J155" i="2"/>
  <c r="K155" i="2" s="1"/>
  <c r="J154" i="2"/>
  <c r="K154" i="2" s="1"/>
  <c r="J153" i="2"/>
  <c r="K153" i="2" s="1"/>
  <c r="J152" i="2"/>
  <c r="K152" i="2" s="1"/>
  <c r="J151" i="2"/>
  <c r="K151" i="2" s="1"/>
  <c r="J150" i="2"/>
  <c r="K150" i="2" s="1"/>
  <c r="J149" i="2"/>
  <c r="K149" i="2" s="1"/>
  <c r="J148" i="2"/>
  <c r="K148" i="2" s="1"/>
  <c r="J147" i="2"/>
  <c r="K147" i="2" s="1"/>
  <c r="J146" i="2"/>
  <c r="K146" i="2" s="1"/>
  <c r="J145" i="2"/>
  <c r="K145" i="2" s="1"/>
  <c r="J144" i="2"/>
  <c r="K144" i="2" s="1"/>
  <c r="J143" i="2"/>
  <c r="K143" i="2" s="1"/>
  <c r="J142" i="2"/>
  <c r="K142" i="2" s="1"/>
  <c r="J141" i="2"/>
  <c r="K141" i="2" s="1"/>
  <c r="J140" i="2"/>
  <c r="K140" i="2" s="1"/>
  <c r="J139" i="2"/>
  <c r="K139" i="2" s="1"/>
  <c r="J138" i="2"/>
  <c r="K138" i="2" s="1"/>
  <c r="J137" i="2"/>
  <c r="K137" i="2" s="1"/>
  <c r="O134" i="2"/>
  <c r="J136" i="2"/>
  <c r="K136" i="2" s="1"/>
  <c r="O133" i="2"/>
  <c r="J135" i="2"/>
  <c r="K135" i="2" s="1"/>
  <c r="O132" i="2"/>
  <c r="J134" i="2"/>
  <c r="K134" i="2" s="1"/>
  <c r="O131" i="2"/>
  <c r="J133" i="2"/>
  <c r="K133" i="2" s="1"/>
  <c r="O130" i="2"/>
  <c r="J132" i="2"/>
  <c r="K132" i="2" s="1"/>
  <c r="O129" i="2"/>
  <c r="J131" i="2"/>
  <c r="K131" i="2" s="1"/>
  <c r="O128" i="2"/>
  <c r="J130" i="2"/>
  <c r="K130" i="2" s="1"/>
  <c r="O127" i="2"/>
  <c r="J129" i="2"/>
  <c r="K129" i="2" s="1"/>
  <c r="O126" i="2"/>
  <c r="J128" i="2"/>
  <c r="K128" i="2" s="1"/>
  <c r="O125" i="2"/>
  <c r="J127" i="2"/>
  <c r="K127" i="2" s="1"/>
  <c r="O124" i="2"/>
  <c r="J126" i="2"/>
  <c r="K126" i="2" s="1"/>
  <c r="O123" i="2"/>
  <c r="J125" i="2"/>
  <c r="K125" i="2" s="1"/>
  <c r="O122" i="2"/>
  <c r="J124" i="2"/>
  <c r="K124" i="2" s="1"/>
  <c r="O121" i="2"/>
  <c r="J123" i="2"/>
  <c r="K123" i="2" s="1"/>
  <c r="O120" i="2"/>
  <c r="J122" i="2"/>
  <c r="K122" i="2" s="1"/>
  <c r="O119" i="2"/>
  <c r="J121" i="2"/>
  <c r="K121" i="2" s="1"/>
  <c r="O118" i="2"/>
  <c r="J120" i="2"/>
  <c r="K120" i="2" s="1"/>
  <c r="O117" i="2"/>
  <c r="J119" i="2"/>
  <c r="K119" i="2" s="1"/>
  <c r="O116" i="2"/>
  <c r="J118" i="2"/>
  <c r="K118" i="2" s="1"/>
  <c r="O115" i="2"/>
  <c r="J117" i="2"/>
  <c r="K117" i="2" s="1"/>
  <c r="O114" i="2"/>
  <c r="J116" i="2"/>
  <c r="K116" i="2" s="1"/>
  <c r="O113" i="2"/>
  <c r="J115" i="2"/>
  <c r="K115" i="2" s="1"/>
  <c r="O112" i="2"/>
  <c r="J114" i="2"/>
  <c r="K114" i="2" s="1"/>
  <c r="O111" i="2"/>
  <c r="J113" i="2"/>
  <c r="K113" i="2" s="1"/>
  <c r="O110" i="2"/>
  <c r="J112" i="2"/>
  <c r="K112" i="2" s="1"/>
  <c r="O109" i="2"/>
  <c r="J111" i="2"/>
  <c r="K111" i="2" s="1"/>
  <c r="O108" i="2"/>
  <c r="J110" i="2"/>
  <c r="K110" i="2" s="1"/>
  <c r="O107" i="2"/>
  <c r="J109" i="2"/>
  <c r="K109" i="2" s="1"/>
  <c r="O106" i="2"/>
  <c r="J108" i="2"/>
  <c r="K108" i="2" s="1"/>
  <c r="O105" i="2"/>
  <c r="J107" i="2"/>
  <c r="K107" i="2" s="1"/>
  <c r="O104" i="2"/>
  <c r="J106" i="2"/>
  <c r="K106" i="2" s="1"/>
  <c r="O103" i="2"/>
  <c r="J105" i="2"/>
  <c r="K105" i="2" s="1"/>
  <c r="O102" i="2"/>
  <c r="J104" i="2"/>
  <c r="K104" i="2" s="1"/>
  <c r="O101" i="2"/>
  <c r="J103" i="2"/>
  <c r="K103" i="2" s="1"/>
  <c r="O100" i="2"/>
  <c r="J102" i="2"/>
  <c r="K102" i="2" s="1"/>
  <c r="O99" i="2"/>
  <c r="J101" i="2"/>
  <c r="K101" i="2" s="1"/>
  <c r="O98" i="2"/>
  <c r="J100" i="2"/>
  <c r="K100" i="2" s="1"/>
  <c r="O97" i="2"/>
  <c r="J99" i="2"/>
  <c r="K99" i="2" s="1"/>
  <c r="O96" i="2"/>
  <c r="J98" i="2"/>
  <c r="K98" i="2" s="1"/>
  <c r="O95" i="2"/>
  <c r="J97" i="2"/>
  <c r="K97" i="2" s="1"/>
  <c r="O94" i="2"/>
  <c r="J96" i="2"/>
  <c r="K96" i="2" s="1"/>
  <c r="O93" i="2"/>
  <c r="J95" i="2"/>
  <c r="K95" i="2" s="1"/>
  <c r="O92" i="2"/>
  <c r="J94" i="2"/>
  <c r="K94" i="2" s="1"/>
  <c r="O91" i="2"/>
  <c r="J93" i="2"/>
  <c r="K93" i="2" s="1"/>
  <c r="O90" i="2"/>
  <c r="J92" i="2"/>
  <c r="K92" i="2" s="1"/>
  <c r="O89" i="2"/>
  <c r="J91" i="2"/>
  <c r="K91" i="2" s="1"/>
  <c r="O88" i="2"/>
  <c r="J90" i="2"/>
  <c r="K90" i="2" s="1"/>
  <c r="O87" i="2"/>
  <c r="J89" i="2"/>
  <c r="K89" i="2" s="1"/>
  <c r="O86" i="2"/>
  <c r="J88" i="2"/>
  <c r="K88" i="2" s="1"/>
  <c r="O85" i="2"/>
  <c r="J87" i="2"/>
  <c r="K87" i="2" s="1"/>
  <c r="O84" i="2"/>
  <c r="J86" i="2"/>
  <c r="K86" i="2" s="1"/>
  <c r="O83" i="2"/>
  <c r="J85" i="2"/>
  <c r="K85" i="2" s="1"/>
  <c r="O82" i="2"/>
  <c r="J84" i="2"/>
  <c r="K84" i="2" s="1"/>
  <c r="O81" i="2"/>
  <c r="J83" i="2"/>
  <c r="K83" i="2" s="1"/>
  <c r="O80" i="2"/>
  <c r="J82" i="2"/>
  <c r="K82" i="2" s="1"/>
  <c r="O79" i="2"/>
  <c r="J81" i="2"/>
  <c r="K81" i="2" s="1"/>
  <c r="O78" i="2"/>
  <c r="J80" i="2"/>
  <c r="K80" i="2" s="1"/>
  <c r="O77" i="2"/>
  <c r="J79" i="2"/>
  <c r="K79" i="2" s="1"/>
  <c r="O76" i="2"/>
  <c r="J78" i="2"/>
  <c r="K78" i="2" s="1"/>
  <c r="O75" i="2"/>
  <c r="J77" i="2"/>
  <c r="K77" i="2" s="1"/>
  <c r="O74" i="2"/>
  <c r="J76" i="2"/>
  <c r="K76" i="2" s="1"/>
  <c r="O73" i="2"/>
  <c r="J75" i="2"/>
  <c r="K75" i="2" s="1"/>
  <c r="O72" i="2"/>
  <c r="J74" i="2"/>
  <c r="K74" i="2" s="1"/>
  <c r="O71" i="2"/>
  <c r="J73" i="2"/>
  <c r="K73" i="2" s="1"/>
  <c r="O70" i="2"/>
  <c r="J72" i="2"/>
  <c r="K72" i="2" s="1"/>
  <c r="O69" i="2"/>
  <c r="J71" i="2"/>
  <c r="K71" i="2" s="1"/>
  <c r="O68" i="2"/>
  <c r="J70" i="2"/>
  <c r="K70" i="2" s="1"/>
  <c r="O67" i="2"/>
  <c r="J69" i="2"/>
  <c r="K69" i="2" s="1"/>
  <c r="O66" i="2"/>
  <c r="J68" i="2"/>
  <c r="K68" i="2" s="1"/>
  <c r="O65" i="2"/>
  <c r="J67" i="2"/>
  <c r="K67" i="2" s="1"/>
  <c r="O64" i="2"/>
  <c r="J66" i="2"/>
  <c r="K66" i="2" s="1"/>
  <c r="O63" i="2"/>
  <c r="J65" i="2"/>
  <c r="K65" i="2" s="1"/>
  <c r="O62" i="2"/>
  <c r="J64" i="2"/>
  <c r="K64" i="2" s="1"/>
  <c r="O61" i="2"/>
  <c r="J63" i="2"/>
  <c r="K63" i="2" s="1"/>
  <c r="O60" i="2"/>
  <c r="J62" i="2"/>
  <c r="K62" i="2" s="1"/>
  <c r="O59" i="2"/>
  <c r="J61" i="2"/>
  <c r="K61" i="2" s="1"/>
  <c r="O58" i="2"/>
  <c r="J60" i="2"/>
  <c r="K60" i="2" s="1"/>
  <c r="O57" i="2"/>
  <c r="J59" i="2"/>
  <c r="K59" i="2" s="1"/>
  <c r="O56" i="2"/>
  <c r="J58" i="2"/>
  <c r="K58" i="2" s="1"/>
  <c r="O55" i="2"/>
  <c r="J57" i="2"/>
  <c r="K57" i="2" s="1"/>
  <c r="O54" i="2"/>
  <c r="J56" i="2"/>
  <c r="K56" i="2" s="1"/>
  <c r="O53" i="2"/>
  <c r="J55" i="2"/>
  <c r="K55" i="2" s="1"/>
  <c r="O52" i="2"/>
  <c r="J54" i="2"/>
  <c r="K54" i="2" s="1"/>
  <c r="O51" i="2"/>
  <c r="J53" i="2"/>
  <c r="K53" i="2" s="1"/>
  <c r="O50" i="2"/>
  <c r="J52" i="2"/>
  <c r="K52" i="2" s="1"/>
  <c r="O49" i="2"/>
  <c r="J51" i="2"/>
  <c r="K51" i="2" s="1"/>
  <c r="O48" i="2"/>
  <c r="J50" i="2"/>
  <c r="K50" i="2" s="1"/>
  <c r="O47" i="2"/>
  <c r="J49" i="2"/>
  <c r="K49" i="2" s="1"/>
  <c r="O46" i="2"/>
  <c r="J48" i="2"/>
  <c r="K48" i="2" s="1"/>
  <c r="O45" i="2"/>
  <c r="J47" i="2"/>
  <c r="K47" i="2" s="1"/>
  <c r="O44" i="2"/>
  <c r="J46" i="2"/>
  <c r="K46" i="2" s="1"/>
  <c r="O43" i="2"/>
  <c r="J45" i="2"/>
  <c r="K45" i="2" s="1"/>
  <c r="O42" i="2"/>
  <c r="J44" i="2"/>
  <c r="K44" i="2" s="1"/>
  <c r="O41" i="2"/>
  <c r="J43" i="2"/>
  <c r="K43" i="2" s="1"/>
  <c r="O40" i="2"/>
  <c r="J42" i="2"/>
  <c r="K42" i="2" s="1"/>
  <c r="O39" i="2"/>
  <c r="J41" i="2"/>
  <c r="K41" i="2" s="1"/>
  <c r="O38" i="2"/>
  <c r="J40" i="2"/>
  <c r="K40" i="2" s="1"/>
  <c r="O37" i="2"/>
  <c r="J39" i="2"/>
  <c r="K39" i="2" s="1"/>
  <c r="O36" i="2"/>
  <c r="J38" i="2"/>
  <c r="K38" i="2" s="1"/>
  <c r="O35" i="2"/>
  <c r="J37" i="2"/>
  <c r="K37" i="2" s="1"/>
  <c r="O34" i="2"/>
  <c r="J36" i="2"/>
  <c r="K36" i="2" s="1"/>
  <c r="O33" i="2"/>
  <c r="J35" i="2"/>
  <c r="K35" i="2" s="1"/>
  <c r="O32" i="2"/>
  <c r="J34" i="2"/>
  <c r="K34" i="2" s="1"/>
  <c r="O31" i="2"/>
  <c r="J33" i="2"/>
  <c r="K33" i="2" s="1"/>
  <c r="O30" i="2"/>
  <c r="J32" i="2"/>
  <c r="K32" i="2" s="1"/>
  <c r="O29" i="2"/>
  <c r="J31" i="2"/>
  <c r="K31" i="2" s="1"/>
  <c r="O28" i="2"/>
  <c r="J30" i="2"/>
  <c r="K30" i="2" s="1"/>
  <c r="O27" i="2"/>
  <c r="J29" i="2"/>
  <c r="K29" i="2" s="1"/>
  <c r="O26" i="2"/>
  <c r="J28" i="2"/>
  <c r="K28" i="2" s="1"/>
  <c r="O25" i="2"/>
  <c r="J27" i="2"/>
  <c r="K27" i="2" s="1"/>
  <c r="O24" i="2"/>
  <c r="J26" i="2"/>
  <c r="K26" i="2" s="1"/>
  <c r="O23" i="2"/>
  <c r="J25" i="2"/>
  <c r="K25" i="2" s="1"/>
  <c r="O22" i="2"/>
  <c r="J24" i="2"/>
  <c r="K24" i="2" s="1"/>
  <c r="O21" i="2"/>
  <c r="J23" i="2"/>
  <c r="K23" i="2" s="1"/>
  <c r="O20" i="2"/>
  <c r="J22" i="2"/>
  <c r="K22" i="2" s="1"/>
  <c r="O19" i="2"/>
  <c r="J21" i="2"/>
  <c r="K21" i="2" s="1"/>
  <c r="O18" i="2"/>
  <c r="J20" i="2"/>
  <c r="K20" i="2" s="1"/>
  <c r="O17" i="2"/>
  <c r="J19" i="2"/>
  <c r="K19" i="2" s="1"/>
  <c r="O16" i="2"/>
  <c r="J18" i="2"/>
  <c r="K18" i="2" s="1"/>
  <c r="O15" i="2"/>
  <c r="J17" i="2"/>
  <c r="K17" i="2" s="1"/>
  <c r="O14" i="2"/>
  <c r="J16" i="2"/>
  <c r="K16" i="2" s="1"/>
  <c r="O13" i="2"/>
  <c r="J15" i="2"/>
  <c r="K15" i="2" s="1"/>
  <c r="O12" i="2"/>
  <c r="J14" i="2"/>
  <c r="K14" i="2" s="1"/>
  <c r="O11" i="2"/>
  <c r="J13" i="2"/>
  <c r="K13" i="2" s="1"/>
  <c r="O10" i="2"/>
  <c r="J12" i="2"/>
  <c r="K12" i="2" s="1"/>
  <c r="O9" i="2"/>
  <c r="J11" i="2"/>
  <c r="K11" i="2" s="1"/>
  <c r="O8" i="2"/>
  <c r="J10" i="2"/>
  <c r="K10" i="2" s="1"/>
  <c r="O7" i="2"/>
  <c r="J9" i="2"/>
  <c r="K9" i="2" s="1"/>
  <c r="O6" i="2"/>
  <c r="J8" i="2"/>
  <c r="K8" i="2" s="1"/>
  <c r="O5" i="2"/>
  <c r="J7" i="2"/>
  <c r="K7" i="2" s="1"/>
  <c r="O4" i="2"/>
  <c r="J6" i="2"/>
  <c r="K6" i="2" s="1"/>
  <c r="J5" i="2"/>
  <c r="K5" i="2" s="1"/>
  <c r="J4" i="2"/>
  <c r="K4" i="2" s="1"/>
  <c r="AD12" i="32" l="1"/>
  <c r="AD214" i="32"/>
  <c r="AE214" i="31"/>
  <c r="AE12" i="31"/>
  <c r="AC214" i="27"/>
  <c r="AC12" i="27"/>
  <c r="AC214" i="24"/>
  <c r="AC12" i="24"/>
  <c r="AB214" i="24"/>
  <c r="AB12" i="24"/>
  <c r="AD214" i="20"/>
  <c r="AD12" i="20"/>
  <c r="AC22" i="33"/>
  <c r="Y126" i="33"/>
  <c r="AA68" i="33"/>
  <c r="AA211" i="32"/>
  <c r="AA209" i="32" s="1"/>
  <c r="AC75" i="33"/>
  <c r="AC333" i="33" s="1"/>
  <c r="Z226" i="33"/>
  <c r="AC99" i="33"/>
  <c r="AB143" i="33"/>
  <c r="AD76" i="33"/>
  <c r="Z230" i="33"/>
  <c r="Z222" i="33"/>
  <c r="AA211" i="20"/>
  <c r="AA205" i="20" s="1"/>
  <c r="AD279" i="33"/>
  <c r="Z144" i="33"/>
  <c r="Z104" i="33"/>
  <c r="X102" i="33"/>
  <c r="Y103" i="33"/>
  <c r="X137" i="33"/>
  <c r="Y205" i="33"/>
  <c r="Y117" i="33"/>
  <c r="X125" i="33"/>
  <c r="AB123" i="33"/>
  <c r="X146" i="33"/>
  <c r="AB122" i="33"/>
  <c r="Z206" i="33"/>
  <c r="Y207" i="33"/>
  <c r="AB62" i="33"/>
  <c r="Z205" i="20"/>
  <c r="Z103" i="20" s="1"/>
  <c r="AA144" i="20"/>
  <c r="AB261" i="20"/>
  <c r="AB260" i="20" s="1"/>
  <c r="AB206" i="20" s="1"/>
  <c r="AB237" i="20"/>
  <c r="AB213" i="20"/>
  <c r="AB211" i="20" s="1"/>
  <c r="AC122" i="20"/>
  <c r="AC213" i="20" s="1"/>
  <c r="AB68" i="20"/>
  <c r="AB63" i="33"/>
  <c r="AA144" i="32"/>
  <c r="Z205" i="32"/>
  <c r="Z103" i="32" s="1"/>
  <c r="Z102" i="32" s="1"/>
  <c r="Y124" i="32"/>
  <c r="Y127" i="32" s="1"/>
  <c r="AB237" i="32"/>
  <c r="AB213" i="32"/>
  <c r="AB212" i="32" s="1"/>
  <c r="AC63" i="32"/>
  <c r="AB261" i="32"/>
  <c r="AB260" i="32" s="1"/>
  <c r="AB206" i="32" s="1"/>
  <c r="AC122" i="32"/>
  <c r="AC213" i="32" s="1"/>
  <c r="AB68" i="32"/>
  <c r="AA104" i="32"/>
  <c r="Z126" i="32"/>
  <c r="Y146" i="20"/>
  <c r="X124" i="20"/>
  <c r="X124" i="33" s="1"/>
  <c r="W127" i="20"/>
  <c r="W127" i="33" s="1"/>
  <c r="Y125" i="20"/>
  <c r="AL84" i="31"/>
  <c r="AK92" i="31"/>
  <c r="AL93" i="31" s="1"/>
  <c r="AL85" i="31"/>
  <c r="AM85" i="24"/>
  <c r="AC63" i="20"/>
  <c r="AA104" i="20"/>
  <c r="Z126" i="20"/>
  <c r="Y137" i="20"/>
  <c r="Y102" i="20"/>
  <c r="Z117" i="20"/>
  <c r="AA21" i="33"/>
  <c r="AH77" i="33"/>
  <c r="AJ142" i="33"/>
  <c r="AJ96" i="33"/>
  <c r="AJ83" i="33"/>
  <c r="AJ4" i="33"/>
  <c r="AK2" i="33"/>
  <c r="AK1" i="33"/>
  <c r="AJ3" i="33"/>
  <c r="AI141" i="33"/>
  <c r="AI78" i="33"/>
  <c r="AI95" i="33"/>
  <c r="AI82" i="33"/>
  <c r="AD223" i="33"/>
  <c r="AD227" i="33"/>
  <c r="AD231" i="33"/>
  <c r="AA207" i="32"/>
  <c r="AA117" i="32" s="1"/>
  <c r="AA137" i="32" s="1"/>
  <c r="Z137" i="32"/>
  <c r="Y146" i="27"/>
  <c r="AG167" i="32"/>
  <c r="AG163" i="32"/>
  <c r="AG164" i="32"/>
  <c r="AG141" i="32"/>
  <c r="AG82" i="32"/>
  <c r="AG78" i="32"/>
  <c r="AG95" i="32"/>
  <c r="AH3" i="32"/>
  <c r="AI1" i="32"/>
  <c r="AE75" i="32"/>
  <c r="AE22" i="32" s="1"/>
  <c r="AE14" i="32" s="1"/>
  <c r="AE99" i="32"/>
  <c r="AF165" i="32"/>
  <c r="AF279" i="32"/>
  <c r="AD358" i="32"/>
  <c r="AD308" i="32"/>
  <c r="AD143" i="32"/>
  <c r="AD123" i="32"/>
  <c r="AD62" i="32"/>
  <c r="AE354" i="32"/>
  <c r="AE172" i="32"/>
  <c r="AE166" i="32"/>
  <c r="AE162" i="32" s="1"/>
  <c r="AB231" i="32"/>
  <c r="AB230" i="32" s="1"/>
  <c r="AB227" i="32"/>
  <c r="AB226" i="32" s="1"/>
  <c r="AB223" i="32"/>
  <c r="AB222" i="32" s="1"/>
  <c r="AC220" i="32"/>
  <c r="AJ92" i="32"/>
  <c r="AK93" i="32" s="1"/>
  <c r="AK84" i="32"/>
  <c r="AC311" i="32"/>
  <c r="AC310" i="32"/>
  <c r="AH142" i="32"/>
  <c r="AH96" i="32"/>
  <c r="AH4" i="32"/>
  <c r="AI2" i="32"/>
  <c r="AH83" i="32"/>
  <c r="AK85" i="32"/>
  <c r="AF77" i="32"/>
  <c r="AF76" i="32"/>
  <c r="AG279" i="31"/>
  <c r="AG165" i="31"/>
  <c r="AA125" i="31"/>
  <c r="AA124" i="31" s="1"/>
  <c r="AA127" i="31" s="1"/>
  <c r="AA102" i="31"/>
  <c r="AE358" i="31"/>
  <c r="AE308" i="31"/>
  <c r="AE143" i="31"/>
  <c r="AE123" i="31"/>
  <c r="AE122" i="31" s="1"/>
  <c r="AE62" i="31"/>
  <c r="AE63" i="31" s="1"/>
  <c r="AE68" i="31" s="1"/>
  <c r="AG142" i="31"/>
  <c r="AG83" i="31"/>
  <c r="AG4" i="31"/>
  <c r="AH2" i="31"/>
  <c r="AG96" i="31"/>
  <c r="AC223" i="31"/>
  <c r="AC222" i="31" s="1"/>
  <c r="AC231" i="31"/>
  <c r="AC230" i="31" s="1"/>
  <c r="AC227" i="31"/>
  <c r="AC226" i="31" s="1"/>
  <c r="AA146" i="31"/>
  <c r="AA137" i="31"/>
  <c r="AI3" i="31"/>
  <c r="AJ1" i="31"/>
  <c r="AF354" i="31"/>
  <c r="AF172" i="31"/>
  <c r="AF166" i="31"/>
  <c r="AF162" i="31" s="1"/>
  <c r="AH164" i="31"/>
  <c r="AH141" i="31"/>
  <c r="AH167" i="31"/>
  <c r="AH82" i="31"/>
  <c r="AH78" i="31"/>
  <c r="AH163" i="31"/>
  <c r="AH95" i="31"/>
  <c r="AC211" i="31"/>
  <c r="AC212" i="31"/>
  <c r="AC144" i="31" s="1"/>
  <c r="AD261" i="31"/>
  <c r="AD260" i="31" s="1"/>
  <c r="AD237" i="31"/>
  <c r="AD213" i="31"/>
  <c r="AB207" i="31"/>
  <c r="AB117" i="31" s="1"/>
  <c r="AC206" i="31"/>
  <c r="AC104" i="31" s="1"/>
  <c r="AC126" i="31" s="1"/>
  <c r="AD220" i="31"/>
  <c r="AF75" i="31"/>
  <c r="AF22" i="31" s="1"/>
  <c r="AF14" i="31" s="1"/>
  <c r="AF99" i="31"/>
  <c r="AB209" i="31"/>
  <c r="AB205" i="31"/>
  <c r="AB103" i="31" s="1"/>
  <c r="AD311" i="31"/>
  <c r="AD310" i="31"/>
  <c r="AG77" i="31"/>
  <c r="AG76" i="31"/>
  <c r="AC308" i="27"/>
  <c r="AC358" i="27"/>
  <c r="AC143" i="27"/>
  <c r="AC123" i="27"/>
  <c r="AC122" i="27" s="1"/>
  <c r="AC62" i="27"/>
  <c r="AC63" i="27" s="1"/>
  <c r="AC68" i="27" s="1"/>
  <c r="AK84" i="27"/>
  <c r="AJ92" i="27"/>
  <c r="AK93" i="27" s="1"/>
  <c r="AG142" i="27"/>
  <c r="AG83" i="27"/>
  <c r="AG96" i="27"/>
  <c r="AG4" i="27"/>
  <c r="AH2" i="27"/>
  <c r="AD172" i="27"/>
  <c r="AD354" i="27"/>
  <c r="AD166" i="27"/>
  <c r="AD162" i="27" s="1"/>
  <c r="Z207" i="27"/>
  <c r="Z117" i="27" s="1"/>
  <c r="AA212" i="27"/>
  <c r="AA144" i="27" s="1"/>
  <c r="AA211" i="27"/>
  <c r="AA223" i="27"/>
  <c r="AA222" i="27" s="1"/>
  <c r="AA231" i="27"/>
  <c r="AA230" i="27" s="1"/>
  <c r="AA227" i="27"/>
  <c r="AA226" i="27" s="1"/>
  <c r="AK85" i="27"/>
  <c r="AA206" i="27"/>
  <c r="AA104" i="27" s="1"/>
  <c r="AA126" i="27" s="1"/>
  <c r="Y125" i="27"/>
  <c r="Y124" i="27" s="1"/>
  <c r="Y127" i="27" s="1"/>
  <c r="Y102" i="27"/>
  <c r="AG3" i="27"/>
  <c r="AH1" i="27"/>
  <c r="AB220" i="27"/>
  <c r="AE77" i="27"/>
  <c r="AE76" i="27"/>
  <c r="AF164" i="27"/>
  <c r="AF141" i="27"/>
  <c r="AF95" i="27"/>
  <c r="AF163" i="27"/>
  <c r="AF167" i="27"/>
  <c r="AF78" i="27"/>
  <c r="AF82" i="27"/>
  <c r="AB237" i="27"/>
  <c r="AB261" i="27"/>
  <c r="AB260" i="27" s="1"/>
  <c r="AB213" i="27"/>
  <c r="AE165" i="27"/>
  <c r="AE279" i="27"/>
  <c r="AD75" i="27"/>
  <c r="AD22" i="27" s="1"/>
  <c r="AD14" i="27" s="1"/>
  <c r="AD99" i="27"/>
  <c r="Z209" i="27"/>
  <c r="Z205" i="27"/>
  <c r="Z103" i="27" s="1"/>
  <c r="AB311" i="27"/>
  <c r="AB310" i="27"/>
  <c r="AC308" i="24"/>
  <c r="AC358" i="24"/>
  <c r="AC143" i="24"/>
  <c r="AC62" i="24"/>
  <c r="AC63" i="24" s="1"/>
  <c r="AC68" i="24" s="1"/>
  <c r="AC123" i="24"/>
  <c r="AC122" i="24" s="1"/>
  <c r="AG142" i="24"/>
  <c r="AG96" i="24"/>
  <c r="AG83" i="24"/>
  <c r="AH2" i="24"/>
  <c r="AG4" i="24"/>
  <c r="AD354" i="24"/>
  <c r="AD172" i="24"/>
  <c r="AD166" i="24"/>
  <c r="AD162" i="24" s="1"/>
  <c r="AH1" i="24"/>
  <c r="AG3" i="24"/>
  <c r="AE77" i="24"/>
  <c r="AE76" i="24"/>
  <c r="AB237" i="24"/>
  <c r="AB261" i="24"/>
  <c r="AB260" i="24" s="1"/>
  <c r="AB213" i="24"/>
  <c r="AF164" i="24"/>
  <c r="AF167" i="24"/>
  <c r="AF95" i="24"/>
  <c r="AF141" i="24"/>
  <c r="AF163" i="24"/>
  <c r="AF82" i="24"/>
  <c r="AF78" i="24"/>
  <c r="AB220" i="24"/>
  <c r="AL92" i="24"/>
  <c r="AM93" i="24" s="1"/>
  <c r="AM84" i="24"/>
  <c r="AM92" i="24" s="1"/>
  <c r="AE165" i="24"/>
  <c r="AE279" i="24"/>
  <c r="AA206" i="24"/>
  <c r="AA104" i="24" s="1"/>
  <c r="AA126" i="24" s="1"/>
  <c r="Z207" i="24"/>
  <c r="Z117" i="24" s="1"/>
  <c r="AD99" i="24"/>
  <c r="AD75" i="24"/>
  <c r="AD22" i="24" s="1"/>
  <c r="AB311" i="24"/>
  <c r="AB310" i="24"/>
  <c r="AA231" i="24"/>
  <c r="AA230" i="24" s="1"/>
  <c r="AA227" i="24"/>
  <c r="AA226" i="24" s="1"/>
  <c r="AA223" i="24"/>
  <c r="AA222" i="24" s="1"/>
  <c r="AA212" i="24"/>
  <c r="AA144" i="24" s="1"/>
  <c r="AA211" i="24"/>
  <c r="Y125" i="24"/>
  <c r="Y124" i="24" s="1"/>
  <c r="Y127" i="24" s="1"/>
  <c r="Y102" i="24"/>
  <c r="Z205" i="24"/>
  <c r="Z103" i="24" s="1"/>
  <c r="Z209" i="24"/>
  <c r="Y146" i="24"/>
  <c r="Y137" i="24"/>
  <c r="AF165" i="20"/>
  <c r="AF279" i="20"/>
  <c r="AE354" i="20"/>
  <c r="AE166" i="20"/>
  <c r="AE162" i="20" s="1"/>
  <c r="AE172" i="20"/>
  <c r="AA207" i="20"/>
  <c r="AD358" i="20"/>
  <c r="AD308" i="20"/>
  <c r="AD143" i="20"/>
  <c r="AD123" i="20"/>
  <c r="AD62" i="20"/>
  <c r="AC311" i="20"/>
  <c r="AC310" i="20"/>
  <c r="AB227" i="20"/>
  <c r="AB226" i="20" s="1"/>
  <c r="AB231" i="20"/>
  <c r="AB230" i="20" s="1"/>
  <c r="AB223" i="20"/>
  <c r="AB222" i="20" s="1"/>
  <c r="AH3" i="20"/>
  <c r="AI1" i="20"/>
  <c r="AC220" i="20"/>
  <c r="AG167" i="20"/>
  <c r="AG164" i="20"/>
  <c r="AG141" i="20"/>
  <c r="AG82" i="20"/>
  <c r="AG163" i="20"/>
  <c r="AG95" i="20"/>
  <c r="AG78" i="20"/>
  <c r="AK92" i="20"/>
  <c r="AL93" i="20" s="1"/>
  <c r="AL84" i="20"/>
  <c r="AM85" i="20" s="1"/>
  <c r="AE75" i="20"/>
  <c r="AE22" i="20" s="1"/>
  <c r="AE14" i="20" s="1"/>
  <c r="AE99" i="20"/>
  <c r="AF77" i="20"/>
  <c r="AF76" i="20"/>
  <c r="AG96" i="20"/>
  <c r="AG83" i="20"/>
  <c r="AG4" i="20"/>
  <c r="AH2" i="20"/>
  <c r="AG142" i="20"/>
  <c r="R4" i="2"/>
  <c r="AB12" i="5"/>
  <c r="AA13" i="33"/>
  <c r="AA213" i="33" s="1"/>
  <c r="R3" i="2"/>
  <c r="R6" i="2" s="1"/>
  <c r="D17" i="2" s="1"/>
  <c r="AE214" i="32" l="1"/>
  <c r="AE12" i="32"/>
  <c r="AF214" i="31"/>
  <c r="AF12" i="31"/>
  <c r="AC12" i="33"/>
  <c r="AC212" i="33" s="1"/>
  <c r="AD214" i="27"/>
  <c r="AD12" i="27"/>
  <c r="AA230" i="33"/>
  <c r="AB12" i="33"/>
  <c r="AB212" i="33" s="1"/>
  <c r="AD22" i="33"/>
  <c r="AD14" i="24"/>
  <c r="AB212" i="20"/>
  <c r="AB144" i="20" s="1"/>
  <c r="AE214" i="20"/>
  <c r="AE12" i="20"/>
  <c r="AC143" i="33"/>
  <c r="AD99" i="33"/>
  <c r="AD75" i="33"/>
  <c r="AD333" i="33" s="1"/>
  <c r="AC261" i="20"/>
  <c r="AC260" i="20" s="1"/>
  <c r="AC206" i="20" s="1"/>
  <c r="AB68" i="33"/>
  <c r="AC261" i="32"/>
  <c r="AC260" i="32" s="1"/>
  <c r="AC206" i="32" s="1"/>
  <c r="AA205" i="32"/>
  <c r="AA103" i="32" s="1"/>
  <c r="AA102" i="32" s="1"/>
  <c r="AC237" i="32"/>
  <c r="AA222" i="33"/>
  <c r="AA226" i="33"/>
  <c r="AE76" i="33"/>
  <c r="AA209" i="20"/>
  <c r="AC237" i="20"/>
  <c r="AE279" i="33"/>
  <c r="Z126" i="33"/>
  <c r="Z125" i="32"/>
  <c r="Z124" i="32" s="1"/>
  <c r="Z127" i="32" s="1"/>
  <c r="Y137" i="33"/>
  <c r="AA144" i="33"/>
  <c r="Z205" i="33"/>
  <c r="Z103" i="33"/>
  <c r="Z117" i="33"/>
  <c r="AA206" i="33"/>
  <c r="Y102" i="33"/>
  <c r="Y146" i="33"/>
  <c r="Z207" i="33"/>
  <c r="AA104" i="33"/>
  <c r="AC123" i="33"/>
  <c r="AC122" i="33"/>
  <c r="AC62" i="33"/>
  <c r="AD122" i="20"/>
  <c r="AD237" i="20" s="1"/>
  <c r="Y124" i="20"/>
  <c r="Y124" i="33" s="1"/>
  <c r="Y125" i="33"/>
  <c r="AC68" i="20"/>
  <c r="AC63" i="33"/>
  <c r="AB144" i="32"/>
  <c r="AB211" i="32"/>
  <c r="AB209" i="32" s="1"/>
  <c r="AD63" i="32"/>
  <c r="AB104" i="32"/>
  <c r="AA126" i="32"/>
  <c r="AD122" i="32"/>
  <c r="AC68" i="32"/>
  <c r="Z146" i="20"/>
  <c r="X127" i="20"/>
  <c r="X127" i="33" s="1"/>
  <c r="Z102" i="20"/>
  <c r="AL85" i="32"/>
  <c r="AM85" i="31"/>
  <c r="AM84" i="31"/>
  <c r="AM92" i="31" s="1"/>
  <c r="AL92" i="31"/>
  <c r="AM93" i="31" s="1"/>
  <c r="AD63" i="20"/>
  <c r="AB104" i="20"/>
  <c r="AA126" i="20"/>
  <c r="Z125" i="20"/>
  <c r="Z137" i="20"/>
  <c r="AA117" i="20"/>
  <c r="AA103" i="20"/>
  <c r="AB21" i="33"/>
  <c r="AE231" i="33"/>
  <c r="AE223" i="33"/>
  <c r="AE227" i="33"/>
  <c r="AK142" i="33"/>
  <c r="AK96" i="33"/>
  <c r="AK83" i="33"/>
  <c r="AL2" i="33"/>
  <c r="AK4" i="33"/>
  <c r="AJ82" i="33"/>
  <c r="AJ95" i="33"/>
  <c r="AJ141" i="33"/>
  <c r="AJ78" i="33"/>
  <c r="AL1" i="33"/>
  <c r="AK3" i="33"/>
  <c r="AI77" i="33"/>
  <c r="AA146" i="32"/>
  <c r="AA207" i="24"/>
  <c r="AA117" i="24" s="1"/>
  <c r="AA146" i="24" s="1"/>
  <c r="AB207" i="32"/>
  <c r="AB117" i="32" s="1"/>
  <c r="AB146" i="32" s="1"/>
  <c r="AA207" i="27"/>
  <c r="AA117" i="27" s="1"/>
  <c r="AA137" i="27" s="1"/>
  <c r="AB207" i="20"/>
  <c r="AF75" i="32"/>
  <c r="AF22" i="32" s="1"/>
  <c r="AF14" i="32" s="1"/>
  <c r="AF99" i="32"/>
  <c r="AK92" i="32"/>
  <c r="AL93" i="32" s="1"/>
  <c r="AL84" i="32"/>
  <c r="AM85" i="32" s="1"/>
  <c r="AC211" i="32"/>
  <c r="AC212" i="32"/>
  <c r="AD311" i="32"/>
  <c r="AD310" i="32"/>
  <c r="AH163" i="32"/>
  <c r="AH164" i="32"/>
  <c r="AH167" i="32"/>
  <c r="AH78" i="32"/>
  <c r="AH141" i="32"/>
  <c r="AH95" i="32"/>
  <c r="AH82" i="32"/>
  <c r="AE358" i="32"/>
  <c r="AE308" i="32"/>
  <c r="AE123" i="32"/>
  <c r="AE62" i="32"/>
  <c r="AE143" i="32"/>
  <c r="AI3" i="32"/>
  <c r="AJ1" i="32"/>
  <c r="AG77" i="32"/>
  <c r="AG76" i="32"/>
  <c r="AF354" i="32"/>
  <c r="AF166" i="32"/>
  <c r="AF162" i="32" s="1"/>
  <c r="AF172" i="32"/>
  <c r="AI142" i="32"/>
  <c r="AI96" i="32"/>
  <c r="AJ2" i="32"/>
  <c r="AI83" i="32"/>
  <c r="AI4" i="32"/>
  <c r="AC231" i="32"/>
  <c r="AC230" i="32" s="1"/>
  <c r="AC227" i="32"/>
  <c r="AC226" i="32" s="1"/>
  <c r="AC223" i="32"/>
  <c r="AC222" i="32" s="1"/>
  <c r="AG165" i="32"/>
  <c r="AG279" i="32"/>
  <c r="AD220" i="32"/>
  <c r="AD206" i="31"/>
  <c r="AD104" i="31" s="1"/>
  <c r="AD126" i="31" s="1"/>
  <c r="AE237" i="31"/>
  <c r="AE261" i="31"/>
  <c r="AE260" i="31" s="1"/>
  <c r="AE213" i="31"/>
  <c r="AE311" i="31"/>
  <c r="AE310" i="31"/>
  <c r="AF308" i="31"/>
  <c r="AF358" i="31"/>
  <c r="AF143" i="31"/>
  <c r="AF123" i="31"/>
  <c r="AF122" i="31" s="1"/>
  <c r="AF62" i="31"/>
  <c r="AF63" i="31" s="1"/>
  <c r="AF68" i="31" s="1"/>
  <c r="AB125" i="31"/>
  <c r="AB124" i="31" s="1"/>
  <c r="AB127" i="31" s="1"/>
  <c r="AB102" i="31"/>
  <c r="AC207" i="31"/>
  <c r="AC117" i="31" s="1"/>
  <c r="AD223" i="31"/>
  <c r="AD222" i="31" s="1"/>
  <c r="AD231" i="31"/>
  <c r="AD230" i="31" s="1"/>
  <c r="AD227" i="31"/>
  <c r="AD226" i="31" s="1"/>
  <c r="AC205" i="31"/>
  <c r="AC103" i="31" s="1"/>
  <c r="AC209" i="31"/>
  <c r="AJ3" i="31"/>
  <c r="AK1" i="31"/>
  <c r="AH142" i="31"/>
  <c r="AI2" i="31"/>
  <c r="AH96" i="31"/>
  <c r="AH83" i="31"/>
  <c r="AH4" i="31"/>
  <c r="AG354" i="31"/>
  <c r="AG172" i="31"/>
  <c r="AG166" i="31"/>
  <c r="AG162" i="31" s="1"/>
  <c r="AD211" i="31"/>
  <c r="AD212" i="31"/>
  <c r="AD144" i="31" s="1"/>
  <c r="AG75" i="31"/>
  <c r="AG22" i="31" s="1"/>
  <c r="AG14" i="31" s="1"/>
  <c r="AG99" i="31"/>
  <c r="AI164" i="31"/>
  <c r="AI167" i="31"/>
  <c r="AI78" i="31"/>
  <c r="AI163" i="31"/>
  <c r="AI141" i="31"/>
  <c r="AI82" i="31"/>
  <c r="AI95" i="31"/>
  <c r="AB146" i="31"/>
  <c r="AB137" i="31"/>
  <c r="AH279" i="31"/>
  <c r="AH165" i="31"/>
  <c r="AE220" i="31"/>
  <c r="AH77" i="31"/>
  <c r="AH76" i="31"/>
  <c r="AE172" i="27"/>
  <c r="AE354" i="27"/>
  <c r="AE166" i="27"/>
  <c r="AE162" i="27" s="1"/>
  <c r="AA209" i="27"/>
  <c r="AA205" i="27"/>
  <c r="AA103" i="27" s="1"/>
  <c r="AE75" i="27"/>
  <c r="AE22" i="27" s="1"/>
  <c r="AE14" i="27" s="1"/>
  <c r="AE99" i="27"/>
  <c r="AB212" i="27"/>
  <c r="AB144" i="27" s="1"/>
  <c r="AB211" i="27"/>
  <c r="AB206" i="27"/>
  <c r="AB104" i="27" s="1"/>
  <c r="AB126" i="27" s="1"/>
  <c r="Z137" i="27"/>
  <c r="Z146" i="27"/>
  <c r="AK92" i="27"/>
  <c r="AL93" i="27" s="1"/>
  <c r="AL84" i="27"/>
  <c r="AB223" i="27"/>
  <c r="AB222" i="27" s="1"/>
  <c r="AB231" i="27"/>
  <c r="AB230" i="27" s="1"/>
  <c r="AB227" i="27"/>
  <c r="AB226" i="27" s="1"/>
  <c r="AC237" i="27"/>
  <c r="AC261" i="27"/>
  <c r="AC260" i="27" s="1"/>
  <c r="AC213" i="27"/>
  <c r="Z102" i="27"/>
  <c r="Z125" i="27"/>
  <c r="Z124" i="27" s="1"/>
  <c r="Z127" i="27" s="1"/>
  <c r="AF77" i="27"/>
  <c r="AF76" i="27"/>
  <c r="AH3" i="27"/>
  <c r="AI1" i="27"/>
  <c r="AC220" i="27"/>
  <c r="AG164" i="27"/>
  <c r="AG141" i="27"/>
  <c r="AG163" i="27"/>
  <c r="AG95" i="27"/>
  <c r="AG167" i="27"/>
  <c r="AG78" i="27"/>
  <c r="AG82" i="27"/>
  <c r="AH142" i="27"/>
  <c r="AH83" i="27"/>
  <c r="AH96" i="27"/>
  <c r="AI2" i="27"/>
  <c r="AH4" i="27"/>
  <c r="AF165" i="27"/>
  <c r="AF279" i="27"/>
  <c r="AL85" i="27"/>
  <c r="AD358" i="27"/>
  <c r="AD308" i="27"/>
  <c r="AD143" i="27"/>
  <c r="AD123" i="27"/>
  <c r="AD122" i="27" s="1"/>
  <c r="AD62" i="27"/>
  <c r="AD63" i="27" s="1"/>
  <c r="AD68" i="27" s="1"/>
  <c r="AC311" i="27"/>
  <c r="AC310" i="27"/>
  <c r="AH142" i="24"/>
  <c r="AH96" i="24"/>
  <c r="AH83" i="24"/>
  <c r="AI2" i="24"/>
  <c r="AH4" i="24"/>
  <c r="AB212" i="24"/>
  <c r="AB144" i="24" s="1"/>
  <c r="AB211" i="24"/>
  <c r="AC261" i="24"/>
  <c r="AC260" i="24" s="1"/>
  <c r="AC237" i="24"/>
  <c r="AC213" i="24"/>
  <c r="AB206" i="24"/>
  <c r="AB104" i="24" s="1"/>
  <c r="AB126" i="24" s="1"/>
  <c r="AC220" i="24"/>
  <c r="AB231" i="24"/>
  <c r="AB230" i="24" s="1"/>
  <c r="AB227" i="24"/>
  <c r="AB226" i="24" s="1"/>
  <c r="AB223" i="24"/>
  <c r="AB222" i="24" s="1"/>
  <c r="Z125" i="24"/>
  <c r="Z124" i="24" s="1"/>
  <c r="Z127" i="24" s="1"/>
  <c r="Z102" i="24"/>
  <c r="AD358" i="24"/>
  <c r="AD308" i="24"/>
  <c r="AD143" i="24"/>
  <c r="AD62" i="24"/>
  <c r="AD63" i="24" s="1"/>
  <c r="AD68" i="24" s="1"/>
  <c r="AD123" i="24"/>
  <c r="AD122" i="24" s="1"/>
  <c r="AF77" i="24"/>
  <c r="AF76" i="24"/>
  <c r="AE75" i="24"/>
  <c r="AE22" i="24" s="1"/>
  <c r="AE14" i="24" s="1"/>
  <c r="AE99" i="24"/>
  <c r="AC311" i="24"/>
  <c r="AC310" i="24"/>
  <c r="AI1" i="24"/>
  <c r="AH3" i="24"/>
  <c r="AE354" i="24"/>
  <c r="AE172" i="24"/>
  <c r="AE166" i="24"/>
  <c r="AE162" i="24" s="1"/>
  <c r="Z146" i="24"/>
  <c r="Z137" i="24"/>
  <c r="AF279" i="24"/>
  <c r="AF165" i="24"/>
  <c r="AA205" i="24"/>
  <c r="AA103" i="24" s="1"/>
  <c r="AA209" i="24"/>
  <c r="AG164" i="24"/>
  <c r="AG141" i="24"/>
  <c r="AG167" i="24"/>
  <c r="AG95" i="24"/>
  <c r="AG163" i="24"/>
  <c r="AG82" i="24"/>
  <c r="AG78" i="24"/>
  <c r="AG279" i="20"/>
  <c r="AG165" i="20"/>
  <c r="AD220" i="20"/>
  <c r="AH167" i="20"/>
  <c r="AH82" i="20"/>
  <c r="AH163" i="20"/>
  <c r="AH95" i="20"/>
  <c r="AH164" i="20"/>
  <c r="AH141" i="20"/>
  <c r="AH78" i="20"/>
  <c r="AG77" i="20"/>
  <c r="AG76" i="20"/>
  <c r="AD311" i="20"/>
  <c r="AD310" i="20"/>
  <c r="AF354" i="20"/>
  <c r="AF166" i="20"/>
  <c r="AF162" i="20" s="1"/>
  <c r="AF172" i="20"/>
  <c r="AF99" i="20"/>
  <c r="AF75" i="20"/>
  <c r="AF22" i="20" s="1"/>
  <c r="AF14" i="20" s="1"/>
  <c r="AE358" i="20"/>
  <c r="AE143" i="20"/>
  <c r="AE308" i="20"/>
  <c r="AE123" i="20"/>
  <c r="AE62" i="20"/>
  <c r="AB209" i="20"/>
  <c r="AB205" i="20"/>
  <c r="AC212" i="20"/>
  <c r="AC144" i="20" s="1"/>
  <c r="AC211" i="20"/>
  <c r="AH142" i="20"/>
  <c r="AH96" i="20"/>
  <c r="AH83" i="20"/>
  <c r="AH4" i="20"/>
  <c r="AI2" i="20"/>
  <c r="AL92" i="20"/>
  <c r="AM93" i="20" s="1"/>
  <c r="AM84" i="20"/>
  <c r="AM92" i="20" s="1"/>
  <c r="AC227" i="20"/>
  <c r="AC226" i="20" s="1"/>
  <c r="AC231" i="20"/>
  <c r="AC230" i="20" s="1"/>
  <c r="AC223" i="20"/>
  <c r="AC222" i="20" s="1"/>
  <c r="AI3" i="20"/>
  <c r="AJ1" i="20"/>
  <c r="AC12" i="5"/>
  <c r="AB13" i="33"/>
  <c r="AB213" i="33" s="1"/>
  <c r="AA126" i="33" l="1"/>
  <c r="AF12" i="32"/>
  <c r="AF214" i="32"/>
  <c r="AG214" i="31"/>
  <c r="AG12" i="31"/>
  <c r="AE214" i="27"/>
  <c r="AE12" i="27"/>
  <c r="AE214" i="24"/>
  <c r="AE12" i="24"/>
  <c r="AD214" i="24"/>
  <c r="AD12" i="24"/>
  <c r="AF214" i="20"/>
  <c r="AF12" i="20"/>
  <c r="AE22" i="33"/>
  <c r="AA125" i="32"/>
  <c r="AA124" i="32" s="1"/>
  <c r="AA127" i="32" s="1"/>
  <c r="AC144" i="32"/>
  <c r="AC68" i="33"/>
  <c r="AB222" i="33"/>
  <c r="AD143" i="33"/>
  <c r="AF279" i="33"/>
  <c r="AE99" i="33"/>
  <c r="AB226" i="33"/>
  <c r="AE75" i="33"/>
  <c r="AE333" i="33" s="1"/>
  <c r="AB230" i="33"/>
  <c r="AF76" i="33"/>
  <c r="AD213" i="20"/>
  <c r="AD212" i="20" s="1"/>
  <c r="AD261" i="20"/>
  <c r="AD260" i="20" s="1"/>
  <c r="AD206" i="20" s="1"/>
  <c r="AB144" i="33"/>
  <c r="AB206" i="33"/>
  <c r="AD123" i="33"/>
  <c r="AD122" i="33"/>
  <c r="AB104" i="33"/>
  <c r="Z125" i="33"/>
  <c r="AA205" i="33"/>
  <c r="AD62" i="33"/>
  <c r="Z102" i="33"/>
  <c r="AA103" i="33"/>
  <c r="AA117" i="33"/>
  <c r="Z146" i="33"/>
  <c r="Z137" i="33"/>
  <c r="AA207" i="33"/>
  <c r="Y127" i="20"/>
  <c r="Y127" i="33" s="1"/>
  <c r="AD68" i="20"/>
  <c r="AD63" i="33"/>
  <c r="AE122" i="20"/>
  <c r="AE237" i="20" s="1"/>
  <c r="AB205" i="32"/>
  <c r="AB103" i="32" s="1"/>
  <c r="AB125" i="32" s="1"/>
  <c r="AC104" i="32"/>
  <c r="AD213" i="32"/>
  <c r="AD211" i="32" s="1"/>
  <c r="AB126" i="32"/>
  <c r="AD261" i="32"/>
  <c r="AD260" i="32" s="1"/>
  <c r="AD206" i="32" s="1"/>
  <c r="AE122" i="32"/>
  <c r="AD68" i="32"/>
  <c r="AD237" i="32"/>
  <c r="AE63" i="32"/>
  <c r="AA102" i="20"/>
  <c r="AA146" i="20"/>
  <c r="Z124" i="20"/>
  <c r="Z124" i="33" s="1"/>
  <c r="AE63" i="20"/>
  <c r="AC104" i="20"/>
  <c r="AB126" i="20"/>
  <c r="AA137" i="20"/>
  <c r="AA125" i="20"/>
  <c r="AB117" i="20"/>
  <c r="AB103" i="20"/>
  <c r="AC21" i="33"/>
  <c r="AJ77" i="33"/>
  <c r="AF231" i="33"/>
  <c r="AF223" i="33"/>
  <c r="AF227" i="33"/>
  <c r="AL142" i="33"/>
  <c r="AL83" i="33"/>
  <c r="AL96" i="33"/>
  <c r="AM2" i="33"/>
  <c r="AL4" i="33"/>
  <c r="AK78" i="33"/>
  <c r="AK141" i="33"/>
  <c r="AK82" i="33"/>
  <c r="AK95" i="33"/>
  <c r="AM1" i="33"/>
  <c r="AM3" i="33" s="1"/>
  <c r="AL3" i="33"/>
  <c r="AA137" i="24"/>
  <c r="AB137" i="32"/>
  <c r="AA146" i="27"/>
  <c r="AB207" i="24"/>
  <c r="AB117" i="24" s="1"/>
  <c r="AB137" i="24" s="1"/>
  <c r="AC207" i="20"/>
  <c r="AI167" i="32"/>
  <c r="AI95" i="32"/>
  <c r="AI163" i="32"/>
  <c r="AI78" i="32"/>
  <c r="AI141" i="32"/>
  <c r="AI82" i="32"/>
  <c r="AI164" i="32"/>
  <c r="AE311" i="32"/>
  <c r="AE310" i="32"/>
  <c r="AG354" i="32"/>
  <c r="AG172" i="32"/>
  <c r="AG166" i="32"/>
  <c r="AG162" i="32" s="1"/>
  <c r="AC205" i="32"/>
  <c r="AC103" i="32" s="1"/>
  <c r="AC209" i="32"/>
  <c r="AH165" i="32"/>
  <c r="AH279" i="32"/>
  <c r="AC207" i="32"/>
  <c r="AC117" i="32" s="1"/>
  <c r="AE220" i="32"/>
  <c r="AF358" i="32"/>
  <c r="AF308" i="32"/>
  <c r="AF143" i="32"/>
  <c r="AF62" i="32"/>
  <c r="AF123" i="32"/>
  <c r="AJ142" i="32"/>
  <c r="AJ83" i="32"/>
  <c r="AJ96" i="32"/>
  <c r="AJ4" i="32"/>
  <c r="AK2" i="32"/>
  <c r="AG99" i="32"/>
  <c r="AG75" i="32"/>
  <c r="AG22" i="32" s="1"/>
  <c r="AG14" i="32" s="1"/>
  <c r="AL92" i="32"/>
  <c r="AM93" i="32" s="1"/>
  <c r="AM84" i="32"/>
  <c r="AM92" i="32" s="1"/>
  <c r="AD231" i="32"/>
  <c r="AD230" i="32" s="1"/>
  <c r="AD227" i="32"/>
  <c r="AD226" i="32" s="1"/>
  <c r="AD223" i="32"/>
  <c r="AD222" i="32" s="1"/>
  <c r="AH77" i="32"/>
  <c r="AH76" i="32"/>
  <c r="AJ3" i="32"/>
  <c r="AK1" i="32"/>
  <c r="AH172" i="31"/>
  <c r="AH166" i="31"/>
  <c r="AH162" i="31" s="1"/>
  <c r="AH354" i="31"/>
  <c r="AF311" i="31"/>
  <c r="AF310" i="31"/>
  <c r="AI165" i="31"/>
  <c r="AI279" i="31"/>
  <c r="AI77" i="31"/>
  <c r="AI76" i="31"/>
  <c r="AD207" i="31"/>
  <c r="AD117" i="31" s="1"/>
  <c r="AI142" i="31"/>
  <c r="AI96" i="31"/>
  <c r="AJ2" i="31"/>
  <c r="AI83" i="31"/>
  <c r="AI4" i="31"/>
  <c r="AC146" i="31"/>
  <c r="AC137" i="31"/>
  <c r="AK3" i="31"/>
  <c r="AL1" i="31"/>
  <c r="AE212" i="31"/>
  <c r="AE144" i="31" s="1"/>
  <c r="AE211" i="31"/>
  <c r="AC125" i="31"/>
  <c r="AC124" i="31" s="1"/>
  <c r="AC127" i="31" s="1"/>
  <c r="AC102" i="31"/>
  <c r="AG308" i="31"/>
  <c r="AG358" i="31"/>
  <c r="AG143" i="31"/>
  <c r="AG123" i="31"/>
  <c r="AG122" i="31" s="1"/>
  <c r="AG62" i="31"/>
  <c r="AG63" i="31" s="1"/>
  <c r="AG68" i="31" s="1"/>
  <c r="AJ167" i="31"/>
  <c r="AJ164" i="31"/>
  <c r="AJ163" i="31"/>
  <c r="AJ141" i="31"/>
  <c r="AJ82" i="31"/>
  <c r="AJ78" i="31"/>
  <c r="AJ95" i="31"/>
  <c r="AE206" i="31"/>
  <c r="AE104" i="31" s="1"/>
  <c r="AE126" i="31" s="1"/>
  <c r="AH75" i="31"/>
  <c r="AH22" i="31" s="1"/>
  <c r="AH14" i="31" s="1"/>
  <c r="AH99" i="31"/>
  <c r="AD205" i="31"/>
  <c r="AD103" i="31" s="1"/>
  <c r="AD209" i="31"/>
  <c r="AF237" i="31"/>
  <c r="AF213" i="31"/>
  <c r="AF261" i="31"/>
  <c r="AF260" i="31" s="1"/>
  <c r="AF220" i="31"/>
  <c r="AE223" i="31"/>
  <c r="AE222" i="31" s="1"/>
  <c r="AE231" i="31"/>
  <c r="AE230" i="31" s="1"/>
  <c r="AE227" i="31"/>
  <c r="AE226" i="31" s="1"/>
  <c r="AE358" i="27"/>
  <c r="AE308" i="27"/>
  <c r="AE143" i="27"/>
  <c r="AE123" i="27"/>
  <c r="AE122" i="27" s="1"/>
  <c r="AE62" i="27"/>
  <c r="AE63" i="27" s="1"/>
  <c r="AE68" i="27" s="1"/>
  <c r="AL92" i="27"/>
  <c r="AM93" i="27" s="1"/>
  <c r="AM84" i="27"/>
  <c r="AM92" i="27" s="1"/>
  <c r="AA102" i="27"/>
  <c r="AA125" i="27"/>
  <c r="AA124" i="27" s="1"/>
  <c r="AA127" i="27" s="1"/>
  <c r="AG77" i="27"/>
  <c r="AG76" i="27"/>
  <c r="AM85" i="27"/>
  <c r="AF354" i="27"/>
  <c r="AF172" i="27"/>
  <c r="AF166" i="27"/>
  <c r="AF162" i="27" s="1"/>
  <c r="AG279" i="27"/>
  <c r="AG165" i="27"/>
  <c r="AC212" i="27"/>
  <c r="AC144" i="27" s="1"/>
  <c r="AC211" i="27"/>
  <c r="AC206" i="27"/>
  <c r="AC104" i="27" s="1"/>
  <c r="AC126" i="27" s="1"/>
  <c r="AI142" i="27"/>
  <c r="AI96" i="27"/>
  <c r="AI83" i="27"/>
  <c r="AJ2" i="27"/>
  <c r="AI4" i="27"/>
  <c r="AC223" i="27"/>
  <c r="AC222" i="27" s="1"/>
  <c r="AC231" i="27"/>
  <c r="AC230" i="27" s="1"/>
  <c r="AC227" i="27"/>
  <c r="AC226" i="27" s="1"/>
  <c r="AD261" i="27"/>
  <c r="AD260" i="27" s="1"/>
  <c r="AD213" i="27"/>
  <c r="AD237" i="27"/>
  <c r="AI3" i="27"/>
  <c r="AJ1" i="27"/>
  <c r="AB205" i="27"/>
  <c r="AB103" i="27" s="1"/>
  <c r="AB209" i="27"/>
  <c r="AD220" i="27"/>
  <c r="AH164" i="27"/>
  <c r="AH141" i="27"/>
  <c r="AH167" i="27"/>
  <c r="AH163" i="27"/>
  <c r="AH95" i="27"/>
  <c r="AH78" i="27"/>
  <c r="AH82" i="27"/>
  <c r="AB207" i="27"/>
  <c r="AB117" i="27" s="1"/>
  <c r="AD311" i="27"/>
  <c r="AD310" i="27"/>
  <c r="AF75" i="27"/>
  <c r="AF22" i="27" s="1"/>
  <c r="AF14" i="27" s="1"/>
  <c r="AF99" i="27"/>
  <c r="AD220" i="24"/>
  <c r="AA125" i="24"/>
  <c r="AA124" i="24" s="1"/>
  <c r="AA127" i="24" s="1"/>
  <c r="AA102" i="24"/>
  <c r="AJ1" i="24"/>
  <c r="AI3" i="24"/>
  <c r="AI142" i="24"/>
  <c r="AI96" i="24"/>
  <c r="AI83" i="24"/>
  <c r="AI4" i="24"/>
  <c r="AJ2" i="24"/>
  <c r="AH164" i="24"/>
  <c r="AH141" i="24"/>
  <c r="AH167" i="24"/>
  <c r="AH163" i="24"/>
  <c r="AH95" i="24"/>
  <c r="AH82" i="24"/>
  <c r="AH78" i="24"/>
  <c r="AD311" i="24"/>
  <c r="AD310" i="24"/>
  <c r="AF354" i="24"/>
  <c r="AF172" i="24"/>
  <c r="AF166" i="24"/>
  <c r="AF162" i="24" s="1"/>
  <c r="AC211" i="24"/>
  <c r="AC212" i="24"/>
  <c r="AC144" i="24" s="1"/>
  <c r="AE358" i="24"/>
  <c r="AE308" i="24"/>
  <c r="AE143" i="24"/>
  <c r="AE62" i="24"/>
  <c r="AE63" i="24" s="1"/>
  <c r="AE68" i="24" s="1"/>
  <c r="AE123" i="24"/>
  <c r="AE122" i="24" s="1"/>
  <c r="AC206" i="24"/>
  <c r="AC104" i="24" s="1"/>
  <c r="AC126" i="24" s="1"/>
  <c r="AG77" i="24"/>
  <c r="AG76" i="24"/>
  <c r="AF75" i="24"/>
  <c r="AF22" i="24" s="1"/>
  <c r="AF99" i="24"/>
  <c r="AB205" i="24"/>
  <c r="AB103" i="24" s="1"/>
  <c r="AB209" i="24"/>
  <c r="AG165" i="24"/>
  <c r="AG279" i="24"/>
  <c r="AD237" i="24"/>
  <c r="AD261" i="24"/>
  <c r="AD260" i="24" s="1"/>
  <c r="AD213" i="24"/>
  <c r="AC231" i="24"/>
  <c r="AC230" i="24" s="1"/>
  <c r="AC223" i="24"/>
  <c r="AC222" i="24" s="1"/>
  <c r="AC227" i="24"/>
  <c r="AC226" i="24" s="1"/>
  <c r="AH279" i="20"/>
  <c r="AH165" i="20"/>
  <c r="AD227" i="20"/>
  <c r="AD226" i="20" s="1"/>
  <c r="AD231" i="20"/>
  <c r="AD230" i="20" s="1"/>
  <c r="AD223" i="20"/>
  <c r="AD222" i="20" s="1"/>
  <c r="AC209" i="20"/>
  <c r="AC205" i="20"/>
  <c r="AG75" i="20"/>
  <c r="AG22" i="20" s="1"/>
  <c r="AG14" i="20" s="1"/>
  <c r="AG99" i="20"/>
  <c r="AG354" i="20"/>
  <c r="AG166" i="20"/>
  <c r="AG162" i="20" s="1"/>
  <c r="AG172" i="20"/>
  <c r="AF358" i="20"/>
  <c r="AF308" i="20"/>
  <c r="AF143" i="20"/>
  <c r="AF123" i="20"/>
  <c r="AF62" i="20"/>
  <c r="AI142" i="20"/>
  <c r="AI96" i="20"/>
  <c r="AJ2" i="20"/>
  <c r="AI83" i="20"/>
  <c r="AI4" i="20"/>
  <c r="AH77" i="20"/>
  <c r="AH76" i="20"/>
  <c r="AE311" i="20"/>
  <c r="AE310" i="20"/>
  <c r="AE220" i="20"/>
  <c r="AK1" i="20"/>
  <c r="AJ3" i="20"/>
  <c r="AI167" i="20"/>
  <c r="AI95" i="20"/>
  <c r="AI82" i="20"/>
  <c r="AI78" i="20"/>
  <c r="AI163" i="20"/>
  <c r="AI164" i="20"/>
  <c r="AI141" i="20"/>
  <c r="AD12" i="5"/>
  <c r="AC13" i="33"/>
  <c r="AC213" i="33" s="1"/>
  <c r="AG214" i="32" l="1"/>
  <c r="AG12" i="32"/>
  <c r="AH214" i="31"/>
  <c r="AH12" i="31"/>
  <c r="AE12" i="33"/>
  <c r="AE212" i="33" s="1"/>
  <c r="AF214" i="27"/>
  <c r="AF12" i="27"/>
  <c r="AD12" i="33"/>
  <c r="AD212" i="33" s="1"/>
  <c r="AF22" i="33"/>
  <c r="AF14" i="24"/>
  <c r="AG214" i="20"/>
  <c r="AG12" i="20"/>
  <c r="AC226" i="33"/>
  <c r="AE143" i="33"/>
  <c r="AD68" i="33"/>
  <c r="AF99" i="33"/>
  <c r="AF75" i="33"/>
  <c r="AF333" i="33" s="1"/>
  <c r="AC222" i="33"/>
  <c r="AG76" i="33"/>
  <c r="AC230" i="33"/>
  <c r="AD144" i="20"/>
  <c r="AD211" i="20"/>
  <c r="AD209" i="20" s="1"/>
  <c r="AG279" i="33"/>
  <c r="AA146" i="33"/>
  <c r="AC144" i="33"/>
  <c r="AB126" i="33"/>
  <c r="AA137" i="33"/>
  <c r="AC206" i="33"/>
  <c r="AE122" i="33"/>
  <c r="AB103" i="33"/>
  <c r="AB117" i="33"/>
  <c r="AA125" i="33"/>
  <c r="AE62" i="33"/>
  <c r="AB207" i="33"/>
  <c r="AC104" i="33"/>
  <c r="AB205" i="33"/>
  <c r="AA102" i="33"/>
  <c r="AE123" i="33"/>
  <c r="AE261" i="20"/>
  <c r="AE260" i="20" s="1"/>
  <c r="AE206" i="20" s="1"/>
  <c r="AE213" i="20"/>
  <c r="AE211" i="20" s="1"/>
  <c r="AE68" i="20"/>
  <c r="AE63" i="33"/>
  <c r="AF122" i="20"/>
  <c r="AF237" i="20" s="1"/>
  <c r="AB102" i="32"/>
  <c r="AD212" i="32"/>
  <c r="AD144" i="32" s="1"/>
  <c r="AB124" i="32"/>
  <c r="AB127" i="32" s="1"/>
  <c r="AD104" i="32"/>
  <c r="AF63" i="32"/>
  <c r="AC126" i="32"/>
  <c r="AE237" i="32"/>
  <c r="AE261" i="32"/>
  <c r="AE260" i="32" s="1"/>
  <c r="AE206" i="32" s="1"/>
  <c r="AE213" i="32"/>
  <c r="AE212" i="32" s="1"/>
  <c r="AE68" i="32"/>
  <c r="AF122" i="32"/>
  <c r="AA124" i="20"/>
  <c r="AA124" i="33" s="1"/>
  <c r="Z127" i="20"/>
  <c r="Z127" i="33" s="1"/>
  <c r="AB146" i="20"/>
  <c r="AB102" i="20"/>
  <c r="AF63" i="20"/>
  <c r="AD104" i="20"/>
  <c r="AC126" i="20"/>
  <c r="AC126" i="33" s="1"/>
  <c r="AB125" i="20"/>
  <c r="AB137" i="20"/>
  <c r="AC117" i="20"/>
  <c r="AC103" i="20"/>
  <c r="AD21" i="33"/>
  <c r="AL95" i="33"/>
  <c r="AL141" i="33"/>
  <c r="AL78" i="33"/>
  <c r="AL82" i="33"/>
  <c r="AM141" i="33"/>
  <c r="AM78" i="33"/>
  <c r="AM95" i="33"/>
  <c r="AM82" i="33"/>
  <c r="AG231" i="33"/>
  <c r="AG223" i="33"/>
  <c r="AG227" i="33"/>
  <c r="AK77" i="33"/>
  <c r="AM142" i="33"/>
  <c r="AM96" i="33"/>
  <c r="AM4" i="33"/>
  <c r="AM83" i="33"/>
  <c r="AD207" i="32"/>
  <c r="AD117" i="32" s="1"/>
  <c r="AD146" i="32" s="1"/>
  <c r="AC207" i="27"/>
  <c r="AC117" i="27" s="1"/>
  <c r="AC137" i="27" s="1"/>
  <c r="AB146" i="24"/>
  <c r="AC207" i="24"/>
  <c r="AC117" i="24" s="1"/>
  <c r="AC137" i="24" s="1"/>
  <c r="AD207" i="20"/>
  <c r="AC125" i="32"/>
  <c r="AC102" i="32"/>
  <c r="AE227" i="32"/>
  <c r="AE226" i="32" s="1"/>
  <c r="AE223" i="32"/>
  <c r="AE222" i="32" s="1"/>
  <c r="AE231" i="32"/>
  <c r="AE230" i="32" s="1"/>
  <c r="AF220" i="32"/>
  <c r="AD209" i="32"/>
  <c r="AD205" i="32"/>
  <c r="AD103" i="32" s="1"/>
  <c r="AF311" i="32"/>
  <c r="AF310" i="32"/>
  <c r="AI77" i="32"/>
  <c r="AI76" i="32"/>
  <c r="AG358" i="32"/>
  <c r="AG308" i="32"/>
  <c r="AG143" i="32"/>
  <c r="AG62" i="32"/>
  <c r="AG123" i="32"/>
  <c r="AC146" i="32"/>
  <c r="AC137" i="32"/>
  <c r="AI165" i="32"/>
  <c r="AI279" i="32"/>
  <c r="AK3" i="32"/>
  <c r="AL1" i="32"/>
  <c r="AJ167" i="32"/>
  <c r="AJ78" i="32"/>
  <c r="AJ141" i="32"/>
  <c r="AJ163" i="32"/>
  <c r="AJ95" i="32"/>
  <c r="AJ164" i="32"/>
  <c r="AJ82" i="32"/>
  <c r="AK83" i="32"/>
  <c r="AK142" i="32"/>
  <c r="AK96" i="32"/>
  <c r="AK4" i="32"/>
  <c r="AL2" i="32"/>
  <c r="AH354" i="32"/>
  <c r="AH166" i="32"/>
  <c r="AH162" i="32" s="1"/>
  <c r="AH172" i="32"/>
  <c r="AH75" i="32"/>
  <c r="AH22" i="32" s="1"/>
  <c r="AH14" i="32" s="1"/>
  <c r="AH99" i="32"/>
  <c r="AF206" i="31"/>
  <c r="AF104" i="31" s="1"/>
  <c r="AF126" i="31" s="1"/>
  <c r="AG237" i="31"/>
  <c r="AG261" i="31"/>
  <c r="AG260" i="31" s="1"/>
  <c r="AG213" i="31"/>
  <c r="AF212" i="31"/>
  <c r="AF144" i="31" s="1"/>
  <c r="AF211" i="31"/>
  <c r="AI354" i="31"/>
  <c r="AI172" i="31"/>
  <c r="AI166" i="31"/>
  <c r="AI162" i="31" s="1"/>
  <c r="AG220" i="31"/>
  <c r="AG311" i="31"/>
  <c r="AG310" i="31"/>
  <c r="AD102" i="31"/>
  <c r="AD125" i="31"/>
  <c r="AD124" i="31" s="1"/>
  <c r="AD127" i="31" s="1"/>
  <c r="AJ77" i="31"/>
  <c r="AJ76" i="31"/>
  <c r="AJ96" i="31"/>
  <c r="AJ142" i="31"/>
  <c r="AK2" i="31"/>
  <c r="AJ83" i="31"/>
  <c r="AJ4" i="31"/>
  <c r="AK163" i="31"/>
  <c r="AK95" i="31"/>
  <c r="AK167" i="31"/>
  <c r="AK141" i="31"/>
  <c r="AK164" i="31"/>
  <c r="AK82" i="31"/>
  <c r="AK78" i="31"/>
  <c r="AH358" i="31"/>
  <c r="AH308" i="31"/>
  <c r="AH143" i="31"/>
  <c r="AH123" i="31"/>
  <c r="AH122" i="31" s="1"/>
  <c r="AH62" i="31"/>
  <c r="AH63" i="31" s="1"/>
  <c r="AH68" i="31" s="1"/>
  <c r="AE205" i="31"/>
  <c r="AE103" i="31" s="1"/>
  <c r="AE209" i="31"/>
  <c r="AE207" i="31"/>
  <c r="AE117" i="31" s="1"/>
  <c r="AJ165" i="31"/>
  <c r="AJ279" i="31"/>
  <c r="AD137" i="31"/>
  <c r="AD146" i="31"/>
  <c r="AI75" i="31"/>
  <c r="AI22" i="31" s="1"/>
  <c r="AI14" i="31" s="1"/>
  <c r="AI99" i="31"/>
  <c r="AF231" i="31"/>
  <c r="AF230" i="31" s="1"/>
  <c r="AF223" i="31"/>
  <c r="AF222" i="31" s="1"/>
  <c r="AF227" i="31"/>
  <c r="AF226" i="31" s="1"/>
  <c r="AL3" i="31"/>
  <c r="AM1" i="31"/>
  <c r="AM3" i="31" s="1"/>
  <c r="AI164" i="27"/>
  <c r="AI141" i="27"/>
  <c r="AI167" i="27"/>
  <c r="AI163" i="27"/>
  <c r="AI82" i="27"/>
  <c r="AI78" i="27"/>
  <c r="AI95" i="27"/>
  <c r="AG354" i="27"/>
  <c r="AG172" i="27"/>
  <c r="AG166" i="27"/>
  <c r="AG162" i="27" s="1"/>
  <c r="AH77" i="27"/>
  <c r="AH76" i="27"/>
  <c r="AH165" i="27"/>
  <c r="AH279" i="27"/>
  <c r="AD212" i="27"/>
  <c r="AD144" i="27" s="1"/>
  <c r="AD211" i="27"/>
  <c r="AE261" i="27"/>
  <c r="AE260" i="27" s="1"/>
  <c r="AE237" i="27"/>
  <c r="AE213" i="27"/>
  <c r="AE220" i="27"/>
  <c r="AD206" i="27"/>
  <c r="AD104" i="27" s="1"/>
  <c r="AD126" i="27" s="1"/>
  <c r="AF308" i="27"/>
  <c r="AF358" i="27"/>
  <c r="AF143" i="27"/>
  <c r="AF62" i="27"/>
  <c r="AF63" i="27" s="1"/>
  <c r="AF68" i="27" s="1"/>
  <c r="AF123" i="27"/>
  <c r="AF122" i="27" s="1"/>
  <c r="AD223" i="27"/>
  <c r="AD222" i="27" s="1"/>
  <c r="AD231" i="27"/>
  <c r="AD230" i="27" s="1"/>
  <c r="AD227" i="27"/>
  <c r="AD226" i="27" s="1"/>
  <c r="AE311" i="27"/>
  <c r="AE310" i="27"/>
  <c r="AB102" i="27"/>
  <c r="AB125" i="27"/>
  <c r="AB124" i="27" s="1"/>
  <c r="AB127" i="27" s="1"/>
  <c r="AC205" i="27"/>
  <c r="AC103" i="27" s="1"/>
  <c r="AC209" i="27"/>
  <c r="AG99" i="27"/>
  <c r="AG75" i="27"/>
  <c r="AG22" i="27" s="1"/>
  <c r="AG14" i="27" s="1"/>
  <c r="AJ142" i="27"/>
  <c r="AJ96" i="27"/>
  <c r="AJ83" i="27"/>
  <c r="AK2" i="27"/>
  <c r="AJ4" i="27"/>
  <c r="AB137" i="27"/>
  <c r="AB146" i="27"/>
  <c r="AJ3" i="27"/>
  <c r="AK1" i="27"/>
  <c r="AE311" i="24"/>
  <c r="AE310" i="24"/>
  <c r="AD212" i="24"/>
  <c r="AD144" i="24" s="1"/>
  <c r="AD211" i="24"/>
  <c r="AD206" i="24"/>
  <c r="AD104" i="24" s="1"/>
  <c r="AD126" i="24" s="1"/>
  <c r="AH77" i="24"/>
  <c r="AH76" i="24"/>
  <c r="AH76" i="33" s="1"/>
  <c r="AG354" i="24"/>
  <c r="AG172" i="24"/>
  <c r="AG166" i="24"/>
  <c r="AG162" i="24" s="1"/>
  <c r="AC209" i="24"/>
  <c r="AC205" i="24"/>
  <c r="AC103" i="24" s="1"/>
  <c r="AI164" i="24"/>
  <c r="AI141" i="24"/>
  <c r="AI167" i="24"/>
  <c r="AI163" i="24"/>
  <c r="AI95" i="24"/>
  <c r="AI82" i="24"/>
  <c r="AI78" i="24"/>
  <c r="AH165" i="24"/>
  <c r="AH279" i="24"/>
  <c r="AK1" i="24"/>
  <c r="AJ3" i="24"/>
  <c r="AB102" i="24"/>
  <c r="AB125" i="24"/>
  <c r="AB124" i="24" s="1"/>
  <c r="AB127" i="24" s="1"/>
  <c r="AE261" i="24"/>
  <c r="AE260" i="24" s="1"/>
  <c r="AE213" i="24"/>
  <c r="AE237" i="24"/>
  <c r="AF358" i="24"/>
  <c r="AF308" i="24"/>
  <c r="AF143" i="24"/>
  <c r="AF143" i="33" s="1"/>
  <c r="AF123" i="24"/>
  <c r="AF122" i="24" s="1"/>
  <c r="AF62" i="24"/>
  <c r="AF63" i="24" s="1"/>
  <c r="AF68" i="24" s="1"/>
  <c r="AE220" i="24"/>
  <c r="AD231" i="24"/>
  <c r="AD230" i="24" s="1"/>
  <c r="AD227" i="24"/>
  <c r="AD226" i="24" s="1"/>
  <c r="AD223" i="24"/>
  <c r="AD222" i="24" s="1"/>
  <c r="AG75" i="24"/>
  <c r="AG22" i="24" s="1"/>
  <c r="AG14" i="24" s="1"/>
  <c r="AG99" i="24"/>
  <c r="AG99" i="33" s="1"/>
  <c r="AJ142" i="24"/>
  <c r="AJ96" i="24"/>
  <c r="AJ83" i="24"/>
  <c r="AJ4" i="24"/>
  <c r="AK2" i="24"/>
  <c r="AJ142" i="20"/>
  <c r="AJ96" i="20"/>
  <c r="AJ83" i="20"/>
  <c r="AK2" i="20"/>
  <c r="AJ4" i="20"/>
  <c r="AH354" i="20"/>
  <c r="AH166" i="20"/>
  <c r="AH162" i="20" s="1"/>
  <c r="AH172" i="20"/>
  <c r="AE231" i="20"/>
  <c r="AE230" i="20" s="1"/>
  <c r="AE227" i="20"/>
  <c r="AE226" i="20" s="1"/>
  <c r="AE223" i="20"/>
  <c r="AE222" i="20" s="1"/>
  <c r="AJ163" i="20"/>
  <c r="AJ95" i="20"/>
  <c r="AJ78" i="20"/>
  <c r="AJ164" i="20"/>
  <c r="AJ141" i="20"/>
  <c r="AJ167" i="20"/>
  <c r="AJ82" i="20"/>
  <c r="AF311" i="20"/>
  <c r="AF310" i="20"/>
  <c r="AI165" i="20"/>
  <c r="AI279" i="20"/>
  <c r="AG358" i="20"/>
  <c r="AG308" i="20"/>
  <c r="AG143" i="20"/>
  <c r="AG123" i="20"/>
  <c r="AG62" i="20"/>
  <c r="AH75" i="20"/>
  <c r="AH22" i="20" s="1"/>
  <c r="AH14" i="20" s="1"/>
  <c r="AH99" i="20"/>
  <c r="AF220" i="20"/>
  <c r="AK3" i="20"/>
  <c r="AL1" i="20"/>
  <c r="AI77" i="20"/>
  <c r="AI76" i="20"/>
  <c r="AE12" i="5"/>
  <c r="AD13" i="33"/>
  <c r="AD213" i="33" s="1"/>
  <c r="AH214" i="32" l="1"/>
  <c r="AH12" i="32"/>
  <c r="AI214" i="31"/>
  <c r="AI12" i="31"/>
  <c r="AG214" i="27"/>
  <c r="AG12" i="27"/>
  <c r="AG214" i="24"/>
  <c r="AG12" i="24"/>
  <c r="AG12" i="33" s="1"/>
  <c r="AG212" i="33" s="1"/>
  <c r="AF214" i="24"/>
  <c r="AF12" i="24"/>
  <c r="AH214" i="20"/>
  <c r="AH12" i="20"/>
  <c r="AE211" i="32"/>
  <c r="AE209" i="32" s="1"/>
  <c r="AG22" i="33"/>
  <c r="AE68" i="33"/>
  <c r="AE144" i="32"/>
  <c r="AD222" i="33"/>
  <c r="AD230" i="33"/>
  <c r="AG75" i="33"/>
  <c r="AG333" i="33" s="1"/>
  <c r="AD226" i="33"/>
  <c r="AD205" i="20"/>
  <c r="AD103" i="20" s="1"/>
  <c r="AE212" i="20"/>
  <c r="AE144" i="20" s="1"/>
  <c r="AH279" i="33"/>
  <c r="AB137" i="33"/>
  <c r="AD144" i="33"/>
  <c r="AB125" i="33"/>
  <c r="AB102" i="33"/>
  <c r="AC205" i="33"/>
  <c r="AD104" i="33"/>
  <c r="AC207" i="33"/>
  <c r="AF62" i="33"/>
  <c r="AB146" i="33"/>
  <c r="AD206" i="33"/>
  <c r="AF123" i="33"/>
  <c r="AC103" i="33"/>
  <c r="AF122" i="33"/>
  <c r="AC117" i="33"/>
  <c r="AF213" i="20"/>
  <c r="AF212" i="20" s="1"/>
  <c r="AF261" i="20"/>
  <c r="AF260" i="20" s="1"/>
  <c r="AF206" i="20" s="1"/>
  <c r="AF68" i="20"/>
  <c r="AF63" i="33"/>
  <c r="AG122" i="20"/>
  <c r="AG261" i="20" s="1"/>
  <c r="AG260" i="20" s="1"/>
  <c r="AF213" i="32"/>
  <c r="AF212" i="32" s="1"/>
  <c r="AF261" i="32"/>
  <c r="AF260" i="32" s="1"/>
  <c r="AF206" i="32" s="1"/>
  <c r="AC124" i="32"/>
  <c r="AC127" i="32" s="1"/>
  <c r="AF237" i="32"/>
  <c r="AE104" i="32"/>
  <c r="AG122" i="32"/>
  <c r="AG237" i="32" s="1"/>
  <c r="AG63" i="32"/>
  <c r="AF68" i="32"/>
  <c r="AD126" i="32"/>
  <c r="AB124" i="20"/>
  <c r="AB124" i="33" s="1"/>
  <c r="AC137" i="20"/>
  <c r="AC137" i="33" s="1"/>
  <c r="AC102" i="20"/>
  <c r="AA127" i="20"/>
  <c r="AA127" i="33" s="1"/>
  <c r="AG63" i="20"/>
  <c r="AE104" i="20"/>
  <c r="AD126" i="20"/>
  <c r="AD126" i="33" s="1"/>
  <c r="AC146" i="20"/>
  <c r="AC125" i="20"/>
  <c r="AD117" i="20"/>
  <c r="AE21" i="33"/>
  <c r="AH231" i="33"/>
  <c r="AH227" i="33"/>
  <c r="AH223" i="33"/>
  <c r="AL77" i="33"/>
  <c r="AM77" i="33"/>
  <c r="L77" i="33" s="1"/>
  <c r="L78" i="33"/>
  <c r="AC146" i="24"/>
  <c r="AD137" i="32"/>
  <c r="AE207" i="32"/>
  <c r="AE117" i="32" s="1"/>
  <c r="AE146" i="32" s="1"/>
  <c r="AC146" i="27"/>
  <c r="AJ77" i="32"/>
  <c r="AJ76" i="32"/>
  <c r="AD102" i="32"/>
  <c r="AD125" i="32"/>
  <c r="AG220" i="32"/>
  <c r="AG311" i="32"/>
  <c r="AG310" i="32"/>
  <c r="AL3" i="32"/>
  <c r="AM1" i="32"/>
  <c r="AM3" i="32" s="1"/>
  <c r="AF227" i="32"/>
  <c r="AF226" i="32" s="1"/>
  <c r="AF223" i="32"/>
  <c r="AF222" i="32" s="1"/>
  <c r="AF231" i="32"/>
  <c r="AF230" i="32" s="1"/>
  <c r="AJ165" i="32"/>
  <c r="AJ279" i="32"/>
  <c r="AK141" i="32"/>
  <c r="AK163" i="32"/>
  <c r="AK167" i="32"/>
  <c r="AK164" i="32"/>
  <c r="AK82" i="32"/>
  <c r="AK78" i="32"/>
  <c r="AK95" i="32"/>
  <c r="AI75" i="32"/>
  <c r="AI22" i="32" s="1"/>
  <c r="AI14" i="32" s="1"/>
  <c r="AI99" i="32"/>
  <c r="AL142" i="32"/>
  <c r="AL96" i="32"/>
  <c r="AL83" i="32"/>
  <c r="AL4" i="32"/>
  <c r="AM2" i="32"/>
  <c r="AH358" i="32"/>
  <c r="AH308" i="32"/>
  <c r="AH123" i="32"/>
  <c r="AH62" i="32"/>
  <c r="AH143" i="32"/>
  <c r="AI354" i="32"/>
  <c r="AI166" i="32"/>
  <c r="AI162" i="32" s="1"/>
  <c r="AI172" i="32"/>
  <c r="AH261" i="31"/>
  <c r="AH260" i="31" s="1"/>
  <c r="AH237" i="31"/>
  <c r="AH213" i="31"/>
  <c r="AI308" i="31"/>
  <c r="AI358" i="31"/>
  <c r="AI143" i="31"/>
  <c r="AI123" i="31"/>
  <c r="AI122" i="31" s="1"/>
  <c r="AI62" i="31"/>
  <c r="AI63" i="31" s="1"/>
  <c r="AI68" i="31" s="1"/>
  <c r="AH220" i="31"/>
  <c r="AK165" i="31"/>
  <c r="AK279" i="31"/>
  <c r="AF205" i="31"/>
  <c r="AF103" i="31" s="1"/>
  <c r="AF209" i="31"/>
  <c r="AH311" i="31"/>
  <c r="AH310" i="31"/>
  <c r="AK96" i="31"/>
  <c r="AK142" i="31"/>
  <c r="AL2" i="31"/>
  <c r="AK83" i="31"/>
  <c r="AK4" i="31"/>
  <c r="AJ354" i="31"/>
  <c r="AJ172" i="31"/>
  <c r="AJ166" i="31"/>
  <c r="AJ162" i="31" s="1"/>
  <c r="AG231" i="31"/>
  <c r="AG230" i="31" s="1"/>
  <c r="AG223" i="31"/>
  <c r="AG222" i="31" s="1"/>
  <c r="AG227" i="31"/>
  <c r="AG226" i="31" s="1"/>
  <c r="AG212" i="31"/>
  <c r="AG144" i="31" s="1"/>
  <c r="AG211" i="31"/>
  <c r="AM167" i="31"/>
  <c r="AM141" i="31"/>
  <c r="AM95" i="31"/>
  <c r="AM164" i="31"/>
  <c r="AM163" i="31"/>
  <c r="AM82" i="31"/>
  <c r="AM78" i="31"/>
  <c r="AE137" i="31"/>
  <c r="AE146" i="31"/>
  <c r="AK77" i="31"/>
  <c r="AK76" i="31"/>
  <c r="AG206" i="31"/>
  <c r="AG104" i="31" s="1"/>
  <c r="AG126" i="31" s="1"/>
  <c r="AL163" i="31"/>
  <c r="AL167" i="31"/>
  <c r="AL95" i="31"/>
  <c r="AL164" i="31"/>
  <c r="AL141" i="31"/>
  <c r="AL82" i="31"/>
  <c r="AL78" i="31"/>
  <c r="AJ75" i="31"/>
  <c r="AJ22" i="31" s="1"/>
  <c r="AJ14" i="31" s="1"/>
  <c r="AJ99" i="31"/>
  <c r="AF207" i="31"/>
  <c r="AF117" i="31" s="1"/>
  <c r="AE125" i="31"/>
  <c r="AE124" i="31" s="1"/>
  <c r="AE127" i="31" s="1"/>
  <c r="AE102" i="31"/>
  <c r="AK142" i="27"/>
  <c r="AK83" i="27"/>
  <c r="AK96" i="27"/>
  <c r="AK4" i="27"/>
  <c r="AL2" i="27"/>
  <c r="AE231" i="27"/>
  <c r="AE230" i="27" s="1"/>
  <c r="AE227" i="27"/>
  <c r="AE226" i="27" s="1"/>
  <c r="AE223" i="27"/>
  <c r="AE222" i="27" s="1"/>
  <c r="AG358" i="27"/>
  <c r="AG308" i="27"/>
  <c r="AG143" i="27"/>
  <c r="AG123" i="27"/>
  <c r="AG122" i="27" s="1"/>
  <c r="AG62" i="27"/>
  <c r="AG63" i="27" s="1"/>
  <c r="AG68" i="27" s="1"/>
  <c r="AD207" i="27"/>
  <c r="AD117" i="27" s="1"/>
  <c r="AF261" i="27"/>
  <c r="AF260" i="27" s="1"/>
  <c r="AF213" i="27"/>
  <c r="AF237" i="27"/>
  <c r="AH354" i="27"/>
  <c r="AH172" i="27"/>
  <c r="AH166" i="27"/>
  <c r="AH162" i="27" s="1"/>
  <c r="AE212" i="27"/>
  <c r="AE144" i="27" s="1"/>
  <c r="AE211" i="27"/>
  <c r="AI77" i="27"/>
  <c r="AI76" i="27"/>
  <c r="AK3" i="27"/>
  <c r="AL1" i="27"/>
  <c r="AC102" i="27"/>
  <c r="AC125" i="27"/>
  <c r="AC124" i="27" s="1"/>
  <c r="AC127" i="27" s="1"/>
  <c r="AF220" i="27"/>
  <c r="AJ164" i="27"/>
  <c r="AJ141" i="27"/>
  <c r="AJ167" i="27"/>
  <c r="AJ163" i="27"/>
  <c r="AJ82" i="27"/>
  <c r="AJ78" i="27"/>
  <c r="AJ95" i="27"/>
  <c r="AE206" i="27"/>
  <c r="AE104" i="27" s="1"/>
  <c r="AE126" i="27" s="1"/>
  <c r="AI279" i="27"/>
  <c r="AI165" i="27"/>
  <c r="AF311" i="27"/>
  <c r="AF310" i="27"/>
  <c r="AD205" i="27"/>
  <c r="AD103" i="27" s="1"/>
  <c r="AD209" i="27"/>
  <c r="AH99" i="27"/>
  <c r="AH75" i="27"/>
  <c r="AH22" i="27" s="1"/>
  <c r="AH14" i="27" s="1"/>
  <c r="AE206" i="24"/>
  <c r="AE104" i="24" s="1"/>
  <c r="AE126" i="24" s="1"/>
  <c r="AF311" i="24"/>
  <c r="AF310" i="24"/>
  <c r="AI165" i="24"/>
  <c r="AI279" i="24"/>
  <c r="AH75" i="24"/>
  <c r="AH99" i="24"/>
  <c r="AG308" i="24"/>
  <c r="AG358" i="24"/>
  <c r="AG143" i="24"/>
  <c r="AG123" i="24"/>
  <c r="AG122" i="24" s="1"/>
  <c r="AG62" i="24"/>
  <c r="AG63" i="24" s="1"/>
  <c r="AG68" i="24" s="1"/>
  <c r="AD207" i="24"/>
  <c r="AD117" i="24" s="1"/>
  <c r="AK3" i="24"/>
  <c r="AL1" i="24"/>
  <c r="AJ141" i="24"/>
  <c r="AJ167" i="24"/>
  <c r="AJ163" i="24"/>
  <c r="AJ95" i="24"/>
  <c r="AJ164" i="24"/>
  <c r="AJ82" i="24"/>
  <c r="AJ78" i="24"/>
  <c r="AE227" i="24"/>
  <c r="AE226" i="24" s="1"/>
  <c r="AE223" i="24"/>
  <c r="AE222" i="24" s="1"/>
  <c r="AE231" i="24"/>
  <c r="AE230" i="24" s="1"/>
  <c r="AH354" i="24"/>
  <c r="AH172" i="24"/>
  <c r="AH166" i="24"/>
  <c r="AH162" i="24" s="1"/>
  <c r="AC102" i="24"/>
  <c r="AC125" i="24"/>
  <c r="AC124" i="24" s="1"/>
  <c r="AC127" i="24" s="1"/>
  <c r="AD209" i="24"/>
  <c r="AD205" i="24"/>
  <c r="AD103" i="24" s="1"/>
  <c r="AK83" i="24"/>
  <c r="AK142" i="24"/>
  <c r="AK96" i="24"/>
  <c r="AK4" i="24"/>
  <c r="AL2" i="24"/>
  <c r="AF237" i="24"/>
  <c r="AF213" i="24"/>
  <c r="AF261" i="24"/>
  <c r="AF260" i="24" s="1"/>
  <c r="AI77" i="24"/>
  <c r="AI76" i="24"/>
  <c r="AF220" i="24"/>
  <c r="AE212" i="24"/>
  <c r="AE144" i="24" s="1"/>
  <c r="AE211" i="24"/>
  <c r="AM1" i="20"/>
  <c r="AM3" i="20" s="1"/>
  <c r="AL3" i="20"/>
  <c r="AE207" i="20"/>
  <c r="AJ77" i="20"/>
  <c r="AJ76" i="20"/>
  <c r="AJ279" i="20"/>
  <c r="AJ165" i="20"/>
  <c r="AI354" i="20"/>
  <c r="AI166" i="20"/>
  <c r="AI162" i="20" s="1"/>
  <c r="AI172" i="20"/>
  <c r="AE209" i="20"/>
  <c r="AE205" i="20"/>
  <c r="AF227" i="20"/>
  <c r="AF226" i="20" s="1"/>
  <c r="AF231" i="20"/>
  <c r="AF230" i="20" s="1"/>
  <c r="AF223" i="20"/>
  <c r="AF222" i="20" s="1"/>
  <c r="AH308" i="20"/>
  <c r="AH358" i="20"/>
  <c r="AH143" i="20"/>
  <c r="AH123" i="20"/>
  <c r="AH62" i="20"/>
  <c r="AK163" i="20"/>
  <c r="AK164" i="20"/>
  <c r="AK95" i="20"/>
  <c r="AK141" i="20"/>
  <c r="AK78" i="20"/>
  <c r="AK167" i="20"/>
  <c r="AK82" i="20"/>
  <c r="AK83" i="20"/>
  <c r="AK96" i="20"/>
  <c r="AK4" i="20"/>
  <c r="AK142" i="20"/>
  <c r="AL2" i="20"/>
  <c r="AG311" i="20"/>
  <c r="AG310" i="20"/>
  <c r="AI75" i="20"/>
  <c r="AI22" i="20" s="1"/>
  <c r="AI14" i="20" s="1"/>
  <c r="AI99" i="20"/>
  <c r="AG220" i="20"/>
  <c r="AF12" i="5"/>
  <c r="AE13" i="33"/>
  <c r="AE213" i="33" s="1"/>
  <c r="AE205" i="32" l="1"/>
  <c r="AE103" i="32" s="1"/>
  <c r="AE125" i="32" s="1"/>
  <c r="AI214" i="32"/>
  <c r="AI12" i="32"/>
  <c r="AJ214" i="31"/>
  <c r="AJ12" i="31"/>
  <c r="AI76" i="33"/>
  <c r="AH214" i="27"/>
  <c r="AH12" i="27"/>
  <c r="AF12" i="33"/>
  <c r="AF212" i="33" s="1"/>
  <c r="AI214" i="20"/>
  <c r="AI12" i="20"/>
  <c r="AF144" i="20"/>
  <c r="AH75" i="33"/>
  <c r="AH333" i="33" s="1"/>
  <c r="AH22" i="24"/>
  <c r="AE226" i="33"/>
  <c r="AF211" i="20"/>
  <c r="AF209" i="20" s="1"/>
  <c r="AF211" i="32"/>
  <c r="AF209" i="32" s="1"/>
  <c r="AF68" i="33"/>
  <c r="AG143" i="33"/>
  <c r="AH99" i="33"/>
  <c r="AE230" i="33"/>
  <c r="AE222" i="33"/>
  <c r="AG237" i="20"/>
  <c r="AG213" i="20"/>
  <c r="AG211" i="20" s="1"/>
  <c r="AI279" i="33"/>
  <c r="AE144" i="33"/>
  <c r="AF144" i="32"/>
  <c r="AD103" i="33"/>
  <c r="AD117" i="33"/>
  <c r="AC125" i="33"/>
  <c r="AC146" i="33"/>
  <c r="AD207" i="33"/>
  <c r="AE206" i="33"/>
  <c r="AE104" i="33"/>
  <c r="AD205" i="33"/>
  <c r="AC102" i="33"/>
  <c r="AG123" i="33"/>
  <c r="AG122" i="33"/>
  <c r="AG62" i="33"/>
  <c r="AG68" i="20"/>
  <c r="AG63" i="33"/>
  <c r="AH122" i="20"/>
  <c r="AH261" i="20" s="1"/>
  <c r="AH260" i="20" s="1"/>
  <c r="AG213" i="32"/>
  <c r="AG212" i="32" s="1"/>
  <c r="AG261" i="32"/>
  <c r="AG260" i="32" s="1"/>
  <c r="AG206" i="32" s="1"/>
  <c r="AD124" i="32"/>
  <c r="AD127" i="32" s="1"/>
  <c r="AH63" i="32"/>
  <c r="AG68" i="32"/>
  <c r="AH122" i="32"/>
  <c r="AF104" i="32"/>
  <c r="AE126" i="32"/>
  <c r="AD137" i="20"/>
  <c r="AD125" i="20"/>
  <c r="AC124" i="20"/>
  <c r="AC124" i="33" s="1"/>
  <c r="AB127" i="20"/>
  <c r="AB127" i="33" s="1"/>
  <c r="AH63" i="20"/>
  <c r="AF104" i="20"/>
  <c r="AE126" i="20"/>
  <c r="AD146" i="20"/>
  <c r="AD102" i="20"/>
  <c r="AE117" i="20"/>
  <c r="AE103" i="20"/>
  <c r="AF21" i="33"/>
  <c r="AI231" i="33"/>
  <c r="AI227" i="33"/>
  <c r="AI223" i="33"/>
  <c r="AE137" i="32"/>
  <c r="AE207" i="27"/>
  <c r="AE117" i="27" s="1"/>
  <c r="AE137" i="27" s="1"/>
  <c r="AE207" i="24"/>
  <c r="AE117" i="24" s="1"/>
  <c r="AE146" i="24" s="1"/>
  <c r="AG223" i="32"/>
  <c r="AG222" i="32" s="1"/>
  <c r="AG227" i="32"/>
  <c r="AG226" i="32" s="1"/>
  <c r="AG231" i="32"/>
  <c r="AG230" i="32" s="1"/>
  <c r="AJ354" i="32"/>
  <c r="AJ166" i="32"/>
  <c r="AJ162" i="32" s="1"/>
  <c r="AJ172" i="32"/>
  <c r="AI358" i="32"/>
  <c r="AI308" i="32"/>
  <c r="AI123" i="32"/>
  <c r="AI143" i="32"/>
  <c r="AI62" i="32"/>
  <c r="AF207" i="32"/>
  <c r="AF117" i="32" s="1"/>
  <c r="AK77" i="32"/>
  <c r="AK76" i="32"/>
  <c r="AM163" i="32"/>
  <c r="AM167" i="32"/>
  <c r="AM141" i="32"/>
  <c r="AM95" i="32"/>
  <c r="AM78" i="32"/>
  <c r="AM82" i="32"/>
  <c r="AM164" i="32"/>
  <c r="AH220" i="32"/>
  <c r="AL164" i="32"/>
  <c r="AL163" i="32"/>
  <c r="AL167" i="32"/>
  <c r="AL82" i="32"/>
  <c r="AL141" i="32"/>
  <c r="AL78" i="32"/>
  <c r="AL95" i="32"/>
  <c r="AM83" i="32"/>
  <c r="AM96" i="32"/>
  <c r="AM4" i="32"/>
  <c r="AM142" i="32"/>
  <c r="AK165" i="32"/>
  <c r="AK279" i="32"/>
  <c r="AH311" i="32"/>
  <c r="AH310" i="32"/>
  <c r="AJ75" i="32"/>
  <c r="AJ22" i="32" s="1"/>
  <c r="AJ14" i="32" s="1"/>
  <c r="AJ99" i="32"/>
  <c r="L163" i="31"/>
  <c r="AM165" i="31"/>
  <c r="AM279" i="31"/>
  <c r="AI261" i="31"/>
  <c r="AI260" i="31" s="1"/>
  <c r="AI237" i="31"/>
  <c r="AI213" i="31"/>
  <c r="L164" i="31"/>
  <c r="AL279" i="31"/>
  <c r="AL165" i="31"/>
  <c r="AI220" i="31"/>
  <c r="AF137" i="31"/>
  <c r="AF146" i="31"/>
  <c r="L167" i="31"/>
  <c r="AL96" i="31"/>
  <c r="AL142" i="31"/>
  <c r="AL83" i="31"/>
  <c r="AM2" i="31"/>
  <c r="AL4" i="31"/>
  <c r="AI311" i="31"/>
  <c r="AI310" i="31"/>
  <c r="AG205" i="31"/>
  <c r="AG103" i="31" s="1"/>
  <c r="AG209" i="31"/>
  <c r="AF125" i="31"/>
  <c r="AF124" i="31" s="1"/>
  <c r="AF127" i="31" s="1"/>
  <c r="AF102" i="31"/>
  <c r="AK75" i="31"/>
  <c r="AK22" i="31" s="1"/>
  <c r="AK14" i="31" s="1"/>
  <c r="AK99" i="31"/>
  <c r="AH212" i="31"/>
  <c r="AH144" i="31" s="1"/>
  <c r="AH211" i="31"/>
  <c r="AJ358" i="31"/>
  <c r="AJ308" i="31"/>
  <c r="AJ62" i="31"/>
  <c r="AJ63" i="31" s="1"/>
  <c r="AJ68" i="31" s="1"/>
  <c r="AJ143" i="31"/>
  <c r="AJ123" i="31"/>
  <c r="AJ122" i="31" s="1"/>
  <c r="AK354" i="31"/>
  <c r="AK172" i="31"/>
  <c r="AK166" i="31"/>
  <c r="AK162" i="31" s="1"/>
  <c r="AL77" i="31"/>
  <c r="AL76" i="31"/>
  <c r="AG207" i="31"/>
  <c r="AG117" i="31" s="1"/>
  <c r="AH206" i="31"/>
  <c r="AH104" i="31" s="1"/>
  <c r="AH126" i="31" s="1"/>
  <c r="AM77" i="31"/>
  <c r="AM76" i="31"/>
  <c r="L78" i="31"/>
  <c r="AH231" i="31"/>
  <c r="AH230" i="31" s="1"/>
  <c r="AH227" i="31"/>
  <c r="AH226" i="31" s="1"/>
  <c r="AH223" i="31"/>
  <c r="AH222" i="31" s="1"/>
  <c r="AF231" i="27"/>
  <c r="AF230" i="27" s="1"/>
  <c r="AF227" i="27"/>
  <c r="AF226" i="27" s="1"/>
  <c r="AF223" i="27"/>
  <c r="AF222" i="27" s="1"/>
  <c r="AJ77" i="27"/>
  <c r="AJ76" i="27"/>
  <c r="AL3" i="27"/>
  <c r="AM1" i="27"/>
  <c r="AM3" i="27" s="1"/>
  <c r="AF212" i="27"/>
  <c r="AF144" i="27" s="1"/>
  <c r="AF211" i="27"/>
  <c r="AK141" i="27"/>
  <c r="AK167" i="27"/>
  <c r="AK163" i="27"/>
  <c r="AK164" i="27"/>
  <c r="AK78" i="27"/>
  <c r="AK82" i="27"/>
  <c r="AK95" i="27"/>
  <c r="AF206" i="27"/>
  <c r="AF104" i="27" s="1"/>
  <c r="AF126" i="27" s="1"/>
  <c r="AJ165" i="27"/>
  <c r="AJ279" i="27"/>
  <c r="AI75" i="27"/>
  <c r="AI22" i="27" s="1"/>
  <c r="AI14" i="27" s="1"/>
  <c r="AI99" i="27"/>
  <c r="AD125" i="27"/>
  <c r="AD124" i="27" s="1"/>
  <c r="AD127" i="27" s="1"/>
  <c r="AD102" i="27"/>
  <c r="AI354" i="27"/>
  <c r="AI172" i="27"/>
  <c r="AI166" i="27"/>
  <c r="AI162" i="27" s="1"/>
  <c r="AD137" i="27"/>
  <c r="AD146" i="27"/>
  <c r="AL142" i="27"/>
  <c r="AL83" i="27"/>
  <c r="AL96" i="27"/>
  <c r="AM2" i="27"/>
  <c r="AL4" i="27"/>
  <c r="AE209" i="27"/>
  <c r="AE205" i="27"/>
  <c r="AE103" i="27" s="1"/>
  <c r="AG261" i="27"/>
  <c r="AG260" i="27" s="1"/>
  <c r="AG213" i="27"/>
  <c r="AG237" i="27"/>
  <c r="AH358" i="27"/>
  <c r="AH308" i="27"/>
  <c r="AH143" i="27"/>
  <c r="AH123" i="27"/>
  <c r="AH122" i="27" s="1"/>
  <c r="AH62" i="27"/>
  <c r="AH63" i="27" s="1"/>
  <c r="AH68" i="27" s="1"/>
  <c r="AG220" i="27"/>
  <c r="AG311" i="27"/>
  <c r="AG310" i="27"/>
  <c r="AL3" i="24"/>
  <c r="AM1" i="24"/>
  <c r="AM3" i="24" s="1"/>
  <c r="AK141" i="24"/>
  <c r="AK167" i="24"/>
  <c r="AK163" i="24"/>
  <c r="AK95" i="24"/>
  <c r="AK164" i="24"/>
  <c r="AK82" i="24"/>
  <c r="AK78" i="24"/>
  <c r="AH308" i="24"/>
  <c r="AH358" i="24"/>
  <c r="AH143" i="24"/>
  <c r="AH62" i="24"/>
  <c r="AH63" i="24" s="1"/>
  <c r="AH68" i="24" s="1"/>
  <c r="AH123" i="24"/>
  <c r="AH122" i="24" s="1"/>
  <c r="AD125" i="24"/>
  <c r="AD124" i="24" s="1"/>
  <c r="AD127" i="24" s="1"/>
  <c r="AD102" i="24"/>
  <c r="AD137" i="24"/>
  <c r="AD146" i="24"/>
  <c r="AI354" i="24"/>
  <c r="AI172" i="24"/>
  <c r="AI166" i="24"/>
  <c r="AI162" i="24" s="1"/>
  <c r="AF227" i="24"/>
  <c r="AF226" i="24" s="1"/>
  <c r="AF223" i="24"/>
  <c r="AF222" i="24" s="1"/>
  <c r="AF231" i="24"/>
  <c r="AF230" i="24" s="1"/>
  <c r="AJ279" i="24"/>
  <c r="AJ165" i="24"/>
  <c r="AF212" i="24"/>
  <c r="AF144" i="24" s="1"/>
  <c r="AF211" i="24"/>
  <c r="AF206" i="24"/>
  <c r="AF104" i="24" s="1"/>
  <c r="AF126" i="24" s="1"/>
  <c r="AG311" i="24"/>
  <c r="AG310" i="24"/>
  <c r="AG237" i="24"/>
  <c r="AG261" i="24"/>
  <c r="AG260" i="24" s="1"/>
  <c r="AG213" i="24"/>
  <c r="AI75" i="24"/>
  <c r="AI99" i="24"/>
  <c r="AG220" i="24"/>
  <c r="AJ77" i="24"/>
  <c r="AJ76" i="24"/>
  <c r="AE209" i="24"/>
  <c r="AE205" i="24"/>
  <c r="AE103" i="24" s="1"/>
  <c r="AL83" i="24"/>
  <c r="AL142" i="24"/>
  <c r="AL96" i="24"/>
  <c r="AM2" i="24"/>
  <c r="AL4" i="24"/>
  <c r="AG206" i="20"/>
  <c r="AJ75" i="20"/>
  <c r="AJ22" i="20" s="1"/>
  <c r="AJ14" i="20" s="1"/>
  <c r="AJ99" i="20"/>
  <c r="AH220" i="20"/>
  <c r="AI308" i="20"/>
  <c r="AI358" i="20"/>
  <c r="AI123" i="20"/>
  <c r="AI143" i="20"/>
  <c r="AI62" i="20"/>
  <c r="AG223" i="20"/>
  <c r="AG222" i="20" s="1"/>
  <c r="AG227" i="20"/>
  <c r="AG226" i="20" s="1"/>
  <c r="AG231" i="20"/>
  <c r="AG230" i="20" s="1"/>
  <c r="AL164" i="20"/>
  <c r="AL163" i="20"/>
  <c r="AL167" i="20"/>
  <c r="AL141" i="20"/>
  <c r="AL95" i="20"/>
  <c r="AL82" i="20"/>
  <c r="AL78" i="20"/>
  <c r="AK77" i="20"/>
  <c r="AK76" i="20"/>
  <c r="AH311" i="20"/>
  <c r="AH310" i="20"/>
  <c r="AM164" i="20"/>
  <c r="AM167" i="20"/>
  <c r="AM141" i="20"/>
  <c r="AM95" i="20"/>
  <c r="AM163" i="20"/>
  <c r="AM82" i="20"/>
  <c r="AM78" i="20"/>
  <c r="AK165" i="20"/>
  <c r="AK279" i="20"/>
  <c r="AL83" i="20"/>
  <c r="AL96" i="20"/>
  <c r="AM2" i="20"/>
  <c r="AL4" i="20"/>
  <c r="AL142" i="20"/>
  <c r="AF207" i="20"/>
  <c r="AJ354" i="20"/>
  <c r="AJ172" i="20"/>
  <c r="AJ166" i="20"/>
  <c r="AJ162" i="20" s="1"/>
  <c r="AG12" i="5"/>
  <c r="AF13" i="33"/>
  <c r="AF213" i="33" s="1"/>
  <c r="AE102" i="32" l="1"/>
  <c r="AJ214" i="32"/>
  <c r="AJ12" i="32"/>
  <c r="AK214" i="31"/>
  <c r="AK12" i="31"/>
  <c r="AI99" i="33"/>
  <c r="AI214" i="27"/>
  <c r="AI12" i="27"/>
  <c r="AH22" i="33"/>
  <c r="AH14" i="24"/>
  <c r="AJ214" i="20"/>
  <c r="AJ12" i="20"/>
  <c r="AF205" i="32"/>
  <c r="AF103" i="32" s="1"/>
  <c r="AF125" i="32" s="1"/>
  <c r="AI75" i="33"/>
  <c r="AI333" i="33" s="1"/>
  <c r="AI22" i="24"/>
  <c r="AG68" i="33"/>
  <c r="AF205" i="20"/>
  <c r="AF103" i="20" s="1"/>
  <c r="AG212" i="20"/>
  <c r="AG144" i="20" s="1"/>
  <c r="AH143" i="33"/>
  <c r="AF230" i="33"/>
  <c r="AJ76" i="33"/>
  <c r="AF222" i="33"/>
  <c r="AF226" i="33"/>
  <c r="AH237" i="20"/>
  <c r="AH213" i="20"/>
  <c r="AH212" i="20" s="1"/>
  <c r="AH144" i="20" s="1"/>
  <c r="AJ279" i="33"/>
  <c r="AE126" i="33"/>
  <c r="AF144" i="33"/>
  <c r="AD146" i="33"/>
  <c r="AE207" i="33"/>
  <c r="AD137" i="33"/>
  <c r="AE103" i="33"/>
  <c r="AE205" i="33"/>
  <c r="AE117" i="33"/>
  <c r="AD102" i="33"/>
  <c r="AH62" i="33"/>
  <c r="AF104" i="33"/>
  <c r="AH123" i="33"/>
  <c r="AH122" i="33"/>
  <c r="AF206" i="33"/>
  <c r="AI122" i="20"/>
  <c r="AI237" i="20" s="1"/>
  <c r="AD124" i="20"/>
  <c r="AD124" i="33" s="1"/>
  <c r="AD125" i="33"/>
  <c r="AH68" i="20"/>
  <c r="AH63" i="33"/>
  <c r="AG144" i="32"/>
  <c r="AG211" i="32"/>
  <c r="AG209" i="32" s="1"/>
  <c r="AH261" i="32"/>
  <c r="AH260" i="32" s="1"/>
  <c r="AH206" i="32" s="1"/>
  <c r="AH237" i="32"/>
  <c r="AH213" i="32"/>
  <c r="AH211" i="32" s="1"/>
  <c r="AF126" i="32"/>
  <c r="AI63" i="32"/>
  <c r="AE124" i="32"/>
  <c r="AE127" i="32" s="1"/>
  <c r="AH68" i="32"/>
  <c r="AG104" i="32"/>
  <c r="AI122" i="32"/>
  <c r="AE125" i="20"/>
  <c r="AE137" i="20"/>
  <c r="AC127" i="20"/>
  <c r="AC127" i="33" s="1"/>
  <c r="AI63" i="20"/>
  <c r="AG104" i="20"/>
  <c r="AF126" i="20"/>
  <c r="AE102" i="20"/>
  <c r="AE146" i="20"/>
  <c r="AF117" i="20"/>
  <c r="AG21" i="33"/>
  <c r="AJ227" i="33"/>
  <c r="AJ231" i="33"/>
  <c r="AJ223" i="33"/>
  <c r="AH207" i="31"/>
  <c r="AH117" i="31" s="1"/>
  <c r="AH146" i="31" s="1"/>
  <c r="AE146" i="27"/>
  <c r="AF207" i="27"/>
  <c r="AF117" i="27" s="1"/>
  <c r="AF137" i="27" s="1"/>
  <c r="AE137" i="24"/>
  <c r="AI311" i="32"/>
  <c r="AI310" i="32"/>
  <c r="AK354" i="32"/>
  <c r="AK166" i="32"/>
  <c r="AK162" i="32" s="1"/>
  <c r="AK172" i="32"/>
  <c r="AH227" i="32"/>
  <c r="AH226" i="32" s="1"/>
  <c r="AH223" i="32"/>
  <c r="AH222" i="32" s="1"/>
  <c r="AH231" i="32"/>
  <c r="AH230" i="32" s="1"/>
  <c r="L164" i="32"/>
  <c r="AL165" i="32"/>
  <c r="AL279" i="32"/>
  <c r="AJ358" i="32"/>
  <c r="AJ308" i="32"/>
  <c r="AJ62" i="32"/>
  <c r="AJ123" i="32"/>
  <c r="AJ143" i="32"/>
  <c r="AM77" i="32"/>
  <c r="AM76" i="32"/>
  <c r="L78" i="32"/>
  <c r="AF146" i="32"/>
  <c r="AF137" i="32"/>
  <c r="AG207" i="32"/>
  <c r="AG117" i="32" s="1"/>
  <c r="AL77" i="32"/>
  <c r="AL76" i="32"/>
  <c r="AI220" i="32"/>
  <c r="AK75" i="32"/>
  <c r="AK22" i="32" s="1"/>
  <c r="AK14" i="32" s="1"/>
  <c r="AK99" i="32"/>
  <c r="L167" i="32"/>
  <c r="AM165" i="32"/>
  <c r="L163" i="32"/>
  <c r="AM279" i="32"/>
  <c r="AJ311" i="31"/>
  <c r="AJ310" i="31"/>
  <c r="AG146" i="31"/>
  <c r="AG137" i="31"/>
  <c r="AG125" i="31"/>
  <c r="AG124" i="31" s="1"/>
  <c r="AG127" i="31" s="1"/>
  <c r="AG102" i="31"/>
  <c r="AI212" i="31"/>
  <c r="AI144" i="31" s="1"/>
  <c r="AI211" i="31"/>
  <c r="AL75" i="31"/>
  <c r="AL22" i="31" s="1"/>
  <c r="AL14" i="31" s="1"/>
  <c r="AL99" i="31"/>
  <c r="AH205" i="31"/>
  <c r="AH103" i="31" s="1"/>
  <c r="AH209" i="31"/>
  <c r="AI227" i="31"/>
  <c r="AI226" i="31" s="1"/>
  <c r="AI231" i="31"/>
  <c r="AI230" i="31" s="1"/>
  <c r="AI223" i="31"/>
  <c r="AI222" i="31" s="1"/>
  <c r="AI206" i="31"/>
  <c r="AI104" i="31" s="1"/>
  <c r="AI126" i="31" s="1"/>
  <c r="AL166" i="31"/>
  <c r="AL162" i="31" s="1"/>
  <c r="AL354" i="31"/>
  <c r="AL172" i="31"/>
  <c r="AM142" i="31"/>
  <c r="AM83" i="31"/>
  <c r="AM96" i="31"/>
  <c r="AM4" i="31"/>
  <c r="AM354" i="31"/>
  <c r="AM172" i="31"/>
  <c r="AM166" i="31"/>
  <c r="L165" i="31"/>
  <c r="AJ220" i="31"/>
  <c r="AM75" i="31"/>
  <c r="AM22" i="31" s="1"/>
  <c r="AM14" i="31" s="1"/>
  <c r="AM99" i="31"/>
  <c r="L76" i="31"/>
  <c r="AK358" i="31"/>
  <c r="AK308" i="31"/>
  <c r="AK123" i="31"/>
  <c r="AK122" i="31" s="1"/>
  <c r="AK62" i="31"/>
  <c r="AK63" i="31" s="1"/>
  <c r="AK68" i="31" s="1"/>
  <c r="AK143" i="31"/>
  <c r="L77" i="31"/>
  <c r="AJ237" i="31"/>
  <c r="AJ213" i="31"/>
  <c r="AJ261" i="31"/>
  <c r="AJ260" i="31" s="1"/>
  <c r="AE102" i="27"/>
  <c r="AE125" i="27"/>
  <c r="AE124" i="27" s="1"/>
  <c r="AE127" i="27" s="1"/>
  <c r="AM163" i="27"/>
  <c r="AM167" i="27"/>
  <c r="AM164" i="27"/>
  <c r="AM141" i="27"/>
  <c r="AM78" i="27"/>
  <c r="AM82" i="27"/>
  <c r="AM95" i="27"/>
  <c r="AK77" i="27"/>
  <c r="AK76" i="27"/>
  <c r="AL167" i="27"/>
  <c r="AL141" i="27"/>
  <c r="AL163" i="27"/>
  <c r="AL164" i="27"/>
  <c r="AL78" i="27"/>
  <c r="AL82" i="27"/>
  <c r="AL95" i="27"/>
  <c r="AJ75" i="27"/>
  <c r="AJ22" i="27" s="1"/>
  <c r="AJ14" i="27" s="1"/>
  <c r="AJ99" i="27"/>
  <c r="AH310" i="27"/>
  <c r="AH311" i="27"/>
  <c r="AK165" i="27"/>
  <c r="AK279" i="27"/>
  <c r="AH220" i="27"/>
  <c r="AM142" i="27"/>
  <c r="AM96" i="27"/>
  <c r="AM83" i="27"/>
  <c r="AM4" i="27"/>
  <c r="AI358" i="27"/>
  <c r="AI308" i="27"/>
  <c r="AI143" i="27"/>
  <c r="AI123" i="27"/>
  <c r="AI122" i="27" s="1"/>
  <c r="AI62" i="27"/>
  <c r="AI63" i="27" s="1"/>
  <c r="AI68" i="27" s="1"/>
  <c r="AH237" i="27"/>
  <c r="AH261" i="27"/>
  <c r="AH260" i="27" s="1"/>
  <c r="AH213" i="27"/>
  <c r="AJ354" i="27"/>
  <c r="AJ172" i="27"/>
  <c r="AJ166" i="27"/>
  <c r="AJ162" i="27" s="1"/>
  <c r="AG212" i="27"/>
  <c r="AG144" i="27" s="1"/>
  <c r="AG211" i="27"/>
  <c r="AG206" i="27"/>
  <c r="AG104" i="27" s="1"/>
  <c r="AG126" i="27" s="1"/>
  <c r="AF209" i="27"/>
  <c r="AF205" i="27"/>
  <c r="AF103" i="27" s="1"/>
  <c r="AG231" i="27"/>
  <c r="AG230" i="27" s="1"/>
  <c r="AG227" i="27"/>
  <c r="AG226" i="27" s="1"/>
  <c r="AG223" i="27"/>
  <c r="AG222" i="27" s="1"/>
  <c r="AK77" i="24"/>
  <c r="AK76" i="24"/>
  <c r="AH261" i="24"/>
  <c r="AH260" i="24" s="1"/>
  <c r="AH237" i="24"/>
  <c r="AH213" i="24"/>
  <c r="AF207" i="24"/>
  <c r="AF117" i="24" s="1"/>
  <c r="AH220" i="24"/>
  <c r="AG227" i="24"/>
  <c r="AG226" i="24" s="1"/>
  <c r="AG223" i="24"/>
  <c r="AG222" i="24" s="1"/>
  <c r="AG231" i="24"/>
  <c r="AG230" i="24" s="1"/>
  <c r="AK165" i="24"/>
  <c r="AK279" i="24"/>
  <c r="AM83" i="24"/>
  <c r="AM142" i="24"/>
  <c r="AM96" i="24"/>
  <c r="AM4" i="24"/>
  <c r="AF209" i="24"/>
  <c r="AF205" i="24"/>
  <c r="AF103" i="24" s="1"/>
  <c r="AH311" i="24"/>
  <c r="AH310" i="24"/>
  <c r="AE125" i="24"/>
  <c r="AE124" i="24" s="1"/>
  <c r="AE127" i="24" s="1"/>
  <c r="AE102" i="24"/>
  <c r="AJ75" i="24"/>
  <c r="AJ22" i="24" s="1"/>
  <c r="AJ14" i="24" s="1"/>
  <c r="AJ99" i="24"/>
  <c r="AM164" i="24"/>
  <c r="AM82" i="24"/>
  <c r="AM167" i="24"/>
  <c r="AM78" i="24"/>
  <c r="AM141" i="24"/>
  <c r="AM95" i="24"/>
  <c r="AM163" i="24"/>
  <c r="AL167" i="24"/>
  <c r="AL163" i="24"/>
  <c r="AL164" i="24"/>
  <c r="AL82" i="24"/>
  <c r="AL78" i="24"/>
  <c r="AL141" i="24"/>
  <c r="AL95" i="24"/>
  <c r="AI358" i="24"/>
  <c r="AI308" i="24"/>
  <c r="AI143" i="24"/>
  <c r="AI123" i="24"/>
  <c r="AI122" i="24" s="1"/>
  <c r="AI62" i="24"/>
  <c r="AI63" i="24" s="1"/>
  <c r="AI68" i="24" s="1"/>
  <c r="AG212" i="24"/>
  <c r="AG144" i="24" s="1"/>
  <c r="AG211" i="24"/>
  <c r="AG206" i="24"/>
  <c r="AG104" i="24" s="1"/>
  <c r="AG126" i="24" s="1"/>
  <c r="AJ354" i="24"/>
  <c r="AJ166" i="24"/>
  <c r="AJ162" i="24" s="1"/>
  <c r="AJ172" i="24"/>
  <c r="AL77" i="20"/>
  <c r="AL76" i="20"/>
  <c r="AM279" i="20"/>
  <c r="L163" i="20"/>
  <c r="AM165" i="20"/>
  <c r="AI311" i="20"/>
  <c r="AI310" i="20"/>
  <c r="AM77" i="20"/>
  <c r="AM76" i="20"/>
  <c r="L78" i="20"/>
  <c r="AK354" i="20"/>
  <c r="AK172" i="20"/>
  <c r="AK166" i="20"/>
  <c r="AK162" i="20" s="1"/>
  <c r="AL279" i="20"/>
  <c r="AL165" i="20"/>
  <c r="L167" i="20"/>
  <c r="AI220" i="20"/>
  <c r="L164" i="20"/>
  <c r="AJ358" i="20"/>
  <c r="AJ308" i="20"/>
  <c r="AJ143" i="20"/>
  <c r="AJ123" i="20"/>
  <c r="AJ62" i="20"/>
  <c r="AH206" i="20"/>
  <c r="AM142" i="20"/>
  <c r="AM83" i="20"/>
  <c r="AM96" i="20"/>
  <c r="AM4" i="20"/>
  <c r="AG205" i="20"/>
  <c r="AG209" i="20"/>
  <c r="AG207" i="20"/>
  <c r="AH223" i="20"/>
  <c r="AH222" i="20" s="1"/>
  <c r="AH227" i="20"/>
  <c r="AH226" i="20" s="1"/>
  <c r="AH231" i="20"/>
  <c r="AH230" i="20" s="1"/>
  <c r="AK75" i="20"/>
  <c r="AK22" i="20" s="1"/>
  <c r="AK14" i="20" s="1"/>
  <c r="AK99" i="20"/>
  <c r="AH12" i="5"/>
  <c r="AG13" i="33"/>
  <c r="AG213" i="33" s="1"/>
  <c r="AK214" i="32" l="1"/>
  <c r="AK12" i="32"/>
  <c r="AM214" i="31"/>
  <c r="AM12" i="31"/>
  <c r="L14" i="31"/>
  <c r="AL214" i="31"/>
  <c r="AL12" i="31"/>
  <c r="AJ214" i="27"/>
  <c r="AJ12" i="27"/>
  <c r="AI22" i="33"/>
  <c r="AI14" i="24"/>
  <c r="AJ214" i="24"/>
  <c r="AJ12" i="24"/>
  <c r="AH214" i="24"/>
  <c r="AH212" i="24" s="1"/>
  <c r="AH144" i="24" s="1"/>
  <c r="AH12" i="24"/>
  <c r="AK214" i="20"/>
  <c r="AK12" i="20"/>
  <c r="AF102" i="32"/>
  <c r="L22" i="31"/>
  <c r="AJ99" i="33"/>
  <c r="AJ22" i="33"/>
  <c r="AH211" i="20"/>
  <c r="AH205" i="20" s="1"/>
  <c r="AI213" i="20"/>
  <c r="AI212" i="20" s="1"/>
  <c r="AI261" i="20"/>
  <c r="AI260" i="20" s="1"/>
  <c r="AI206" i="20" s="1"/>
  <c r="AH68" i="33"/>
  <c r="AH212" i="32"/>
  <c r="AH144" i="32" s="1"/>
  <c r="AF126" i="33"/>
  <c r="AJ75" i="33"/>
  <c r="AJ333" i="33" s="1"/>
  <c r="AG226" i="33"/>
  <c r="AG222" i="33"/>
  <c r="AG230" i="33"/>
  <c r="AK76" i="33"/>
  <c r="AI143" i="33"/>
  <c r="AE146" i="33"/>
  <c r="AK279" i="33"/>
  <c r="AD127" i="20"/>
  <c r="AD127" i="33" s="1"/>
  <c r="AG144" i="33"/>
  <c r="AI123" i="33"/>
  <c r="AF103" i="33"/>
  <c r="AE102" i="33"/>
  <c r="AF117" i="33"/>
  <c r="AI62" i="33"/>
  <c r="AI122" i="33"/>
  <c r="AF207" i="33"/>
  <c r="AG104" i="33"/>
  <c r="AF205" i="33"/>
  <c r="AG206" i="33"/>
  <c r="AE137" i="33"/>
  <c r="AE125" i="33"/>
  <c r="AI68" i="20"/>
  <c r="AI63" i="33"/>
  <c r="AJ122" i="20"/>
  <c r="AJ261" i="20" s="1"/>
  <c r="AJ260" i="20" s="1"/>
  <c r="AG205" i="32"/>
  <c r="AG103" i="32" s="1"/>
  <c r="AG125" i="32" s="1"/>
  <c r="AH104" i="32"/>
  <c r="AF124" i="32"/>
  <c r="AF127" i="32" s="1"/>
  <c r="AG126" i="32"/>
  <c r="AI237" i="32"/>
  <c r="AI261" i="32"/>
  <c r="AI260" i="32" s="1"/>
  <c r="AI206" i="32" s="1"/>
  <c r="AI213" i="32"/>
  <c r="AI212" i="32" s="1"/>
  <c r="AJ63" i="32"/>
  <c r="AJ122" i="32"/>
  <c r="AI68" i="32"/>
  <c r="AE124" i="20"/>
  <c r="AF125" i="20"/>
  <c r="AF137" i="20"/>
  <c r="L77" i="32"/>
  <c r="AF146" i="20"/>
  <c r="L77" i="20"/>
  <c r="AJ63" i="20"/>
  <c r="AH104" i="20"/>
  <c r="AG126" i="20"/>
  <c r="AF102" i="20"/>
  <c r="AG117" i="20"/>
  <c r="AG103" i="20"/>
  <c r="AH21" i="33"/>
  <c r="AK227" i="33"/>
  <c r="AK231" i="33"/>
  <c r="AK223" i="33"/>
  <c r="AH137" i="31"/>
  <c r="AF146" i="27"/>
  <c r="AH207" i="32"/>
  <c r="AH117" i="32" s="1"/>
  <c r="AH146" i="32" s="1"/>
  <c r="AI207" i="31"/>
  <c r="AI117" i="31" s="1"/>
  <c r="AI137" i="31" s="1"/>
  <c r="AG207" i="27"/>
  <c r="AG117" i="27" s="1"/>
  <c r="AG146" i="27" s="1"/>
  <c r="AG207" i="24"/>
  <c r="AG117" i="24" s="1"/>
  <c r="AG137" i="24" s="1"/>
  <c r="AL354" i="32"/>
  <c r="AL172" i="32"/>
  <c r="AL166" i="32"/>
  <c r="AL162" i="32" s="1"/>
  <c r="AH209" i="32"/>
  <c r="AH205" i="32"/>
  <c r="AH103" i="32" s="1"/>
  <c r="AM75" i="32"/>
  <c r="AM22" i="32" s="1"/>
  <c r="AM99" i="32"/>
  <c r="L76" i="32"/>
  <c r="AK358" i="32"/>
  <c r="AK308" i="32"/>
  <c r="AK123" i="32"/>
  <c r="AK143" i="32"/>
  <c r="AK62" i="32"/>
  <c r="AJ220" i="32"/>
  <c r="AM354" i="32"/>
  <c r="AM172" i="32"/>
  <c r="AM166" i="32"/>
  <c r="L165" i="32"/>
  <c r="AI223" i="32"/>
  <c r="AI222" i="32" s="1"/>
  <c r="AI231" i="32"/>
  <c r="AI230" i="32" s="1"/>
  <c r="AI227" i="32"/>
  <c r="AI226" i="32" s="1"/>
  <c r="AL75" i="32"/>
  <c r="AL22" i="32" s="1"/>
  <c r="AL14" i="32" s="1"/>
  <c r="AL99" i="32"/>
  <c r="AJ311" i="32"/>
  <c r="AJ310" i="32"/>
  <c r="AG137" i="32"/>
  <c r="AG146" i="32"/>
  <c r="L166" i="31"/>
  <c r="AJ212" i="31"/>
  <c r="AJ144" i="31" s="1"/>
  <c r="AJ211" i="31"/>
  <c r="AI209" i="31"/>
  <c r="AI205" i="31"/>
  <c r="AI103" i="31" s="1"/>
  <c r="AJ227" i="31"/>
  <c r="AJ226" i="31" s="1"/>
  <c r="AJ231" i="31"/>
  <c r="AJ230" i="31" s="1"/>
  <c r="AJ223" i="31"/>
  <c r="AJ222" i="31" s="1"/>
  <c r="AK220" i="31"/>
  <c r="AM358" i="31"/>
  <c r="AM308" i="31"/>
  <c r="AM143" i="31"/>
  <c r="AM123" i="31"/>
  <c r="AM62" i="31"/>
  <c r="L75" i="31"/>
  <c r="AK261" i="31"/>
  <c r="AK260" i="31" s="1"/>
  <c r="AK213" i="31"/>
  <c r="AK237" i="31"/>
  <c r="AK311" i="31"/>
  <c r="AK310" i="31"/>
  <c r="AH102" i="31"/>
  <c r="AH125" i="31"/>
  <c r="AH124" i="31" s="1"/>
  <c r="AH127" i="31" s="1"/>
  <c r="AJ206" i="31"/>
  <c r="AJ104" i="31" s="1"/>
  <c r="AJ126" i="31" s="1"/>
  <c r="AM162" i="31"/>
  <c r="L162" i="31" s="1"/>
  <c r="L99" i="31"/>
  <c r="AL358" i="31"/>
  <c r="AL308" i="31"/>
  <c r="AL123" i="31"/>
  <c r="AL122" i="31" s="1"/>
  <c r="AL143" i="31"/>
  <c r="AL62" i="31"/>
  <c r="AL63" i="31" s="1"/>
  <c r="AL68" i="31" s="1"/>
  <c r="L167" i="27"/>
  <c r="AK99" i="27"/>
  <c r="AK75" i="27"/>
  <c r="AK22" i="27" s="1"/>
  <c r="AK14" i="27" s="1"/>
  <c r="AG209" i="27"/>
  <c r="AG205" i="27"/>
  <c r="AG103" i="27" s="1"/>
  <c r="AJ358" i="27"/>
  <c r="AJ308" i="27"/>
  <c r="AJ143" i="27"/>
  <c r="AJ123" i="27"/>
  <c r="AJ122" i="27" s="1"/>
  <c r="AJ62" i="27"/>
  <c r="AJ63" i="27" s="1"/>
  <c r="AJ68" i="27" s="1"/>
  <c r="AH212" i="27"/>
  <c r="AH144" i="27" s="1"/>
  <c r="AH211" i="27"/>
  <c r="AM77" i="27"/>
  <c r="AM76" i="27"/>
  <c r="L78" i="27"/>
  <c r="AH206" i="27"/>
  <c r="AH104" i="27" s="1"/>
  <c r="AH126" i="27" s="1"/>
  <c r="AH231" i="27"/>
  <c r="AH230" i="27" s="1"/>
  <c r="AH227" i="27"/>
  <c r="AH226" i="27" s="1"/>
  <c r="AH223" i="27"/>
  <c r="AH222" i="27" s="1"/>
  <c r="L164" i="27"/>
  <c r="AL77" i="27"/>
  <c r="AL76" i="27"/>
  <c r="AF125" i="27"/>
  <c r="AF124" i="27" s="1"/>
  <c r="AF127" i="27" s="1"/>
  <c r="AF102" i="27"/>
  <c r="AI261" i="27"/>
  <c r="AI260" i="27" s="1"/>
  <c r="AI213" i="27"/>
  <c r="AI237" i="27"/>
  <c r="AM165" i="27"/>
  <c r="L163" i="27"/>
  <c r="AM279" i="27"/>
  <c r="AI220" i="27"/>
  <c r="AK354" i="27"/>
  <c r="AK172" i="27"/>
  <c r="AK166" i="27"/>
  <c r="AK162" i="27" s="1"/>
  <c r="AL165" i="27"/>
  <c r="AL279" i="27"/>
  <c r="AI311" i="27"/>
  <c r="AI310" i="27"/>
  <c r="L164" i="24"/>
  <c r="AJ358" i="24"/>
  <c r="AJ308" i="24"/>
  <c r="AJ123" i="24"/>
  <c r="AJ122" i="24" s="1"/>
  <c r="AJ143" i="24"/>
  <c r="AJ62" i="24"/>
  <c r="AJ63" i="24" s="1"/>
  <c r="AJ68" i="24" s="1"/>
  <c r="AI261" i="24"/>
  <c r="AI260" i="24" s="1"/>
  <c r="AI213" i="24"/>
  <c r="AI237" i="24"/>
  <c r="AM165" i="24"/>
  <c r="AM279" i="24"/>
  <c r="L163" i="24"/>
  <c r="AF137" i="24"/>
  <c r="AF146" i="24"/>
  <c r="AI311" i="24"/>
  <c r="AI310" i="24"/>
  <c r="AK354" i="24"/>
  <c r="AK166" i="24"/>
  <c r="AK162" i="24" s="1"/>
  <c r="AK172" i="24"/>
  <c r="AI220" i="24"/>
  <c r="AH211" i="24"/>
  <c r="AM77" i="24"/>
  <c r="L77" i="24" s="1"/>
  <c r="AM76" i="24"/>
  <c r="L78" i="24"/>
  <c r="AF102" i="24"/>
  <c r="AF125" i="24"/>
  <c r="AF124" i="24" s="1"/>
  <c r="AF127" i="24" s="1"/>
  <c r="AL279" i="24"/>
  <c r="AL165" i="24"/>
  <c r="L167" i="24"/>
  <c r="AH206" i="24"/>
  <c r="AH104" i="24" s="1"/>
  <c r="AH126" i="24" s="1"/>
  <c r="AK75" i="24"/>
  <c r="AK22" i="24" s="1"/>
  <c r="AK99" i="24"/>
  <c r="AL77" i="24"/>
  <c r="AL76" i="24"/>
  <c r="AG209" i="24"/>
  <c r="AG205" i="24"/>
  <c r="AG103" i="24" s="1"/>
  <c r="AH231" i="24"/>
  <c r="AH230" i="24" s="1"/>
  <c r="AH223" i="24"/>
  <c r="AH222" i="24" s="1"/>
  <c r="AH227" i="24"/>
  <c r="AH226" i="24" s="1"/>
  <c r="AJ311" i="20"/>
  <c r="AJ310" i="20"/>
  <c r="AL75" i="20"/>
  <c r="AL22" i="20" s="1"/>
  <c r="AL14" i="20" s="1"/>
  <c r="AL99" i="20"/>
  <c r="AM75" i="20"/>
  <c r="AM22" i="20" s="1"/>
  <c r="AM14" i="20" s="1"/>
  <c r="AM99" i="20"/>
  <c r="L76" i="20"/>
  <c r="AH207" i="20"/>
  <c r="AI223" i="20"/>
  <c r="AI222" i="20" s="1"/>
  <c r="AI227" i="20"/>
  <c r="AI226" i="20" s="1"/>
  <c r="AI231" i="20"/>
  <c r="AI230" i="20" s="1"/>
  <c r="AJ220" i="20"/>
  <c r="AM166" i="20"/>
  <c r="AM172" i="20"/>
  <c r="AM354" i="20"/>
  <c r="L165" i="20"/>
  <c r="AK358" i="20"/>
  <c r="AK308" i="20"/>
  <c r="AK143" i="20"/>
  <c r="AK123" i="20"/>
  <c r="AK62" i="20"/>
  <c r="AL354" i="20"/>
  <c r="AL172" i="20"/>
  <c r="AL166" i="20"/>
  <c r="AL162" i="20" s="1"/>
  <c r="AI12" i="5"/>
  <c r="AH13" i="33"/>
  <c r="AH213" i="33" s="1"/>
  <c r="L22" i="32" l="1"/>
  <c r="AM14" i="32"/>
  <c r="AL214" i="32"/>
  <c r="AL12" i="32"/>
  <c r="K18" i="31"/>
  <c r="K19" i="31"/>
  <c r="K16" i="31"/>
  <c r="K17" i="31"/>
  <c r="K20" i="31"/>
  <c r="L12" i="31"/>
  <c r="J13" i="18" s="1"/>
  <c r="AJ12" i="33"/>
  <c r="AJ212" i="33" s="1"/>
  <c r="AK214" i="27"/>
  <c r="AK12" i="27"/>
  <c r="AK22" i="33"/>
  <c r="AK14" i="24"/>
  <c r="AH12" i="33"/>
  <c r="AH212" i="33" s="1"/>
  <c r="AI214" i="24"/>
  <c r="AI212" i="24" s="1"/>
  <c r="AI144" i="24" s="1"/>
  <c r="AI12" i="24"/>
  <c r="AI211" i="20"/>
  <c r="AI144" i="20"/>
  <c r="AM214" i="20"/>
  <c r="AM12" i="20"/>
  <c r="L14" i="20"/>
  <c r="AL214" i="20"/>
  <c r="AL12" i="20"/>
  <c r="L22" i="20"/>
  <c r="AL76" i="33"/>
  <c r="AH209" i="20"/>
  <c r="AI68" i="33"/>
  <c r="AM76" i="33"/>
  <c r="AH222" i="33"/>
  <c r="AH226" i="33"/>
  <c r="AJ143" i="33"/>
  <c r="AH230" i="33"/>
  <c r="AK75" i="33"/>
  <c r="AK333" i="33" s="1"/>
  <c r="AK99" i="33"/>
  <c r="AJ213" i="20"/>
  <c r="AJ212" i="20" s="1"/>
  <c r="AJ144" i="20" s="1"/>
  <c r="AJ237" i="20"/>
  <c r="AH144" i="33"/>
  <c r="AM279" i="33"/>
  <c r="AL279" i="33"/>
  <c r="AG124" i="32"/>
  <c r="AG127" i="32" s="1"/>
  <c r="AG126" i="33"/>
  <c r="AI144" i="32"/>
  <c r="AG117" i="33"/>
  <c r="AH104" i="33"/>
  <c r="AF102" i="33"/>
  <c r="AF146" i="33"/>
  <c r="AH206" i="33"/>
  <c r="AG207" i="33"/>
  <c r="AF137" i="33"/>
  <c r="AF125" i="33"/>
  <c r="AJ62" i="33"/>
  <c r="AG205" i="33"/>
  <c r="AJ123" i="33"/>
  <c r="AG103" i="33"/>
  <c r="AJ122" i="33"/>
  <c r="AJ68" i="20"/>
  <c r="AJ63" i="33"/>
  <c r="AK122" i="20"/>
  <c r="AK261" i="20" s="1"/>
  <c r="AK260" i="20" s="1"/>
  <c r="AE127" i="20"/>
  <c r="AE127" i="33" s="1"/>
  <c r="AE124" i="33"/>
  <c r="AF124" i="20"/>
  <c r="AF124" i="33" s="1"/>
  <c r="AG102" i="32"/>
  <c r="AJ237" i="32"/>
  <c r="AJ261" i="32"/>
  <c r="AJ260" i="32" s="1"/>
  <c r="AJ206" i="32" s="1"/>
  <c r="AH126" i="32"/>
  <c r="AK63" i="32"/>
  <c r="AJ68" i="32"/>
  <c r="AI104" i="32"/>
  <c r="AK122" i="32"/>
  <c r="AI211" i="32"/>
  <c r="AI205" i="32" s="1"/>
  <c r="AI103" i="32" s="1"/>
  <c r="AJ213" i="32"/>
  <c r="AJ212" i="32" s="1"/>
  <c r="AG125" i="20"/>
  <c r="AG137" i="20"/>
  <c r="AK63" i="20"/>
  <c r="AG146" i="20"/>
  <c r="AI104" i="20"/>
  <c r="AH126" i="20"/>
  <c r="AG102" i="20"/>
  <c r="AH117" i="20"/>
  <c r="AH103" i="20"/>
  <c r="AI21" i="33"/>
  <c r="AL227" i="33"/>
  <c r="AL231" i="33"/>
  <c r="AL223" i="33"/>
  <c r="AM227" i="33"/>
  <c r="AM223" i="33"/>
  <c r="AM231" i="33"/>
  <c r="L220" i="33"/>
  <c r="AI146" i="31"/>
  <c r="AH137" i="32"/>
  <c r="AG146" i="24"/>
  <c r="AJ207" i="31"/>
  <c r="AJ117" i="31" s="1"/>
  <c r="AJ137" i="31" s="1"/>
  <c r="AH207" i="27"/>
  <c r="AH117" i="27" s="1"/>
  <c r="AH146" i="27" s="1"/>
  <c r="AG137" i="27"/>
  <c r="L166" i="32"/>
  <c r="AJ223" i="32"/>
  <c r="AJ222" i="32" s="1"/>
  <c r="AJ231" i="32"/>
  <c r="AJ230" i="32" s="1"/>
  <c r="AJ227" i="32"/>
  <c r="AJ226" i="32" s="1"/>
  <c r="L99" i="32"/>
  <c r="AM358" i="32"/>
  <c r="AM308" i="32"/>
  <c r="AM143" i="32"/>
  <c r="AM123" i="32"/>
  <c r="AM62" i="32"/>
  <c r="L75" i="32"/>
  <c r="AL358" i="32"/>
  <c r="AL308" i="32"/>
  <c r="AL143" i="32"/>
  <c r="AL123" i="32"/>
  <c r="AL62" i="32"/>
  <c r="AK220" i="32"/>
  <c r="AH102" i="32"/>
  <c r="AH125" i="32"/>
  <c r="AI207" i="32"/>
  <c r="AI117" i="32" s="1"/>
  <c r="AK311" i="32"/>
  <c r="AK310" i="32"/>
  <c r="AM162" i="32"/>
  <c r="L162" i="32" s="1"/>
  <c r="AK227" i="31"/>
  <c r="AK226" i="31" s="1"/>
  <c r="AK231" i="31"/>
  <c r="AK230" i="31" s="1"/>
  <c r="AK223" i="31"/>
  <c r="AK222" i="31" s="1"/>
  <c r="AL220" i="31"/>
  <c r="AL261" i="31"/>
  <c r="AL260" i="31" s="1"/>
  <c r="AL237" i="31"/>
  <c r="AL213" i="31"/>
  <c r="AK206" i="31"/>
  <c r="AK104" i="31" s="1"/>
  <c r="AK126" i="31" s="1"/>
  <c r="AL311" i="31"/>
  <c r="AL310" i="31"/>
  <c r="AC267" i="31"/>
  <c r="AC266" i="31" s="1"/>
  <c r="AC11" i="31" s="1"/>
  <c r="Q267" i="31"/>
  <c r="Q266" i="31" s="1"/>
  <c r="Q11" i="31" s="1"/>
  <c r="G268" i="31"/>
  <c r="O268" i="31" s="1"/>
  <c r="L268" i="31" s="1"/>
  <c r="AB267" i="31"/>
  <c r="AB266" i="31" s="1"/>
  <c r="AB11" i="31" s="1"/>
  <c r="P267" i="31"/>
  <c r="P266" i="31" s="1"/>
  <c r="P11" i="31" s="1"/>
  <c r="AE267" i="31"/>
  <c r="AE266" i="31" s="1"/>
  <c r="AE11" i="31" s="1"/>
  <c r="AA267" i="31"/>
  <c r="AA266" i="31" s="1"/>
  <c r="AA11" i="31" s="1"/>
  <c r="G267" i="31"/>
  <c r="O267" i="31" s="1"/>
  <c r="Z267" i="31"/>
  <c r="Z266" i="31" s="1"/>
  <c r="Z11" i="31" s="1"/>
  <c r="AM267" i="31"/>
  <c r="AM266" i="31" s="1"/>
  <c r="AM11" i="31" s="1"/>
  <c r="Y267" i="31"/>
  <c r="Y266" i="31" s="1"/>
  <c r="Y11" i="31" s="1"/>
  <c r="AJ267" i="31"/>
  <c r="AJ266" i="31" s="1"/>
  <c r="AJ11" i="31" s="1"/>
  <c r="R267" i="31"/>
  <c r="R266" i="31" s="1"/>
  <c r="R11" i="31" s="1"/>
  <c r="AI267" i="31"/>
  <c r="AI266" i="31" s="1"/>
  <c r="AI11" i="31" s="1"/>
  <c r="AH267" i="31"/>
  <c r="AH266" i="31" s="1"/>
  <c r="AH11" i="31" s="1"/>
  <c r="AG267" i="31"/>
  <c r="AG266" i="31" s="1"/>
  <c r="AG11" i="31" s="1"/>
  <c r="U267" i="31"/>
  <c r="U266" i="31" s="1"/>
  <c r="U11" i="31" s="1"/>
  <c r="AL267" i="31"/>
  <c r="AL266" i="31" s="1"/>
  <c r="AL11" i="31" s="1"/>
  <c r="AK267" i="31"/>
  <c r="AK266" i="31" s="1"/>
  <c r="AK11" i="31" s="1"/>
  <c r="T267" i="31"/>
  <c r="T266" i="31" s="1"/>
  <c r="T11" i="31" s="1"/>
  <c r="S267" i="31"/>
  <c r="S266" i="31" s="1"/>
  <c r="S11" i="31" s="1"/>
  <c r="AD267" i="31"/>
  <c r="AD266" i="31" s="1"/>
  <c r="AD11" i="31" s="1"/>
  <c r="X267" i="31"/>
  <c r="X266" i="31" s="1"/>
  <c r="X11" i="31" s="1"/>
  <c r="W267" i="31"/>
  <c r="W266" i="31" s="1"/>
  <c r="W11" i="31" s="1"/>
  <c r="AF267" i="31"/>
  <c r="AF266" i="31" s="1"/>
  <c r="AF11" i="31" s="1"/>
  <c r="V267" i="31"/>
  <c r="V266" i="31" s="1"/>
  <c r="V11" i="31" s="1"/>
  <c r="AM63" i="31"/>
  <c r="L62" i="31"/>
  <c r="AM122" i="31"/>
  <c r="L123" i="31"/>
  <c r="L122" i="31" s="1"/>
  <c r="AM220" i="31"/>
  <c r="L143" i="31"/>
  <c r="AI125" i="31"/>
  <c r="AI124" i="31" s="1"/>
  <c r="AI127" i="31" s="1"/>
  <c r="AI102" i="31"/>
  <c r="AM311" i="31"/>
  <c r="L311" i="31" s="1"/>
  <c r="AM310" i="31"/>
  <c r="L308" i="31"/>
  <c r="E318" i="31" s="1"/>
  <c r="E320" i="31" s="1"/>
  <c r="AJ209" i="31"/>
  <c r="AJ205" i="31"/>
  <c r="AJ103" i="31" s="1"/>
  <c r="AK212" i="31"/>
  <c r="AK144" i="31" s="1"/>
  <c r="AK211" i="31"/>
  <c r="AI206" i="27"/>
  <c r="AI104" i="27" s="1"/>
  <c r="AI126" i="27" s="1"/>
  <c r="AI212" i="27"/>
  <c r="AI144" i="27" s="1"/>
  <c r="AI211" i="27"/>
  <c r="AJ213" i="27"/>
  <c r="AJ261" i="27"/>
  <c r="AJ260" i="27" s="1"/>
  <c r="AJ237" i="27"/>
  <c r="AJ220" i="27"/>
  <c r="AI227" i="27"/>
  <c r="AI226" i="27" s="1"/>
  <c r="AI223" i="27"/>
  <c r="AI222" i="27" s="1"/>
  <c r="AI231" i="27"/>
  <c r="AI230" i="27" s="1"/>
  <c r="AL99" i="27"/>
  <c r="AL75" i="27"/>
  <c r="AL22" i="27" s="1"/>
  <c r="AL14" i="27" s="1"/>
  <c r="AJ311" i="27"/>
  <c r="AJ310" i="27"/>
  <c r="AM354" i="27"/>
  <c r="AM172" i="27"/>
  <c r="AM166" i="27"/>
  <c r="L165" i="27"/>
  <c r="AG102" i="27"/>
  <c r="AG125" i="27"/>
  <c r="AG124" i="27" s="1"/>
  <c r="AG127" i="27" s="1"/>
  <c r="AM99" i="27"/>
  <c r="AM75" i="27"/>
  <c r="AM22" i="27" s="1"/>
  <c r="AM14" i="27" s="1"/>
  <c r="L76" i="27"/>
  <c r="AL354" i="27"/>
  <c r="AL172" i="27"/>
  <c r="AL166" i="27"/>
  <c r="AL162" i="27" s="1"/>
  <c r="L77" i="27"/>
  <c r="AK358" i="27"/>
  <c r="AK308" i="27"/>
  <c r="AK143" i="27"/>
  <c r="AK123" i="27"/>
  <c r="AK122" i="27" s="1"/>
  <c r="AK62" i="27"/>
  <c r="AK63" i="27" s="1"/>
  <c r="AK68" i="27" s="1"/>
  <c r="AH209" i="27"/>
  <c r="AH205" i="27"/>
  <c r="AH103" i="27" s="1"/>
  <c r="AI206" i="24"/>
  <c r="AI104" i="24" s="1"/>
  <c r="AI126" i="24" s="1"/>
  <c r="AH207" i="24"/>
  <c r="AH117" i="24" s="1"/>
  <c r="AG102" i="24"/>
  <c r="AG125" i="24"/>
  <c r="AG124" i="24" s="1"/>
  <c r="AG127" i="24" s="1"/>
  <c r="AL354" i="24"/>
  <c r="AL166" i="24"/>
  <c r="AL162" i="24" s="1"/>
  <c r="AL172" i="24"/>
  <c r="AJ220" i="24"/>
  <c r="AJ261" i="24"/>
  <c r="AJ260" i="24" s="1"/>
  <c r="AJ237" i="24"/>
  <c r="AJ213" i="24"/>
  <c r="AM166" i="24"/>
  <c r="AM354" i="24"/>
  <c r="AM172" i="24"/>
  <c r="L165" i="24"/>
  <c r="AJ311" i="24"/>
  <c r="AJ310" i="24"/>
  <c r="AM75" i="24"/>
  <c r="AM22" i="24" s="1"/>
  <c r="AM99" i="24"/>
  <c r="L76" i="24"/>
  <c r="AH209" i="24"/>
  <c r="AH205" i="24"/>
  <c r="AH103" i="24" s="1"/>
  <c r="AI231" i="24"/>
  <c r="AI230" i="24" s="1"/>
  <c r="AI230" i="33" s="1"/>
  <c r="AI227" i="24"/>
  <c r="AI226" i="24" s="1"/>
  <c r="AI223" i="24"/>
  <c r="AI222" i="24" s="1"/>
  <c r="AL75" i="24"/>
  <c r="AL22" i="24" s="1"/>
  <c r="AL14" i="24" s="1"/>
  <c r="AL99" i="24"/>
  <c r="AK358" i="24"/>
  <c r="AK308" i="24"/>
  <c r="AK123" i="24"/>
  <c r="AK122" i="24" s="1"/>
  <c r="AK143" i="24"/>
  <c r="AK62" i="24"/>
  <c r="AK63" i="24" s="1"/>
  <c r="AK68" i="24" s="1"/>
  <c r="AM358" i="20"/>
  <c r="AM308" i="20"/>
  <c r="AM123" i="20"/>
  <c r="AM143" i="20"/>
  <c r="AM62" i="20"/>
  <c r="L75" i="20"/>
  <c r="L99" i="20"/>
  <c r="AI205" i="20"/>
  <c r="AI209" i="20"/>
  <c r="L166" i="20"/>
  <c r="AM162" i="20"/>
  <c r="L162" i="20" s="1"/>
  <c r="AL358" i="20"/>
  <c r="AL308" i="20"/>
  <c r="AL143" i="20"/>
  <c r="AL62" i="20"/>
  <c r="AL123" i="20"/>
  <c r="AJ227" i="20"/>
  <c r="AJ226" i="20" s="1"/>
  <c r="AJ231" i="20"/>
  <c r="AJ230" i="20" s="1"/>
  <c r="AJ223" i="20"/>
  <c r="AJ222" i="20" s="1"/>
  <c r="AK220" i="20"/>
  <c r="AJ206" i="20"/>
  <c r="AK311" i="20"/>
  <c r="AK310" i="20"/>
  <c r="AI207" i="20"/>
  <c r="AJ12" i="5"/>
  <c r="AI13" i="33"/>
  <c r="AI213" i="33" s="1"/>
  <c r="AM12" i="32" l="1"/>
  <c r="AM214" i="32"/>
  <c r="L14" i="32"/>
  <c r="AL214" i="27"/>
  <c r="AL12" i="27"/>
  <c r="AM214" i="27"/>
  <c r="AM12" i="27"/>
  <c r="L14" i="27"/>
  <c r="L22" i="24"/>
  <c r="AM14" i="24"/>
  <c r="AI12" i="33"/>
  <c r="AI212" i="33" s="1"/>
  <c r="AL214" i="24"/>
  <c r="AL12" i="24"/>
  <c r="AI211" i="24"/>
  <c r="AI205" i="24" s="1"/>
  <c r="AI103" i="24" s="1"/>
  <c r="AK12" i="24"/>
  <c r="AK214" i="24"/>
  <c r="K19" i="20"/>
  <c r="K20" i="20"/>
  <c r="K17" i="20"/>
  <c r="K16" i="20"/>
  <c r="K18" i="20"/>
  <c r="L12" i="20"/>
  <c r="L22" i="27"/>
  <c r="AL22" i="33"/>
  <c r="AI226" i="33"/>
  <c r="AM22" i="33"/>
  <c r="AH126" i="33"/>
  <c r="AL75" i="33"/>
  <c r="AL333" i="33" s="1"/>
  <c r="AI222" i="33"/>
  <c r="AJ211" i="20"/>
  <c r="AJ205" i="20" s="1"/>
  <c r="AJ68" i="33"/>
  <c r="AL99" i="33"/>
  <c r="AM75" i="33"/>
  <c r="AM333" i="33" s="1"/>
  <c r="AK143" i="33"/>
  <c r="AM99" i="33"/>
  <c r="AK237" i="20"/>
  <c r="AK213" i="20"/>
  <c r="AK211" i="20" s="1"/>
  <c r="AI144" i="33"/>
  <c r="AG137" i="33"/>
  <c r="AI206" i="33"/>
  <c r="AI104" i="33"/>
  <c r="AG146" i="33"/>
  <c r="AG125" i="33"/>
  <c r="AK62" i="33"/>
  <c r="AK123" i="33"/>
  <c r="AH103" i="33"/>
  <c r="AK122" i="33"/>
  <c r="AH207" i="33"/>
  <c r="AH117" i="33"/>
  <c r="AG102" i="33"/>
  <c r="AH205" i="33"/>
  <c r="AF127" i="20"/>
  <c r="AF127" i="33" s="1"/>
  <c r="AL122" i="20"/>
  <c r="AL237" i="20" s="1"/>
  <c r="AK68" i="20"/>
  <c r="AK63" i="33"/>
  <c r="AJ144" i="32"/>
  <c r="AH124" i="32"/>
  <c r="AH127" i="32" s="1"/>
  <c r="AJ211" i="32"/>
  <c r="AJ209" i="32" s="1"/>
  <c r="AL122" i="32"/>
  <c r="AK213" i="32"/>
  <c r="AK211" i="32" s="1"/>
  <c r="AL63" i="32"/>
  <c r="AK237" i="32"/>
  <c r="AI209" i="32"/>
  <c r="AK68" i="32"/>
  <c r="AI126" i="32"/>
  <c r="AK261" i="32"/>
  <c r="AK260" i="32" s="1"/>
  <c r="AK206" i="32" s="1"/>
  <c r="AJ104" i="32"/>
  <c r="AH137" i="20"/>
  <c r="AG124" i="20"/>
  <c r="AG124" i="33" s="1"/>
  <c r="AH125" i="20"/>
  <c r="AL63" i="20"/>
  <c r="AH146" i="20"/>
  <c r="AJ104" i="20"/>
  <c r="AI126" i="20"/>
  <c r="AH102" i="20"/>
  <c r="AI117" i="20"/>
  <c r="AI103" i="20"/>
  <c r="AJ21" i="33"/>
  <c r="L76" i="33"/>
  <c r="AK207" i="31"/>
  <c r="AK117" i="31" s="1"/>
  <c r="AK146" i="31" s="1"/>
  <c r="AJ207" i="20"/>
  <c r="AJ146" i="31"/>
  <c r="AH137" i="27"/>
  <c r="AI146" i="32"/>
  <c r="AI137" i="32"/>
  <c r="AK267" i="32"/>
  <c r="AK266" i="32" s="1"/>
  <c r="AK11" i="32" s="1"/>
  <c r="Y267" i="32"/>
  <c r="Y266" i="32" s="1"/>
  <c r="Y11" i="32" s="1"/>
  <c r="G267" i="32"/>
  <c r="O267" i="32" s="1"/>
  <c r="AJ267" i="32"/>
  <c r="AJ266" i="32" s="1"/>
  <c r="AJ11" i="32" s="1"/>
  <c r="X267" i="32"/>
  <c r="X266" i="32" s="1"/>
  <c r="X11" i="32" s="1"/>
  <c r="AI267" i="32"/>
  <c r="AI266" i="32" s="1"/>
  <c r="AI11" i="32" s="1"/>
  <c r="W267" i="32"/>
  <c r="W266" i="32" s="1"/>
  <c r="W11" i="32" s="1"/>
  <c r="AF267" i="32"/>
  <c r="AF266" i="32" s="1"/>
  <c r="AF11" i="32" s="1"/>
  <c r="T267" i="32"/>
  <c r="T266" i="32" s="1"/>
  <c r="T11" i="32" s="1"/>
  <c r="AE267" i="32"/>
  <c r="AE266" i="32" s="1"/>
  <c r="AE11" i="32" s="1"/>
  <c r="S267" i="32"/>
  <c r="S266" i="32" s="1"/>
  <c r="S11" i="32" s="1"/>
  <c r="AD267" i="32"/>
  <c r="AD266" i="32" s="1"/>
  <c r="AD11" i="32" s="1"/>
  <c r="R267" i="32"/>
  <c r="R266" i="32" s="1"/>
  <c r="R11" i="32" s="1"/>
  <c r="AC267" i="32"/>
  <c r="AC266" i="32" s="1"/>
  <c r="AC11" i="32" s="1"/>
  <c r="Q267" i="32"/>
  <c r="Q266" i="32" s="1"/>
  <c r="Q11" i="32" s="1"/>
  <c r="G268" i="32"/>
  <c r="O268" i="32" s="1"/>
  <c r="L268" i="32" s="1"/>
  <c r="AB267" i="32"/>
  <c r="AB266" i="32" s="1"/>
  <c r="AB11" i="32" s="1"/>
  <c r="P267" i="32"/>
  <c r="P266" i="32" s="1"/>
  <c r="P11" i="32" s="1"/>
  <c r="AM267" i="32"/>
  <c r="AM266" i="32" s="1"/>
  <c r="AA267" i="32"/>
  <c r="AA266" i="32" s="1"/>
  <c r="AA11" i="32" s="1"/>
  <c r="AG267" i="32"/>
  <c r="AG266" i="32" s="1"/>
  <c r="AG11" i="32" s="1"/>
  <c r="Z267" i="32"/>
  <c r="Z266" i="32" s="1"/>
  <c r="Z11" i="32" s="1"/>
  <c r="V267" i="32"/>
  <c r="V266" i="32" s="1"/>
  <c r="V11" i="32" s="1"/>
  <c r="U267" i="32"/>
  <c r="U266" i="32" s="1"/>
  <c r="U11" i="32" s="1"/>
  <c r="AL267" i="32"/>
  <c r="AL266" i="32" s="1"/>
  <c r="AL11" i="32" s="1"/>
  <c r="AH267" i="32"/>
  <c r="AH266" i="32" s="1"/>
  <c r="AH11" i="32" s="1"/>
  <c r="AM63" i="32"/>
  <c r="L62" i="32"/>
  <c r="AM122" i="32"/>
  <c r="L123" i="32"/>
  <c r="L122" i="32" s="1"/>
  <c r="AJ207" i="32"/>
  <c r="AJ117" i="32" s="1"/>
  <c r="AM311" i="32"/>
  <c r="AM310" i="32"/>
  <c r="L308" i="32"/>
  <c r="E318" i="32" s="1"/>
  <c r="E320" i="32" s="1"/>
  <c r="AL220" i="32"/>
  <c r="AI102" i="32"/>
  <c r="AI125" i="32"/>
  <c r="AM220" i="32"/>
  <c r="L143" i="32"/>
  <c r="AL311" i="32"/>
  <c r="AL310" i="32"/>
  <c r="AK223" i="32"/>
  <c r="AK222" i="32" s="1"/>
  <c r="AK231" i="32"/>
  <c r="AK230" i="32" s="1"/>
  <c r="AK227" i="32"/>
  <c r="AK226" i="32" s="1"/>
  <c r="AJ125" i="31"/>
  <c r="AJ124" i="31" s="1"/>
  <c r="AJ127" i="31" s="1"/>
  <c r="AJ102" i="31"/>
  <c r="AM68" i="31"/>
  <c r="L63" i="31"/>
  <c r="AL206" i="31"/>
  <c r="AL104" i="31" s="1"/>
  <c r="AL126" i="31" s="1"/>
  <c r="AM227" i="31"/>
  <c r="AM226" i="31" s="1"/>
  <c r="AM223" i="31"/>
  <c r="AM222" i="31" s="1"/>
  <c r="AM231" i="31"/>
  <c r="AM230" i="31" s="1"/>
  <c r="L220" i="31"/>
  <c r="AL227" i="31"/>
  <c r="AL226" i="31" s="1"/>
  <c r="AL223" i="31"/>
  <c r="AL222" i="31" s="1"/>
  <c r="AL231" i="31"/>
  <c r="AL230" i="31" s="1"/>
  <c r="L310" i="31"/>
  <c r="AK209" i="31"/>
  <c r="AK205" i="31"/>
  <c r="AK103" i="31" s="1"/>
  <c r="L267" i="31"/>
  <c r="O266" i="31"/>
  <c r="O11" i="31" s="1"/>
  <c r="AM261" i="31"/>
  <c r="AM260" i="31" s="1"/>
  <c r="AM237" i="31"/>
  <c r="AM213" i="31"/>
  <c r="AL212" i="31"/>
  <c r="AL144" i="31" s="1"/>
  <c r="AL211" i="31"/>
  <c r="AK237" i="27"/>
  <c r="AK261" i="27"/>
  <c r="AK260" i="27" s="1"/>
  <c r="AK213" i="27"/>
  <c r="AL358" i="27"/>
  <c r="AL308" i="27"/>
  <c r="AL143" i="27"/>
  <c r="AL123" i="27"/>
  <c r="AL122" i="27" s="1"/>
  <c r="AL62" i="27"/>
  <c r="AL63" i="27" s="1"/>
  <c r="AL68" i="27" s="1"/>
  <c r="AJ227" i="27"/>
  <c r="AJ226" i="27" s="1"/>
  <c r="AJ223" i="27"/>
  <c r="AJ222" i="27" s="1"/>
  <c r="AJ231" i="27"/>
  <c r="AJ230" i="27" s="1"/>
  <c r="AK311" i="27"/>
  <c r="AK310" i="27"/>
  <c r="AJ206" i="27"/>
  <c r="AJ104" i="27" s="1"/>
  <c r="AJ126" i="27" s="1"/>
  <c r="AJ212" i="27"/>
  <c r="AJ144" i="27" s="1"/>
  <c r="AJ211" i="27"/>
  <c r="AK220" i="27"/>
  <c r="L166" i="27"/>
  <c r="AM162" i="27"/>
  <c r="L162" i="27" s="1"/>
  <c r="AH102" i="27"/>
  <c r="AH125" i="27"/>
  <c r="AH124" i="27" s="1"/>
  <c r="AH127" i="27" s="1"/>
  <c r="AI209" i="27"/>
  <c r="AI205" i="27"/>
  <c r="AI103" i="27" s="1"/>
  <c r="AM358" i="27"/>
  <c r="AM308" i="27"/>
  <c r="AM143" i="27"/>
  <c r="AM123" i="27"/>
  <c r="AM62" i="27"/>
  <c r="L75" i="27"/>
  <c r="AI207" i="27"/>
  <c r="AI117" i="27" s="1"/>
  <c r="L99" i="27"/>
  <c r="L166" i="24"/>
  <c r="AJ211" i="24"/>
  <c r="AJ212" i="24"/>
  <c r="AJ144" i="24" s="1"/>
  <c r="AH125" i="24"/>
  <c r="AH124" i="24" s="1"/>
  <c r="AH127" i="24" s="1"/>
  <c r="AH102" i="24"/>
  <c r="AI207" i="24"/>
  <c r="AI117" i="24" s="1"/>
  <c r="L99" i="24"/>
  <c r="AJ206" i="24"/>
  <c r="AJ104" i="24" s="1"/>
  <c r="AJ126" i="24" s="1"/>
  <c r="AM358" i="24"/>
  <c r="AM308" i="24"/>
  <c r="AM143" i="24"/>
  <c r="AM62" i="24"/>
  <c r="AM123" i="24"/>
  <c r="L75" i="24"/>
  <c r="AH146" i="24"/>
  <c r="AH137" i="24"/>
  <c r="AL358" i="24"/>
  <c r="AL308" i="24"/>
  <c r="AL143" i="24"/>
  <c r="AL62" i="24"/>
  <c r="AL63" i="24" s="1"/>
  <c r="AL68" i="24" s="1"/>
  <c r="AL123" i="24"/>
  <c r="AL122" i="24" s="1"/>
  <c r="AK220" i="24"/>
  <c r="AM162" i="24"/>
  <c r="L162" i="24" s="1"/>
  <c r="AJ223" i="24"/>
  <c r="AJ222" i="24" s="1"/>
  <c r="AJ231" i="24"/>
  <c r="AJ230" i="24" s="1"/>
  <c r="AJ227" i="24"/>
  <c r="AJ226" i="24" s="1"/>
  <c r="AK311" i="24"/>
  <c r="AK310" i="24"/>
  <c r="AK237" i="24"/>
  <c r="AK261" i="24"/>
  <c r="AK260" i="24" s="1"/>
  <c r="AK213" i="24"/>
  <c r="AM63" i="20"/>
  <c r="L62" i="20"/>
  <c r="AL220" i="20"/>
  <c r="AM220" i="20"/>
  <c r="L143" i="20"/>
  <c r="AJ267" i="20"/>
  <c r="AJ266" i="20" s="1"/>
  <c r="AJ11" i="20" s="1"/>
  <c r="X267" i="20"/>
  <c r="X266" i="20" s="1"/>
  <c r="X11" i="20" s="1"/>
  <c r="AE267" i="20"/>
  <c r="AE266" i="20" s="1"/>
  <c r="AE11" i="20" s="1"/>
  <c r="S267" i="20"/>
  <c r="S266" i="20" s="1"/>
  <c r="S11" i="20" s="1"/>
  <c r="AD267" i="20"/>
  <c r="AD266" i="20" s="1"/>
  <c r="AD11" i="20" s="1"/>
  <c r="R267" i="20"/>
  <c r="R266" i="20" s="1"/>
  <c r="R11" i="20" s="1"/>
  <c r="AC267" i="20"/>
  <c r="AC266" i="20" s="1"/>
  <c r="AC11" i="20" s="1"/>
  <c r="Q267" i="20"/>
  <c r="Q266" i="20" s="1"/>
  <c r="Q11" i="20" s="1"/>
  <c r="G268" i="20"/>
  <c r="O268" i="20" s="1"/>
  <c r="L268" i="20" s="1"/>
  <c r="AB267" i="20"/>
  <c r="AB266" i="20" s="1"/>
  <c r="AB11" i="20" s="1"/>
  <c r="P267" i="20"/>
  <c r="P266" i="20" s="1"/>
  <c r="P11" i="20" s="1"/>
  <c r="Y267" i="20"/>
  <c r="Y266" i="20" s="1"/>
  <c r="Y11" i="20" s="1"/>
  <c r="W267" i="20"/>
  <c r="W266" i="20" s="1"/>
  <c r="W11" i="20" s="1"/>
  <c r="V267" i="20"/>
  <c r="V266" i="20" s="1"/>
  <c r="V11" i="20" s="1"/>
  <c r="Z267" i="20"/>
  <c r="Z266" i="20" s="1"/>
  <c r="Z11" i="20" s="1"/>
  <c r="AA267" i="20"/>
  <c r="AA266" i="20" s="1"/>
  <c r="AA11" i="20" s="1"/>
  <c r="U267" i="20"/>
  <c r="U266" i="20" s="1"/>
  <c r="U11" i="20" s="1"/>
  <c r="T267" i="20"/>
  <c r="T266" i="20" s="1"/>
  <c r="T11" i="20" s="1"/>
  <c r="AK267" i="20"/>
  <c r="AK266" i="20" s="1"/>
  <c r="AK11" i="20" s="1"/>
  <c r="AI267" i="20"/>
  <c r="AI266" i="20" s="1"/>
  <c r="AI11" i="20" s="1"/>
  <c r="AH267" i="20"/>
  <c r="AH266" i="20" s="1"/>
  <c r="AH11" i="20" s="1"/>
  <c r="AG267" i="20"/>
  <c r="AG266" i="20" s="1"/>
  <c r="AG11" i="20" s="1"/>
  <c r="AF267" i="20"/>
  <c r="AF266" i="20" s="1"/>
  <c r="AF11" i="20" s="1"/>
  <c r="G267" i="20"/>
  <c r="O267" i="20" s="1"/>
  <c r="AM267" i="20"/>
  <c r="AM266" i="20" s="1"/>
  <c r="AM11" i="20" s="1"/>
  <c r="AL267" i="20"/>
  <c r="AL266" i="20" s="1"/>
  <c r="AL11" i="20" s="1"/>
  <c r="AM122" i="20"/>
  <c r="L123" i="20"/>
  <c r="L122" i="20" s="1"/>
  <c r="AM311" i="20"/>
  <c r="AM310" i="20"/>
  <c r="L308" i="20"/>
  <c r="E318" i="20" s="1"/>
  <c r="E320" i="20" s="1"/>
  <c r="AL311" i="20"/>
  <c r="AL310" i="20"/>
  <c r="AK206" i="20"/>
  <c r="AK231" i="20"/>
  <c r="AK230" i="20" s="1"/>
  <c r="AK227" i="20"/>
  <c r="AK226" i="20" s="1"/>
  <c r="AK223" i="20"/>
  <c r="AK222" i="20" s="1"/>
  <c r="AK12" i="5"/>
  <c r="AJ13" i="33"/>
  <c r="AJ213" i="33" s="1"/>
  <c r="K20" i="32" l="1"/>
  <c r="K16" i="32"/>
  <c r="K17" i="32"/>
  <c r="K18" i="32"/>
  <c r="K19" i="32"/>
  <c r="AM11" i="32"/>
  <c r="L12" i="32"/>
  <c r="K13" i="18" s="1"/>
  <c r="K16" i="27"/>
  <c r="K19" i="27"/>
  <c r="K18" i="27"/>
  <c r="K20" i="27"/>
  <c r="K17" i="27"/>
  <c r="L12" i="27"/>
  <c r="I13" i="18" s="1"/>
  <c r="AL12" i="33"/>
  <c r="AL212" i="33" s="1"/>
  <c r="AI209" i="24"/>
  <c r="AK12" i="33"/>
  <c r="AK212" i="33" s="1"/>
  <c r="AM214" i="24"/>
  <c r="AM12" i="24"/>
  <c r="L14" i="24"/>
  <c r="G13" i="18"/>
  <c r="L22" i="33"/>
  <c r="AM62" i="33"/>
  <c r="AM143" i="33"/>
  <c r="AJ209" i="20"/>
  <c r="AK212" i="20"/>
  <c r="AK144" i="20" s="1"/>
  <c r="D14" i="18"/>
  <c r="AK68" i="33"/>
  <c r="AK212" i="32"/>
  <c r="AK144" i="32" s="1"/>
  <c r="AJ230" i="33"/>
  <c r="AM123" i="33"/>
  <c r="AJ226" i="33"/>
  <c r="AJ222" i="33"/>
  <c r="AL143" i="33"/>
  <c r="AL213" i="20"/>
  <c r="AL211" i="20" s="1"/>
  <c r="AL261" i="20"/>
  <c r="AL260" i="20" s="1"/>
  <c r="AL206" i="20" s="1"/>
  <c r="AJ144" i="33"/>
  <c r="AI126" i="33"/>
  <c r="AI103" i="33"/>
  <c r="AL123" i="33"/>
  <c r="AL122" i="33"/>
  <c r="AI117" i="33"/>
  <c r="AI207" i="33"/>
  <c r="AH102" i="33"/>
  <c r="AJ104" i="33"/>
  <c r="AH146" i="33"/>
  <c r="AH125" i="33"/>
  <c r="AJ206" i="33"/>
  <c r="AI205" i="33"/>
  <c r="AL62" i="33"/>
  <c r="AH137" i="33"/>
  <c r="AL68" i="20"/>
  <c r="AL63" i="33"/>
  <c r="AJ205" i="32"/>
  <c r="AJ103" i="32" s="1"/>
  <c r="AJ125" i="32" s="1"/>
  <c r="AI124" i="32"/>
  <c r="AI127" i="32" s="1"/>
  <c r="AL237" i="32"/>
  <c r="AL213" i="32"/>
  <c r="AL211" i="32" s="1"/>
  <c r="AL261" i="32"/>
  <c r="AL260" i="32" s="1"/>
  <c r="AL206" i="32" s="1"/>
  <c r="AK104" i="32"/>
  <c r="AL68" i="32"/>
  <c r="AJ126" i="32"/>
  <c r="AI125" i="20"/>
  <c r="AI146" i="20"/>
  <c r="AG127" i="20"/>
  <c r="AG127" i="33" s="1"/>
  <c r="AH124" i="20"/>
  <c r="AH124" i="33" s="1"/>
  <c r="AI137" i="20"/>
  <c r="AK104" i="20"/>
  <c r="AJ126" i="20"/>
  <c r="AI102" i="20"/>
  <c r="AJ117" i="20"/>
  <c r="AJ103" i="20"/>
  <c r="AK21" i="33"/>
  <c r="D322" i="33"/>
  <c r="L75" i="33"/>
  <c r="P267" i="33" s="1"/>
  <c r="P266" i="33" s="1"/>
  <c r="AK137" i="31"/>
  <c r="AK207" i="20"/>
  <c r="AK207" i="32"/>
  <c r="AK117" i="32" s="1"/>
  <c r="AK146" i="32" s="1"/>
  <c r="L311" i="32"/>
  <c r="L310" i="32"/>
  <c r="AM261" i="32"/>
  <c r="AM260" i="32" s="1"/>
  <c r="AM237" i="32"/>
  <c r="AM213" i="32"/>
  <c r="AM68" i="32"/>
  <c r="L63" i="32"/>
  <c r="AM223" i="32"/>
  <c r="AM222" i="32" s="1"/>
  <c r="AM231" i="32"/>
  <c r="AM230" i="32" s="1"/>
  <c r="AM227" i="32"/>
  <c r="AM226" i="32" s="1"/>
  <c r="L220" i="32"/>
  <c r="O266" i="32"/>
  <c r="O11" i="32" s="1"/>
  <c r="L267" i="32"/>
  <c r="AL231" i="32"/>
  <c r="AL230" i="32" s="1"/>
  <c r="AL223" i="32"/>
  <c r="AL222" i="32" s="1"/>
  <c r="AL227" i="32"/>
  <c r="AL226" i="32" s="1"/>
  <c r="AJ146" i="32"/>
  <c r="AJ137" i="32"/>
  <c r="AK205" i="32"/>
  <c r="AK103" i="32" s="1"/>
  <c r="AK209" i="32"/>
  <c r="AK125" i="31"/>
  <c r="AK124" i="31" s="1"/>
  <c r="AK127" i="31" s="1"/>
  <c r="AK102" i="31"/>
  <c r="L68" i="31"/>
  <c r="AM207" i="31"/>
  <c r="AM117" i="31" s="1"/>
  <c r="AM211" i="31"/>
  <c r="AM212" i="31"/>
  <c r="AM144" i="31" s="1"/>
  <c r="AL207" i="31"/>
  <c r="AL117" i="31" s="1"/>
  <c r="AM206" i="31"/>
  <c r="AM104" i="31" s="1"/>
  <c r="AL209" i="31"/>
  <c r="AL205" i="31"/>
  <c r="AL103" i="31" s="1"/>
  <c r="L266" i="31"/>
  <c r="AL261" i="27"/>
  <c r="AL260" i="27" s="1"/>
  <c r="AL237" i="27"/>
  <c r="AL213" i="27"/>
  <c r="AI125" i="27"/>
  <c r="AI124" i="27" s="1"/>
  <c r="AI127" i="27" s="1"/>
  <c r="AI102" i="27"/>
  <c r="AL220" i="27"/>
  <c r="AL311" i="27"/>
  <c r="AL310" i="27"/>
  <c r="AI146" i="27"/>
  <c r="AI137" i="27"/>
  <c r="AK267" i="27"/>
  <c r="AK266" i="27" s="1"/>
  <c r="AK11" i="27" s="1"/>
  <c r="Y267" i="27"/>
  <c r="Y266" i="27" s="1"/>
  <c r="Y11" i="27" s="1"/>
  <c r="G267" i="27"/>
  <c r="O267" i="27" s="1"/>
  <c r="AH267" i="27"/>
  <c r="AH266" i="27" s="1"/>
  <c r="AH11" i="27" s="1"/>
  <c r="V267" i="27"/>
  <c r="V266" i="27" s="1"/>
  <c r="V11" i="27" s="1"/>
  <c r="AF267" i="27"/>
  <c r="AF266" i="27" s="1"/>
  <c r="AF11" i="27" s="1"/>
  <c r="T267" i="27"/>
  <c r="T266" i="27" s="1"/>
  <c r="T11" i="27" s="1"/>
  <c r="AE267" i="27"/>
  <c r="AE266" i="27" s="1"/>
  <c r="AE11" i="27" s="1"/>
  <c r="S267" i="27"/>
  <c r="S266" i="27" s="1"/>
  <c r="S11" i="27" s="1"/>
  <c r="AC267" i="27"/>
  <c r="AC266" i="27" s="1"/>
  <c r="AC11" i="27" s="1"/>
  <c r="Q267" i="27"/>
  <c r="Q266" i="27" s="1"/>
  <c r="Q11" i="27" s="1"/>
  <c r="G268" i="27"/>
  <c r="O268" i="27" s="1"/>
  <c r="L268" i="27" s="1"/>
  <c r="AB267" i="27"/>
  <c r="AB266" i="27" s="1"/>
  <c r="AB11" i="27" s="1"/>
  <c r="P267" i="27"/>
  <c r="P266" i="27" s="1"/>
  <c r="P11" i="27" s="1"/>
  <c r="AA267" i="27"/>
  <c r="AA266" i="27" s="1"/>
  <c r="AA11" i="27" s="1"/>
  <c r="Z267" i="27"/>
  <c r="Z266" i="27" s="1"/>
  <c r="Z11" i="27" s="1"/>
  <c r="X267" i="27"/>
  <c r="X266" i="27" s="1"/>
  <c r="X11" i="27" s="1"/>
  <c r="W267" i="27"/>
  <c r="W266" i="27" s="1"/>
  <c r="W11" i="27" s="1"/>
  <c r="U267" i="27"/>
  <c r="U266" i="27" s="1"/>
  <c r="U11" i="27" s="1"/>
  <c r="R267" i="27"/>
  <c r="R266" i="27" s="1"/>
  <c r="R11" i="27" s="1"/>
  <c r="AM267" i="27"/>
  <c r="AM266" i="27" s="1"/>
  <c r="AM11" i="27" s="1"/>
  <c r="AL267" i="27"/>
  <c r="AL266" i="27" s="1"/>
  <c r="AL11" i="27" s="1"/>
  <c r="AJ267" i="27"/>
  <c r="AJ266" i="27" s="1"/>
  <c r="AJ11" i="27" s="1"/>
  <c r="AI267" i="27"/>
  <c r="AI266" i="27" s="1"/>
  <c r="AI11" i="27" s="1"/>
  <c r="AG267" i="27"/>
  <c r="AG266" i="27" s="1"/>
  <c r="AG11" i="27" s="1"/>
  <c r="AD267" i="27"/>
  <c r="AD266" i="27" s="1"/>
  <c r="AD11" i="27" s="1"/>
  <c r="AM63" i="27"/>
  <c r="L62" i="27"/>
  <c r="AK212" i="27"/>
  <c r="AK144" i="27" s="1"/>
  <c r="AK211" i="27"/>
  <c r="AM122" i="27"/>
  <c r="L123" i="27"/>
  <c r="L122" i="27" s="1"/>
  <c r="AK227" i="27"/>
  <c r="AK226" i="27" s="1"/>
  <c r="AK223" i="27"/>
  <c r="AK222" i="27" s="1"/>
  <c r="AK231" i="27"/>
  <c r="AK230" i="27" s="1"/>
  <c r="AM220" i="27"/>
  <c r="L143" i="27"/>
  <c r="AJ209" i="27"/>
  <c r="AJ205" i="27"/>
  <c r="AJ103" i="27" s="1"/>
  <c r="AJ207" i="27"/>
  <c r="AJ117" i="27" s="1"/>
  <c r="AK206" i="27"/>
  <c r="AK104" i="27" s="1"/>
  <c r="AK126" i="27" s="1"/>
  <c r="AM311" i="27"/>
  <c r="AM310" i="27"/>
  <c r="L308" i="27"/>
  <c r="E318" i="27" s="1"/>
  <c r="E320" i="27" s="1"/>
  <c r="AK223" i="24"/>
  <c r="AK222" i="24" s="1"/>
  <c r="AK231" i="24"/>
  <c r="AK230" i="24" s="1"/>
  <c r="AK227" i="24"/>
  <c r="AK226" i="24" s="1"/>
  <c r="AK267" i="24"/>
  <c r="AK266" i="24" s="1"/>
  <c r="AK11" i="24" s="1"/>
  <c r="Y267" i="24"/>
  <c r="Y266" i="24" s="1"/>
  <c r="Y11" i="24" s="1"/>
  <c r="G267" i="24"/>
  <c r="O267" i="24" s="1"/>
  <c r="AD267" i="24"/>
  <c r="AD266" i="24" s="1"/>
  <c r="AD11" i="24" s="1"/>
  <c r="R267" i="24"/>
  <c r="R266" i="24" s="1"/>
  <c r="R11" i="24" s="1"/>
  <c r="AC267" i="24"/>
  <c r="AC266" i="24" s="1"/>
  <c r="AC11" i="24" s="1"/>
  <c r="Q267" i="24"/>
  <c r="Q266" i="24" s="1"/>
  <c r="Q11" i="24" s="1"/>
  <c r="AM267" i="24"/>
  <c r="AM266" i="24" s="1"/>
  <c r="AA267" i="24"/>
  <c r="AA266" i="24" s="1"/>
  <c r="AA11" i="24" s="1"/>
  <c r="G268" i="24"/>
  <c r="O268" i="24" s="1"/>
  <c r="L268" i="24" s="1"/>
  <c r="V267" i="24"/>
  <c r="V266" i="24" s="1"/>
  <c r="V11" i="24" s="1"/>
  <c r="AL267" i="24"/>
  <c r="AL266" i="24" s="1"/>
  <c r="AL11" i="24" s="1"/>
  <c r="U267" i="24"/>
  <c r="U266" i="24" s="1"/>
  <c r="U11" i="24" s="1"/>
  <c r="AJ267" i="24"/>
  <c r="AJ266" i="24" s="1"/>
  <c r="AJ11" i="24" s="1"/>
  <c r="T267" i="24"/>
  <c r="T266" i="24" s="1"/>
  <c r="T11" i="24" s="1"/>
  <c r="AI267" i="24"/>
  <c r="AI266" i="24" s="1"/>
  <c r="AI11" i="24" s="1"/>
  <c r="S267" i="24"/>
  <c r="S266" i="24" s="1"/>
  <c r="S11" i="24" s="1"/>
  <c r="AH267" i="24"/>
  <c r="AH266" i="24" s="1"/>
  <c r="AH11" i="24" s="1"/>
  <c r="P267" i="24"/>
  <c r="P266" i="24" s="1"/>
  <c r="P11" i="24" s="1"/>
  <c r="AG267" i="24"/>
  <c r="AG266" i="24" s="1"/>
  <c r="AG11" i="24" s="1"/>
  <c r="AF267" i="24"/>
  <c r="AF266" i="24" s="1"/>
  <c r="AF11" i="24" s="1"/>
  <c r="AE267" i="24"/>
  <c r="AE266" i="24" s="1"/>
  <c r="AE11" i="24" s="1"/>
  <c r="AB267" i="24"/>
  <c r="AB266" i="24" s="1"/>
  <c r="AB11" i="24" s="1"/>
  <c r="Z267" i="24"/>
  <c r="Z266" i="24" s="1"/>
  <c r="Z11" i="24" s="1"/>
  <c r="X267" i="24"/>
  <c r="X266" i="24" s="1"/>
  <c r="X11" i="24" s="1"/>
  <c r="W267" i="24"/>
  <c r="W266" i="24" s="1"/>
  <c r="W11" i="24" s="1"/>
  <c r="AL237" i="24"/>
  <c r="AL261" i="24"/>
  <c r="AL260" i="24" s="1"/>
  <c r="AL213" i="24"/>
  <c r="AM122" i="24"/>
  <c r="L123" i="24"/>
  <c r="L122" i="24" s="1"/>
  <c r="AI146" i="24"/>
  <c r="AI137" i="24"/>
  <c r="AM63" i="24"/>
  <c r="L62" i="24"/>
  <c r="AK211" i="24"/>
  <c r="AK212" i="24"/>
  <c r="AK144" i="24" s="1"/>
  <c r="AL311" i="24"/>
  <c r="AL310" i="24"/>
  <c r="AK206" i="24"/>
  <c r="AK104" i="24" s="1"/>
  <c r="AK126" i="24" s="1"/>
  <c r="AM311" i="24"/>
  <c r="AM310" i="24"/>
  <c r="L308" i="24"/>
  <c r="E318" i="24" s="1"/>
  <c r="E320" i="24" s="1"/>
  <c r="AI102" i="24"/>
  <c r="AI125" i="24"/>
  <c r="AI124" i="24" s="1"/>
  <c r="AI127" i="24" s="1"/>
  <c r="AM220" i="24"/>
  <c r="L143" i="24"/>
  <c r="AL220" i="24"/>
  <c r="AJ207" i="24"/>
  <c r="AJ117" i="24" s="1"/>
  <c r="AJ209" i="24"/>
  <c r="AJ205" i="24"/>
  <c r="AJ103" i="24" s="1"/>
  <c r="AM231" i="20"/>
  <c r="AM230" i="20" s="1"/>
  <c r="AM227" i="20"/>
  <c r="AM226" i="20" s="1"/>
  <c r="AM223" i="20"/>
  <c r="AM222" i="20" s="1"/>
  <c r="L220" i="20"/>
  <c r="AM261" i="20"/>
  <c r="AM260" i="20" s="1"/>
  <c r="AM213" i="20"/>
  <c r="AM237" i="20"/>
  <c r="AL231" i="20"/>
  <c r="AL230" i="20" s="1"/>
  <c r="AL223" i="20"/>
  <c r="AL222" i="20" s="1"/>
  <c r="AL227" i="20"/>
  <c r="AL226" i="20" s="1"/>
  <c r="AK205" i="20"/>
  <c r="AK209" i="20"/>
  <c r="AM68" i="20"/>
  <c r="L63" i="20"/>
  <c r="L310" i="20"/>
  <c r="L311" i="20"/>
  <c r="O266" i="20"/>
  <c r="O11" i="20" s="1"/>
  <c r="L267" i="20"/>
  <c r="AL12" i="5"/>
  <c r="AK13" i="33"/>
  <c r="AK213" i="33" s="1"/>
  <c r="AK226" i="33" l="1"/>
  <c r="AM11" i="24"/>
  <c r="L12" i="24"/>
  <c r="AM12" i="33"/>
  <c r="AM212" i="33" s="1"/>
  <c r="K17" i="24"/>
  <c r="K18" i="24"/>
  <c r="K19" i="24"/>
  <c r="K20" i="24"/>
  <c r="K16" i="24"/>
  <c r="AL212" i="20"/>
  <c r="AL144" i="20" s="1"/>
  <c r="AL68" i="33"/>
  <c r="AJ126" i="33"/>
  <c r="AL212" i="32"/>
  <c r="AL144" i="32" s="1"/>
  <c r="AM122" i="33"/>
  <c r="AK222" i="33"/>
  <c r="AK230" i="33"/>
  <c r="AM63" i="33"/>
  <c r="AK144" i="33"/>
  <c r="AI137" i="33"/>
  <c r="AI146" i="33"/>
  <c r="AJ207" i="33"/>
  <c r="AJ103" i="33"/>
  <c r="AK206" i="33"/>
  <c r="AJ117" i="33"/>
  <c r="AI102" i="33"/>
  <c r="AJ205" i="33"/>
  <c r="AK104" i="33"/>
  <c r="AI124" i="20"/>
  <c r="AI124" i="33" s="1"/>
  <c r="AI125" i="33"/>
  <c r="K123" i="33"/>
  <c r="K122" i="33" s="1"/>
  <c r="AJ102" i="32"/>
  <c r="AJ124" i="32"/>
  <c r="AJ127" i="32" s="1"/>
  <c r="AL104" i="32"/>
  <c r="AK126" i="32"/>
  <c r="AH127" i="20"/>
  <c r="AH127" i="33" s="1"/>
  <c r="AJ137" i="20"/>
  <c r="AJ125" i="20"/>
  <c r="AJ146" i="20"/>
  <c r="AJ102" i="20"/>
  <c r="AL104" i="20"/>
  <c r="AK126" i="20"/>
  <c r="AK117" i="20"/>
  <c r="AK103" i="20"/>
  <c r="AL21" i="33"/>
  <c r="AH267" i="33"/>
  <c r="AH266" i="33" s="1"/>
  <c r="Z267" i="33"/>
  <c r="Z266" i="33" s="1"/>
  <c r="AD267" i="33"/>
  <c r="AD266" i="33" s="1"/>
  <c r="S267" i="33"/>
  <c r="S266" i="33" s="1"/>
  <c r="G267" i="33"/>
  <c r="O267" i="33" s="1"/>
  <c r="AE267" i="33"/>
  <c r="AE266" i="33" s="1"/>
  <c r="W267" i="33"/>
  <c r="W266" i="33" s="1"/>
  <c r="U267" i="33"/>
  <c r="U266" i="33" s="1"/>
  <c r="AM267" i="33"/>
  <c r="AM266" i="33" s="1"/>
  <c r="X267" i="33"/>
  <c r="X266" i="33" s="1"/>
  <c r="AG267" i="33"/>
  <c r="AG266" i="33" s="1"/>
  <c r="V267" i="33"/>
  <c r="V266" i="33" s="1"/>
  <c r="AF267" i="33"/>
  <c r="AF266" i="33" s="1"/>
  <c r="K143" i="33"/>
  <c r="Y267" i="33"/>
  <c r="Y266" i="33" s="1"/>
  <c r="R267" i="33"/>
  <c r="R266" i="33" s="1"/>
  <c r="AA267" i="33"/>
  <c r="AA266" i="33" s="1"/>
  <c r="T267" i="33"/>
  <c r="T266" i="33" s="1"/>
  <c r="G268" i="33"/>
  <c r="O268" i="33" s="1"/>
  <c r="L268" i="33" s="1"/>
  <c r="AI267" i="33"/>
  <c r="AI266" i="33" s="1"/>
  <c r="AL267" i="33"/>
  <c r="AL266" i="33" s="1"/>
  <c r="AJ267" i="33"/>
  <c r="AJ266" i="33" s="1"/>
  <c r="AC267" i="33"/>
  <c r="AC266" i="33" s="1"/>
  <c r="Q267" i="33"/>
  <c r="Q266" i="33" s="1"/>
  <c r="AB267" i="33"/>
  <c r="AB266" i="33" s="1"/>
  <c r="AK267" i="33"/>
  <c r="AK266" i="33" s="1"/>
  <c r="L143" i="33"/>
  <c r="L311" i="27"/>
  <c r="AK137" i="32"/>
  <c r="AM207" i="32"/>
  <c r="AM117" i="32" s="1"/>
  <c r="AM146" i="32" s="1"/>
  <c r="L311" i="24"/>
  <c r="AK102" i="32"/>
  <c r="AK125" i="32"/>
  <c r="L266" i="32"/>
  <c r="L68" i="32"/>
  <c r="AM211" i="32"/>
  <c r="AM212" i="32"/>
  <c r="AM144" i="32" s="1"/>
  <c r="AL209" i="32"/>
  <c r="AL205" i="32"/>
  <c r="AL103" i="32" s="1"/>
  <c r="AM206" i="32"/>
  <c r="AL207" i="32"/>
  <c r="AL117" i="32" s="1"/>
  <c r="AL137" i="31"/>
  <c r="AL146" i="31"/>
  <c r="L144" i="31"/>
  <c r="AM146" i="31"/>
  <c r="AM137" i="31"/>
  <c r="AM126" i="31"/>
  <c r="L104" i="31"/>
  <c r="V172" i="31"/>
  <c r="AL102" i="31"/>
  <c r="AL125" i="31"/>
  <c r="AL124" i="31" s="1"/>
  <c r="AL127" i="31" s="1"/>
  <c r="U172" i="31"/>
  <c r="AM209" i="31"/>
  <c r="AM205" i="31"/>
  <c r="AM103" i="31" s="1"/>
  <c r="L310" i="27"/>
  <c r="L267" i="27"/>
  <c r="O266" i="27"/>
  <c r="O11" i="27" s="1"/>
  <c r="AM223" i="27"/>
  <c r="AM222" i="27" s="1"/>
  <c r="AM231" i="27"/>
  <c r="AM230" i="27" s="1"/>
  <c r="AM227" i="27"/>
  <c r="AM226" i="27" s="1"/>
  <c r="L220" i="27"/>
  <c r="AK207" i="27"/>
  <c r="AK117" i="27" s="1"/>
  <c r="AL223" i="27"/>
  <c r="AL222" i="27" s="1"/>
  <c r="AL231" i="27"/>
  <c r="AL230" i="27" s="1"/>
  <c r="AL227" i="27"/>
  <c r="AL226" i="27" s="1"/>
  <c r="AJ146" i="27"/>
  <c r="AJ137" i="27"/>
  <c r="AM237" i="27"/>
  <c r="AM213" i="27"/>
  <c r="AM261" i="27"/>
  <c r="AM260" i="27" s="1"/>
  <c r="AL211" i="27"/>
  <c r="AL212" i="27"/>
  <c r="AL144" i="27" s="1"/>
  <c r="AJ125" i="27"/>
  <c r="AJ124" i="27" s="1"/>
  <c r="AJ127" i="27" s="1"/>
  <c r="AJ102" i="27"/>
  <c r="AK209" i="27"/>
  <c r="AK205" i="27"/>
  <c r="AK103" i="27" s="1"/>
  <c r="AL206" i="27"/>
  <c r="AL104" i="27" s="1"/>
  <c r="AL126" i="27" s="1"/>
  <c r="AM68" i="27"/>
  <c r="L63" i="27"/>
  <c r="L267" i="24"/>
  <c r="O266" i="24"/>
  <c r="O11" i="24" s="1"/>
  <c r="L310" i="24"/>
  <c r="AL223" i="24"/>
  <c r="AL222" i="24" s="1"/>
  <c r="AL227" i="24"/>
  <c r="AL226" i="24" s="1"/>
  <c r="AL231" i="24"/>
  <c r="AL230" i="24" s="1"/>
  <c r="AM231" i="24"/>
  <c r="AM230" i="24" s="1"/>
  <c r="AM227" i="24"/>
  <c r="AM226" i="24" s="1"/>
  <c r="AM223" i="24"/>
  <c r="AM222" i="24" s="1"/>
  <c r="L220" i="24"/>
  <c r="AM237" i="24"/>
  <c r="AM261" i="24"/>
  <c r="AM260" i="24" s="1"/>
  <c r="AM213" i="24"/>
  <c r="AK207" i="24"/>
  <c r="AK117" i="24" s="1"/>
  <c r="AK209" i="24"/>
  <c r="AK205" i="24"/>
  <c r="AK103" i="24" s="1"/>
  <c r="AL212" i="24"/>
  <c r="AL144" i="24" s="1"/>
  <c r="AL211" i="24"/>
  <c r="AJ125" i="24"/>
  <c r="AJ124" i="24" s="1"/>
  <c r="AJ127" i="24" s="1"/>
  <c r="AJ102" i="24"/>
  <c r="AL206" i="24"/>
  <c r="AL104" i="24" s="1"/>
  <c r="AL126" i="24" s="1"/>
  <c r="AJ146" i="24"/>
  <c r="AJ137" i="24"/>
  <c r="AM68" i="24"/>
  <c r="L63" i="24"/>
  <c r="AL209" i="20"/>
  <c r="AL205" i="20"/>
  <c r="AM211" i="20"/>
  <c r="AM212" i="20"/>
  <c r="AM144" i="20" s="1"/>
  <c r="L68" i="20"/>
  <c r="AM206" i="20"/>
  <c r="L266" i="20"/>
  <c r="AL207" i="20"/>
  <c r="AM207" i="20"/>
  <c r="AM12" i="5"/>
  <c r="AL13" i="33"/>
  <c r="AL213" i="33" s="1"/>
  <c r="H13" i="18" l="1"/>
  <c r="D21" i="18"/>
  <c r="AM222" i="33"/>
  <c r="AM226" i="33"/>
  <c r="AM230" i="33"/>
  <c r="AM68" i="33"/>
  <c r="AL222" i="33"/>
  <c r="AL226" i="33"/>
  <c r="AL230" i="33"/>
  <c r="AL144" i="33"/>
  <c r="AK126" i="33"/>
  <c r="AK117" i="33"/>
  <c r="AL104" i="33"/>
  <c r="AJ102" i="33"/>
  <c r="AJ146" i="33"/>
  <c r="AJ125" i="33"/>
  <c r="AK205" i="33"/>
  <c r="AJ137" i="33"/>
  <c r="AK103" i="33"/>
  <c r="AK207" i="33"/>
  <c r="AL206" i="33"/>
  <c r="AI127" i="20"/>
  <c r="AI127" i="33" s="1"/>
  <c r="AK124" i="32"/>
  <c r="AK127" i="32" s="1"/>
  <c r="AM104" i="32"/>
  <c r="AM126" i="32" s="1"/>
  <c r="AL126" i="32"/>
  <c r="AJ124" i="20"/>
  <c r="AJ124" i="33" s="1"/>
  <c r="AK102" i="20"/>
  <c r="AK137" i="20"/>
  <c r="L123" i="33"/>
  <c r="L122" i="33" s="1"/>
  <c r="AK146" i="20"/>
  <c r="AM104" i="20"/>
  <c r="AL126" i="20"/>
  <c r="AK125" i="20"/>
  <c r="AL117" i="20"/>
  <c r="AM117" i="20"/>
  <c r="AL103" i="20"/>
  <c r="AM21" i="33"/>
  <c r="L21" i="33" s="1"/>
  <c r="O266" i="33"/>
  <c r="L266" i="33" s="1"/>
  <c r="L267" i="33"/>
  <c r="L63" i="33"/>
  <c r="AM137" i="32"/>
  <c r="AL207" i="27"/>
  <c r="AL117" i="27" s="1"/>
  <c r="AL146" i="27" s="1"/>
  <c r="AM207" i="27"/>
  <c r="AM117" i="27" s="1"/>
  <c r="AM146" i="27" s="1"/>
  <c r="AM207" i="24"/>
  <c r="AM117" i="24" s="1"/>
  <c r="AM146" i="24" s="1"/>
  <c r="AL207" i="24"/>
  <c r="AL117" i="24" s="1"/>
  <c r="AL146" i="24" s="1"/>
  <c r="L144" i="32"/>
  <c r="AL125" i="32"/>
  <c r="AL102" i="32"/>
  <c r="U172" i="32"/>
  <c r="AL146" i="32"/>
  <c r="AL137" i="32"/>
  <c r="V172" i="32"/>
  <c r="AM209" i="32"/>
  <c r="AM205" i="32"/>
  <c r="AM103" i="32" s="1"/>
  <c r="L126" i="31"/>
  <c r="AM102" i="31"/>
  <c r="AM125" i="31"/>
  <c r="AM124" i="31" s="1"/>
  <c r="AM127" i="31" s="1"/>
  <c r="L266" i="27"/>
  <c r="L68" i="27"/>
  <c r="AK146" i="27"/>
  <c r="AK137" i="27"/>
  <c r="AK102" i="27"/>
  <c r="AK125" i="27"/>
  <c r="AK124" i="27" s="1"/>
  <c r="AK127" i="27" s="1"/>
  <c r="AM206" i="27"/>
  <c r="AM104" i="27" s="1"/>
  <c r="AM212" i="27"/>
  <c r="AM144" i="27" s="1"/>
  <c r="AM211" i="27"/>
  <c r="AL209" i="27"/>
  <c r="AL205" i="27"/>
  <c r="AL103" i="27" s="1"/>
  <c r="L266" i="24"/>
  <c r="L68" i="24"/>
  <c r="AM206" i="24"/>
  <c r="AM104" i="24" s="1"/>
  <c r="AK146" i="24"/>
  <c r="AK137" i="24"/>
  <c r="AL205" i="24"/>
  <c r="AL103" i="24" s="1"/>
  <c r="AL209" i="24"/>
  <c r="AK125" i="24"/>
  <c r="AK124" i="24" s="1"/>
  <c r="AK127" i="24" s="1"/>
  <c r="AK102" i="24"/>
  <c r="AM212" i="24"/>
  <c r="AM144" i="24" s="1"/>
  <c r="AM211" i="24"/>
  <c r="L144" i="20"/>
  <c r="U172" i="20"/>
  <c r="V172" i="20"/>
  <c r="AM205" i="20"/>
  <c r="AM209" i="20"/>
  <c r="AM13" i="33"/>
  <c r="AM213" i="33" s="1"/>
  <c r="L12" i="5"/>
  <c r="D24" i="18" l="1"/>
  <c r="L104" i="32"/>
  <c r="AL126" i="33"/>
  <c r="AM144" i="33"/>
  <c r="AK146" i="33"/>
  <c r="AL207" i="33"/>
  <c r="AM117" i="33"/>
  <c r="AL205" i="33"/>
  <c r="AK137" i="33"/>
  <c r="AL103" i="33"/>
  <c r="AM207" i="33"/>
  <c r="AL117" i="33"/>
  <c r="AK125" i="33"/>
  <c r="AM206" i="33"/>
  <c r="AK102" i="33"/>
  <c r="AM126" i="20"/>
  <c r="AM104" i="33"/>
  <c r="AL124" i="32"/>
  <c r="AL127" i="32" s="1"/>
  <c r="AM146" i="20"/>
  <c r="AM146" i="33" s="1"/>
  <c r="AL137" i="20"/>
  <c r="AK124" i="20"/>
  <c r="AK124" i="33" s="1"/>
  <c r="AL125" i="20"/>
  <c r="AJ127" i="20"/>
  <c r="AJ127" i="33" s="1"/>
  <c r="L104" i="20"/>
  <c r="AL146" i="20"/>
  <c r="AL146" i="33" s="1"/>
  <c r="AM137" i="20"/>
  <c r="AL102" i="20"/>
  <c r="AM103" i="20"/>
  <c r="AL137" i="27"/>
  <c r="AM137" i="24"/>
  <c r="AL137" i="24"/>
  <c r="AM137" i="27"/>
  <c r="AM102" i="32"/>
  <c r="AM125" i="32"/>
  <c r="AM124" i="32" s="1"/>
  <c r="AM127" i="32" s="1"/>
  <c r="L126" i="32"/>
  <c r="L144" i="27"/>
  <c r="U172" i="27"/>
  <c r="AL102" i="27"/>
  <c r="AL125" i="27"/>
  <c r="AL124" i="27" s="1"/>
  <c r="AL127" i="27" s="1"/>
  <c r="AM209" i="27"/>
  <c r="AM205" i="27"/>
  <c r="AM103" i="27" s="1"/>
  <c r="V172" i="27"/>
  <c r="AM126" i="27"/>
  <c r="L104" i="27"/>
  <c r="L144" i="24"/>
  <c r="AM209" i="24"/>
  <c r="AM205" i="24"/>
  <c r="AM103" i="24" s="1"/>
  <c r="V172" i="24"/>
  <c r="AM126" i="24"/>
  <c r="L104" i="24"/>
  <c r="U172" i="24"/>
  <c r="AL125" i="24"/>
  <c r="AL124" i="24" s="1"/>
  <c r="AL127" i="24" s="1"/>
  <c r="AL102" i="24"/>
  <c r="L4" i="5"/>
  <c r="AM137" i="33" l="1"/>
  <c r="AM126" i="33"/>
  <c r="AL137" i="33"/>
  <c r="AM103" i="33"/>
  <c r="AL102" i="33"/>
  <c r="AL125" i="33"/>
  <c r="AM205" i="33"/>
  <c r="L126" i="20"/>
  <c r="AL124" i="20"/>
  <c r="AL124" i="33" s="1"/>
  <c r="AK127" i="20"/>
  <c r="AK127" i="33" s="1"/>
  <c r="AM125" i="20"/>
  <c r="AM102" i="20"/>
  <c r="L12" i="33"/>
  <c r="AM125" i="27"/>
  <c r="AM124" i="27" s="1"/>
  <c r="AM127" i="27" s="1"/>
  <c r="AM102" i="27"/>
  <c r="L126" i="27"/>
  <c r="AM125" i="24"/>
  <c r="AM124" i="24" s="1"/>
  <c r="AM127" i="24" s="1"/>
  <c r="AM102" i="24"/>
  <c r="L126" i="24"/>
  <c r="AM102" i="33" l="1"/>
  <c r="AM124" i="20"/>
  <c r="AM124" i="33" s="1"/>
  <c r="AM125" i="33"/>
  <c r="AL127" i="20"/>
  <c r="AL127" i="33" s="1"/>
  <c r="L144" i="33"/>
  <c r="K144" i="33"/>
  <c r="O241" i="33"/>
  <c r="O242" i="33"/>
  <c r="AM127" i="20" l="1"/>
  <c r="AM127" i="33" s="1"/>
  <c r="AG241" i="33"/>
  <c r="AC241" i="33"/>
  <c r="Q241" i="33"/>
  <c r="Z241" i="33"/>
  <c r="AL241" i="33"/>
  <c r="W241" i="33"/>
  <c r="U241" i="33"/>
  <c r="AB241" i="33"/>
  <c r="Y241" i="33"/>
  <c r="X241" i="33"/>
  <c r="P241" i="33"/>
  <c r="T241" i="33"/>
  <c r="AF241" i="33"/>
  <c r="AJ241" i="33"/>
  <c r="AE241" i="33"/>
  <c r="AD241" i="33"/>
  <c r="AK241" i="33"/>
  <c r="S241" i="33"/>
  <c r="AH241" i="33"/>
  <c r="AI241" i="33"/>
  <c r="AA241" i="33"/>
  <c r="V241" i="33"/>
  <c r="R241" i="33"/>
  <c r="O243" i="33"/>
  <c r="P240" i="33" s="1"/>
  <c r="P242" i="33" s="1"/>
  <c r="O42" i="33"/>
  <c r="P243" i="33" l="1"/>
  <c r="Q240" i="33" s="1"/>
  <c r="Q242" i="33" s="1"/>
  <c r="O234" i="33"/>
  <c r="O41" i="33"/>
  <c r="L42" i="33"/>
  <c r="L41" i="33" l="1"/>
  <c r="C13" i="35"/>
  <c r="C8" i="35" s="1"/>
  <c r="C23" i="35" s="1"/>
  <c r="AM241" i="33"/>
  <c r="Q243" i="33"/>
  <c r="R240" i="33" s="1"/>
  <c r="R242" i="33" s="1"/>
  <c r="R243" i="33" s="1"/>
  <c r="S240" i="33" s="1"/>
  <c r="S242" i="33" s="1"/>
  <c r="S243" i="33" s="1"/>
  <c r="T240" i="33" s="1"/>
  <c r="T242" i="33" s="1"/>
  <c r="T243" i="33" s="1"/>
  <c r="U240" i="33" s="1"/>
  <c r="L245" i="33" l="1"/>
  <c r="AC234" i="33"/>
  <c r="AD234" i="33"/>
  <c r="P234" i="33"/>
  <c r="AA234" i="33"/>
  <c r="R234" i="33"/>
  <c r="X234" i="33"/>
  <c r="AL234" i="33"/>
  <c r="V234" i="33"/>
  <c r="AE234" i="33"/>
  <c r="Y234" i="33"/>
  <c r="Z234" i="33"/>
  <c r="Q234" i="33"/>
  <c r="U234" i="33"/>
  <c r="AI234" i="33"/>
  <c r="S234" i="33"/>
  <c r="AB234" i="33"/>
  <c r="AJ234" i="33"/>
  <c r="AH234" i="33"/>
  <c r="AK234" i="33"/>
  <c r="AF234" i="33"/>
  <c r="T234" i="33"/>
  <c r="AG234" i="33"/>
  <c r="W234" i="33"/>
  <c r="U242" i="33"/>
  <c r="U243" i="33" s="1"/>
  <c r="V240" i="33" s="1"/>
  <c r="AM234" i="33" l="1"/>
  <c r="V242" i="33"/>
  <c r="V243" i="33" s="1"/>
  <c r="W240" i="33" s="1"/>
  <c r="D15" i="2"/>
  <c r="D9" i="2"/>
  <c r="D14" i="2" s="1"/>
  <c r="W242" i="33" l="1"/>
  <c r="W243" i="33" s="1"/>
  <c r="X240" i="33" s="1"/>
  <c r="D16" i="2"/>
  <c r="D19" i="2" s="1"/>
  <c r="D20" i="2" s="1"/>
  <c r="X242" i="33" l="1"/>
  <c r="X243" i="33" s="1"/>
  <c r="Y240" i="33" s="1"/>
  <c r="D35" i="2"/>
  <c r="Y242" i="33" l="1"/>
  <c r="Y243" i="33" s="1"/>
  <c r="Z240" i="33" s="1"/>
  <c r="K114" i="32"/>
  <c r="H67" i="27"/>
  <c r="O67" i="27" s="1"/>
  <c r="H67" i="20"/>
  <c r="O67" i="20" s="1"/>
  <c r="K110" i="32"/>
  <c r="G76" i="31"/>
  <c r="K134" i="31"/>
  <c r="H67" i="31"/>
  <c r="O67" i="31" s="1"/>
  <c r="K134" i="27"/>
  <c r="K134" i="24"/>
  <c r="H67" i="32"/>
  <c r="O67" i="32" s="1"/>
  <c r="K110" i="20"/>
  <c r="G76" i="32"/>
  <c r="K114" i="31"/>
  <c r="K110" i="27"/>
  <c r="K110" i="24"/>
  <c r="H67" i="24"/>
  <c r="O67" i="24" s="1"/>
  <c r="K114" i="20"/>
  <c r="K134" i="32"/>
  <c r="G76" i="27"/>
  <c r="G76" i="20"/>
  <c r="K114" i="27"/>
  <c r="K114" i="24"/>
  <c r="K110" i="31"/>
  <c r="G76" i="24"/>
  <c r="K134" i="20"/>
  <c r="K309" i="31"/>
  <c r="E316" i="31" s="1"/>
  <c r="K309" i="27"/>
  <c r="E316" i="27" s="1"/>
  <c r="K309" i="24"/>
  <c r="E316" i="24" s="1"/>
  <c r="K309" i="32"/>
  <c r="E316" i="32" s="1"/>
  <c r="K309" i="20"/>
  <c r="E316" i="20" s="1"/>
  <c r="K99" i="31"/>
  <c r="K99" i="20"/>
  <c r="K143" i="31"/>
  <c r="K99" i="32"/>
  <c r="K308" i="31"/>
  <c r="E315" i="31" s="1"/>
  <c r="D347" i="31"/>
  <c r="K123" i="31"/>
  <c r="K122" i="31" s="1"/>
  <c r="K143" i="20"/>
  <c r="D347" i="20"/>
  <c r="D347" i="32"/>
  <c r="K310" i="31"/>
  <c r="K308" i="20"/>
  <c r="E315" i="20" s="1"/>
  <c r="K308" i="32"/>
  <c r="E315" i="32" s="1"/>
  <c r="K123" i="32"/>
  <c r="K122" i="32" s="1"/>
  <c r="K99" i="24"/>
  <c r="K123" i="20"/>
  <c r="K122" i="20" s="1"/>
  <c r="K143" i="32"/>
  <c r="K99" i="27"/>
  <c r="K310" i="20"/>
  <c r="K308" i="27"/>
  <c r="E315" i="27" s="1"/>
  <c r="D347" i="27"/>
  <c r="K143" i="24"/>
  <c r="K310" i="32"/>
  <c r="D347" i="24"/>
  <c r="K143" i="27"/>
  <c r="K123" i="24"/>
  <c r="K122" i="24" s="1"/>
  <c r="K308" i="24"/>
  <c r="E315" i="24" s="1"/>
  <c r="K123" i="27"/>
  <c r="K122" i="27" s="1"/>
  <c r="K144" i="31"/>
  <c r="K310" i="24"/>
  <c r="K310" i="27"/>
  <c r="K104" i="31"/>
  <c r="K144" i="20"/>
  <c r="K104" i="32"/>
  <c r="K126" i="31"/>
  <c r="K104" i="20"/>
  <c r="K144" i="32"/>
  <c r="K144" i="24"/>
  <c r="K126" i="32"/>
  <c r="K104" i="27"/>
  <c r="K104" i="24"/>
  <c r="K126" i="20"/>
  <c r="K144" i="27"/>
  <c r="K126" i="24"/>
  <c r="K126" i="27"/>
  <c r="D11" i="18"/>
  <c r="Z242" i="33" l="1"/>
  <c r="Z243" i="33" s="1"/>
  <c r="AA240" i="33" s="1"/>
  <c r="E317" i="32"/>
  <c r="E317" i="27"/>
  <c r="E317" i="24"/>
  <c r="O101" i="20"/>
  <c r="O70" i="20"/>
  <c r="E317" i="20"/>
  <c r="O101" i="31"/>
  <c r="O70" i="31"/>
  <c r="O111" i="31" s="1"/>
  <c r="E317" i="31"/>
  <c r="O101" i="24"/>
  <c r="O70" i="24"/>
  <c r="O111" i="24" s="1"/>
  <c r="O101" i="27"/>
  <c r="O70" i="27"/>
  <c r="O111" i="27" s="1"/>
  <c r="O101" i="32"/>
  <c r="O70" i="32"/>
  <c r="O111" i="20" l="1"/>
  <c r="O70" i="33"/>
  <c r="O111" i="32"/>
  <c r="AA242" i="33"/>
  <c r="AA243" i="33" s="1"/>
  <c r="AB240" i="33" s="1"/>
  <c r="O111" i="33" l="1"/>
  <c r="AB242" i="33"/>
  <c r="AB243" i="33" s="1"/>
  <c r="AC240" i="33" s="1"/>
  <c r="AC242" i="33" l="1"/>
  <c r="AC243" i="33" s="1"/>
  <c r="AD240" i="33" s="1"/>
  <c r="AD242" i="33" l="1"/>
  <c r="AD243" i="33" s="1"/>
  <c r="AE240" i="33" s="1"/>
  <c r="AE242" i="33" l="1"/>
  <c r="AE243" i="33" s="1"/>
  <c r="AF240" i="33" s="1"/>
  <c r="AF242" i="33" l="1"/>
  <c r="AF243" i="33" s="1"/>
  <c r="AG240" i="33" s="1"/>
  <c r="AG242" i="33" l="1"/>
  <c r="AG243" i="33" s="1"/>
  <c r="AH240" i="33" s="1"/>
  <c r="AH242" i="33" l="1"/>
  <c r="AH243" i="33" s="1"/>
  <c r="AI240" i="33" s="1"/>
  <c r="AI242" i="33" l="1"/>
  <c r="AI243" i="33" s="1"/>
  <c r="AJ240" i="33" s="1"/>
  <c r="AJ242" i="33" l="1"/>
  <c r="AJ243" i="33" s="1"/>
  <c r="AK240" i="33" s="1"/>
  <c r="AK242" i="33" l="1"/>
  <c r="AK243" i="33" s="1"/>
  <c r="AL240" i="33" s="1"/>
  <c r="AL242" i="33" l="1"/>
  <c r="AL243" i="33" s="1"/>
  <c r="AM240" i="33" s="1"/>
  <c r="AM242" i="33" l="1"/>
  <c r="AM243" i="33" s="1"/>
  <c r="L18" i="5" l="1"/>
  <c r="L16" i="5" s="1"/>
  <c r="O16" i="5"/>
  <c r="K22" i="5" l="1"/>
  <c r="K19" i="5"/>
  <c r="K21" i="5"/>
  <c r="K20" i="5"/>
  <c r="K18" i="5"/>
  <c r="D26" i="18" l="1"/>
  <c r="O15" i="5"/>
  <c r="O31" i="33" l="1"/>
  <c r="L31" i="33" s="1"/>
  <c r="L13" i="33"/>
  <c r="E38" i="5" l="1"/>
  <c r="L167" i="33" l="1"/>
  <c r="L163" i="33" l="1"/>
  <c r="P329" i="33" l="1"/>
  <c r="S329" i="33"/>
  <c r="T329" i="33"/>
  <c r="AH329" i="33"/>
  <c r="AB329" i="33"/>
  <c r="AM329" i="33"/>
  <c r="AG329" i="33"/>
  <c r="O329" i="33"/>
  <c r="L164" i="33"/>
  <c r="W329" i="33" l="1"/>
  <c r="AI329" i="33"/>
  <c r="AL329" i="33"/>
  <c r="AC329" i="33"/>
  <c r="AA329" i="33"/>
  <c r="AK329" i="33"/>
  <c r="V329" i="33"/>
  <c r="AF329" i="33"/>
  <c r="AJ329" i="33"/>
  <c r="Z329" i="33"/>
  <c r="Q329" i="33"/>
  <c r="L165" i="33"/>
  <c r="R329" i="33"/>
  <c r="AE329" i="33"/>
  <c r="AD329" i="33"/>
  <c r="Y329" i="33"/>
  <c r="U329" i="33"/>
  <c r="X329" i="33"/>
  <c r="L166" i="33" l="1"/>
  <c r="L162" i="33"/>
  <c r="E23" i="35" l="1"/>
  <c r="G23" i="35"/>
  <c r="I23" i="35"/>
  <c r="H23" i="35"/>
  <c r="J23" i="35"/>
  <c r="F23" i="35"/>
  <c r="D23" i="35"/>
  <c r="C25" i="35" l="1"/>
  <c r="H24" i="18"/>
  <c r="G24" i="18"/>
  <c r="J24" i="18"/>
  <c r="K24" i="18"/>
  <c r="I24" i="18"/>
  <c r="G16" i="27"/>
  <c r="G16" i="20"/>
  <c r="O13" i="20" s="1"/>
  <c r="G16" i="24"/>
  <c r="O13" i="24"/>
  <c r="G16" i="31"/>
  <c r="O13" i="31"/>
  <c r="G16" i="32"/>
  <c r="O13" i="32" s="1"/>
  <c r="E34" i="5"/>
  <c r="G34" i="31"/>
  <c r="AL31" i="31" s="1"/>
  <c r="AL29" i="31" s="1"/>
  <c r="E33" i="5"/>
  <c r="G34" i="27"/>
  <c r="AL31" i="27" s="1"/>
  <c r="AL29" i="27" s="1"/>
  <c r="E32" i="5"/>
  <c r="G34" i="24"/>
  <c r="AB31" i="24" s="1"/>
  <c r="AB29" i="24" s="1"/>
  <c r="O31" i="24"/>
  <c r="O29" i="24" s="1"/>
  <c r="E35" i="5"/>
  <c r="G34" i="32"/>
  <c r="W31" i="32" s="1"/>
  <c r="W29" i="32" s="1"/>
  <c r="E31" i="5"/>
  <c r="G34" i="20"/>
  <c r="O31" i="20" s="1"/>
  <c r="O29" i="20" s="1"/>
  <c r="AI31" i="32" l="1"/>
  <c r="AI29" i="32" s="1"/>
  <c r="AI60" i="32" s="1"/>
  <c r="AI65" i="32" s="1"/>
  <c r="O31" i="27"/>
  <c r="O29" i="27" s="1"/>
  <c r="AD31" i="31"/>
  <c r="AD29" i="31" s="1"/>
  <c r="AD60" i="31" s="1"/>
  <c r="AD65" i="31" s="1"/>
  <c r="AM31" i="31"/>
  <c r="AM29" i="31" s="1"/>
  <c r="AM107" i="31" s="1"/>
  <c r="AH31" i="20"/>
  <c r="AH29" i="20" s="1"/>
  <c r="AE31" i="32"/>
  <c r="AE29" i="32" s="1"/>
  <c r="AE151" i="32" s="1"/>
  <c r="AE150" i="32" s="1"/>
  <c r="AF31" i="32"/>
  <c r="AF29" i="32" s="1"/>
  <c r="AF100" i="32" s="1"/>
  <c r="AF98" i="32" s="1"/>
  <c r="AF105" i="32" s="1"/>
  <c r="AK31" i="20"/>
  <c r="AK29" i="20" s="1"/>
  <c r="AL151" i="31"/>
  <c r="AL150" i="31" s="1"/>
  <c r="AL60" i="31"/>
  <c r="AL65" i="31" s="1"/>
  <c r="AL352" i="31"/>
  <c r="AL107" i="31"/>
  <c r="AL100" i="31"/>
  <c r="AL98" i="31" s="1"/>
  <c r="AL105" i="31" s="1"/>
  <c r="W352" i="32"/>
  <c r="W151" i="32"/>
  <c r="W150" i="32" s="1"/>
  <c r="W60" i="32"/>
  <c r="W65" i="32" s="1"/>
  <c r="W107" i="32"/>
  <c r="W100" i="32"/>
  <c r="W98" i="32" s="1"/>
  <c r="W105" i="32" s="1"/>
  <c r="AB151" i="24"/>
  <c r="AB150" i="24" s="1"/>
  <c r="AB60" i="24"/>
  <c r="AB65" i="24" s="1"/>
  <c r="AB352" i="24"/>
  <c r="AB107" i="24"/>
  <c r="AB100" i="24"/>
  <c r="AB98" i="24" s="1"/>
  <c r="AB105" i="24" s="1"/>
  <c r="O352" i="20"/>
  <c r="O107" i="20"/>
  <c r="O151" i="20"/>
  <c r="O60" i="20"/>
  <c r="O100" i="20"/>
  <c r="O42" i="20"/>
  <c r="P31" i="20"/>
  <c r="P29" i="20" s="1"/>
  <c r="Q31" i="20"/>
  <c r="Q29" i="20" s="1"/>
  <c r="Y31" i="20"/>
  <c r="Y29" i="20" s="1"/>
  <c r="U31" i="20"/>
  <c r="U29" i="20" s="1"/>
  <c r="S31" i="20"/>
  <c r="S29" i="20" s="1"/>
  <c r="AM31" i="20"/>
  <c r="AM29" i="20" s="1"/>
  <c r="T31" i="20"/>
  <c r="T29" i="20" s="1"/>
  <c r="Z31" i="20"/>
  <c r="Z29" i="20" s="1"/>
  <c r="W31" i="20"/>
  <c r="W29" i="20" s="1"/>
  <c r="AD31" i="20"/>
  <c r="AD29" i="20" s="1"/>
  <c r="AC31" i="20"/>
  <c r="AC29" i="20" s="1"/>
  <c r="AL31" i="20"/>
  <c r="AL29" i="20" s="1"/>
  <c r="R31" i="20"/>
  <c r="R29" i="20" s="1"/>
  <c r="AA31" i="20"/>
  <c r="AA29" i="20" s="1"/>
  <c r="X31" i="20"/>
  <c r="X29" i="20" s="1"/>
  <c r="AJ31" i="20"/>
  <c r="AJ29" i="20" s="1"/>
  <c r="AC31" i="32"/>
  <c r="AC29" i="32" s="1"/>
  <c r="O42" i="27"/>
  <c r="P31" i="27"/>
  <c r="P29" i="27" s="1"/>
  <c r="Q31" i="27"/>
  <c r="Q29" i="27" s="1"/>
  <c r="AC31" i="27"/>
  <c r="AC29" i="27" s="1"/>
  <c r="R31" i="27"/>
  <c r="R29" i="27" s="1"/>
  <c r="U31" i="27"/>
  <c r="U29" i="27" s="1"/>
  <c r="S31" i="27"/>
  <c r="S29" i="27" s="1"/>
  <c r="AI31" i="27"/>
  <c r="AI29" i="27" s="1"/>
  <c r="V31" i="27"/>
  <c r="V29" i="27" s="1"/>
  <c r="W31" i="27"/>
  <c r="W29" i="27" s="1"/>
  <c r="AE31" i="27"/>
  <c r="AE29" i="27" s="1"/>
  <c r="X31" i="27"/>
  <c r="X29" i="27" s="1"/>
  <c r="AG31" i="27"/>
  <c r="AG29" i="27" s="1"/>
  <c r="AH31" i="27"/>
  <c r="AH29" i="27" s="1"/>
  <c r="AM31" i="27"/>
  <c r="AM29" i="27" s="1"/>
  <c r="AF31" i="27"/>
  <c r="AF29" i="27" s="1"/>
  <c r="AB31" i="27"/>
  <c r="AB29" i="27" s="1"/>
  <c r="T31" i="27"/>
  <c r="T29" i="27" s="1"/>
  <c r="Y31" i="27"/>
  <c r="Y29" i="27" s="1"/>
  <c r="AA31" i="27"/>
  <c r="AA29" i="27" s="1"/>
  <c r="Z31" i="27"/>
  <c r="Z29" i="27" s="1"/>
  <c r="AK31" i="27"/>
  <c r="AK29" i="27" s="1"/>
  <c r="AI31" i="20"/>
  <c r="AI29" i="20" s="1"/>
  <c r="O21" i="32"/>
  <c r="AI50" i="32"/>
  <c r="AI49" i="32" s="1"/>
  <c r="S50" i="32"/>
  <c r="S49" i="32" s="1"/>
  <c r="AH50" i="32"/>
  <c r="AH49" i="32" s="1"/>
  <c r="AD50" i="32"/>
  <c r="AD49" i="32" s="1"/>
  <c r="U50" i="32"/>
  <c r="U49" i="32" s="1"/>
  <c r="AM50" i="32"/>
  <c r="AM49" i="32" s="1"/>
  <c r="AC50" i="32"/>
  <c r="AC49" i="32" s="1"/>
  <c r="AL50" i="32"/>
  <c r="AL49" i="32" s="1"/>
  <c r="AG50" i="32"/>
  <c r="AG49" i="32" s="1"/>
  <c r="AA50" i="32"/>
  <c r="AA49" i="32" s="1"/>
  <c r="P50" i="32"/>
  <c r="P49" i="32" s="1"/>
  <c r="AF50" i="32"/>
  <c r="AF49" i="32" s="1"/>
  <c r="R50" i="32"/>
  <c r="R49" i="32" s="1"/>
  <c r="AB50" i="32"/>
  <c r="AB49" i="32" s="1"/>
  <c r="AK50" i="32"/>
  <c r="AK49" i="32" s="1"/>
  <c r="AJ50" i="32"/>
  <c r="AJ49" i="32" s="1"/>
  <c r="T50" i="32"/>
  <c r="T49" i="32" s="1"/>
  <c r="Y50" i="32"/>
  <c r="Y49" i="32" s="1"/>
  <c r="V50" i="32"/>
  <c r="V49" i="32" s="1"/>
  <c r="Z50" i="32"/>
  <c r="Z49" i="32" s="1"/>
  <c r="X50" i="32"/>
  <c r="X49" i="32" s="1"/>
  <c r="W50" i="32"/>
  <c r="W49" i="32" s="1"/>
  <c r="Q50" i="32"/>
  <c r="Q49" i="32" s="1"/>
  <c r="AE50" i="32"/>
  <c r="AE49" i="32" s="1"/>
  <c r="Y13" i="32"/>
  <c r="AE21" i="32"/>
  <c r="R21" i="32"/>
  <c r="AC21" i="32"/>
  <c r="AG21" i="32"/>
  <c r="U13" i="32"/>
  <c r="X21" i="32"/>
  <c r="P21" i="32"/>
  <c r="Z13" i="32"/>
  <c r="AA21" i="32"/>
  <c r="AL21" i="32"/>
  <c r="AI13" i="32"/>
  <c r="AC13" i="32"/>
  <c r="Z21" i="32"/>
  <c r="AB21" i="32"/>
  <c r="S21" i="32"/>
  <c r="AJ21" i="32"/>
  <c r="AE13" i="32"/>
  <c r="U21" i="32"/>
  <c r="S13" i="32"/>
  <c r="T13" i="32"/>
  <c r="AF21" i="32"/>
  <c r="AA13" i="32"/>
  <c r="AD13" i="32"/>
  <c r="X13" i="32"/>
  <c r="AD21" i="32"/>
  <c r="AL13" i="32"/>
  <c r="V13" i="32"/>
  <c r="AF13" i="32"/>
  <c r="AM21" i="32"/>
  <c r="T21" i="32"/>
  <c r="Y21" i="32"/>
  <c r="Q13" i="32"/>
  <c r="W21" i="32"/>
  <c r="AK21" i="32"/>
  <c r="AB13" i="32"/>
  <c r="AJ13" i="32"/>
  <c r="V21" i="32"/>
  <c r="Q21" i="32"/>
  <c r="AH13" i="32"/>
  <c r="AI21" i="32"/>
  <c r="R13" i="32"/>
  <c r="AH21" i="32"/>
  <c r="P13" i="32"/>
  <c r="AG13" i="32"/>
  <c r="AK13" i="32"/>
  <c r="AM13" i="32"/>
  <c r="W13" i="32"/>
  <c r="E37" i="5"/>
  <c r="F38" i="5" s="1"/>
  <c r="O42" i="32"/>
  <c r="P31" i="32"/>
  <c r="P29" i="32" s="1"/>
  <c r="T31" i="32"/>
  <c r="T29" i="32" s="1"/>
  <c r="Q31" i="32"/>
  <c r="Q29" i="32" s="1"/>
  <c r="U31" i="32"/>
  <c r="U29" i="32" s="1"/>
  <c r="S31" i="32"/>
  <c r="S29" i="32" s="1"/>
  <c r="R31" i="32"/>
  <c r="R29" i="32" s="1"/>
  <c r="AK31" i="32"/>
  <c r="AK29" i="32" s="1"/>
  <c r="AJ31" i="32"/>
  <c r="AJ29" i="32" s="1"/>
  <c r="AG31" i="32"/>
  <c r="AG29" i="32" s="1"/>
  <c r="O31" i="32"/>
  <c r="AD31" i="32"/>
  <c r="AD29" i="32" s="1"/>
  <c r="Z31" i="32"/>
  <c r="Z29" i="32" s="1"/>
  <c r="AL31" i="32"/>
  <c r="AL29" i="32" s="1"/>
  <c r="Y31" i="32"/>
  <c r="Y29" i="32" s="1"/>
  <c r="V31" i="32"/>
  <c r="V29" i="32" s="1"/>
  <c r="AA31" i="32"/>
  <c r="AA29" i="32" s="1"/>
  <c r="AB31" i="32"/>
  <c r="AB29" i="32" s="1"/>
  <c r="AM31" i="24"/>
  <c r="AM29" i="24" s="1"/>
  <c r="O42" i="31"/>
  <c r="P31" i="31"/>
  <c r="P29" i="31" s="1"/>
  <c r="T31" i="31"/>
  <c r="T29" i="31" s="1"/>
  <c r="R31" i="31"/>
  <c r="R29" i="31" s="1"/>
  <c r="S31" i="31"/>
  <c r="S29" i="31" s="1"/>
  <c r="V31" i="31"/>
  <c r="V29" i="31" s="1"/>
  <c r="AF31" i="31"/>
  <c r="AF29" i="31" s="1"/>
  <c r="U31" i="31"/>
  <c r="U29" i="31" s="1"/>
  <c r="AH31" i="31"/>
  <c r="AH29" i="31" s="1"/>
  <c r="Y31" i="31"/>
  <c r="Y29" i="31" s="1"/>
  <c r="Q31" i="31"/>
  <c r="Q29" i="31" s="1"/>
  <c r="AC31" i="31"/>
  <c r="AC29" i="31" s="1"/>
  <c r="AB31" i="31"/>
  <c r="AB29" i="31" s="1"/>
  <c r="AG31" i="31"/>
  <c r="AG29" i="31" s="1"/>
  <c r="AJ31" i="31"/>
  <c r="AJ29" i="31" s="1"/>
  <c r="Z31" i="31"/>
  <c r="Z29" i="31" s="1"/>
  <c r="X31" i="31"/>
  <c r="X29" i="31" s="1"/>
  <c r="AE31" i="31"/>
  <c r="AE29" i="31" s="1"/>
  <c r="O31" i="31"/>
  <c r="AI31" i="31"/>
  <c r="AI29" i="31" s="1"/>
  <c r="W31" i="31"/>
  <c r="W29" i="31" s="1"/>
  <c r="AA31" i="31"/>
  <c r="AA29" i="31" s="1"/>
  <c r="AK31" i="31"/>
  <c r="AK29" i="31" s="1"/>
  <c r="O353" i="24"/>
  <c r="O128" i="24"/>
  <c r="O106" i="24"/>
  <c r="V31" i="20"/>
  <c r="V29" i="20" s="1"/>
  <c r="AB31" i="20"/>
  <c r="AB29" i="20" s="1"/>
  <c r="O353" i="31"/>
  <c r="O128" i="31"/>
  <c r="O106" i="31"/>
  <c r="AL60" i="27"/>
  <c r="AL65" i="27" s="1"/>
  <c r="AL151" i="27"/>
  <c r="AL150" i="27" s="1"/>
  <c r="AL352" i="27"/>
  <c r="AL107" i="27"/>
  <c r="AD31" i="27"/>
  <c r="AD29" i="27" s="1"/>
  <c r="AJ31" i="27"/>
  <c r="AJ29" i="27" s="1"/>
  <c r="X31" i="32"/>
  <c r="X29" i="32" s="1"/>
  <c r="AG31" i="20"/>
  <c r="AG29" i="20" s="1"/>
  <c r="O107" i="24"/>
  <c r="O352" i="24"/>
  <c r="O151" i="24"/>
  <c r="O60" i="24"/>
  <c r="O100" i="24"/>
  <c r="O42" i="24"/>
  <c r="S31" i="24"/>
  <c r="S29" i="24" s="1"/>
  <c r="P31" i="24"/>
  <c r="P29" i="24" s="1"/>
  <c r="U31" i="24"/>
  <c r="U29" i="24" s="1"/>
  <c r="T31" i="24"/>
  <c r="T29" i="24" s="1"/>
  <c r="AI31" i="24"/>
  <c r="AI29" i="24" s="1"/>
  <c r="AG31" i="24"/>
  <c r="AG29" i="24" s="1"/>
  <c r="V31" i="24"/>
  <c r="V29" i="24" s="1"/>
  <c r="W31" i="24"/>
  <c r="W29" i="24" s="1"/>
  <c r="Y31" i="24"/>
  <c r="Y29" i="24" s="1"/>
  <c r="Z31" i="24"/>
  <c r="Z29" i="24" s="1"/>
  <c r="AD31" i="24"/>
  <c r="AD29" i="24" s="1"/>
  <c r="X31" i="24"/>
  <c r="X29" i="24" s="1"/>
  <c r="R31" i="24"/>
  <c r="R29" i="24" s="1"/>
  <c r="Q31" i="24"/>
  <c r="Q29" i="24" s="1"/>
  <c r="AE31" i="24"/>
  <c r="AE29" i="24" s="1"/>
  <c r="AA31" i="24"/>
  <c r="AA29" i="24" s="1"/>
  <c r="AJ31" i="24"/>
  <c r="AJ29" i="24" s="1"/>
  <c r="AF31" i="24"/>
  <c r="AF29" i="24" s="1"/>
  <c r="AH31" i="24"/>
  <c r="AH29" i="24" s="1"/>
  <c r="AC31" i="24"/>
  <c r="AC29" i="24" s="1"/>
  <c r="AF31" i="20"/>
  <c r="AF29" i="20" s="1"/>
  <c r="AL31" i="24"/>
  <c r="AL29" i="24" s="1"/>
  <c r="AM31" i="32"/>
  <c r="AM29" i="32" s="1"/>
  <c r="AK31" i="24"/>
  <c r="AK29" i="24" s="1"/>
  <c r="AL100" i="27"/>
  <c r="AL98" i="27" s="1"/>
  <c r="AL105" i="27" s="1"/>
  <c r="AH31" i="32"/>
  <c r="AH29" i="32" s="1"/>
  <c r="AE31" i="20"/>
  <c r="AE29" i="20" s="1"/>
  <c r="O353" i="20"/>
  <c r="O128" i="20"/>
  <c r="O106" i="20"/>
  <c r="V50" i="31"/>
  <c r="V49" i="31" s="1"/>
  <c r="AD50" i="31"/>
  <c r="AD49" i="31" s="1"/>
  <c r="AJ50" i="31"/>
  <c r="AJ49" i="31" s="1"/>
  <c r="Q50" i="31"/>
  <c r="Q49" i="31" s="1"/>
  <c r="R50" i="31"/>
  <c r="R49" i="31" s="1"/>
  <c r="U50" i="31"/>
  <c r="U49" i="31" s="1"/>
  <c r="AK50" i="31"/>
  <c r="AK49" i="31" s="1"/>
  <c r="O21" i="31"/>
  <c r="AE50" i="31"/>
  <c r="AE49" i="31" s="1"/>
  <c r="AG50" i="31"/>
  <c r="AG49" i="31" s="1"/>
  <c r="AM50" i="31"/>
  <c r="AM49" i="31" s="1"/>
  <c r="AB50" i="31"/>
  <c r="AB49" i="31" s="1"/>
  <c r="T50" i="31"/>
  <c r="T49" i="31" s="1"/>
  <c r="AF50" i="31"/>
  <c r="AF49" i="31" s="1"/>
  <c r="X50" i="31"/>
  <c r="X49" i="31" s="1"/>
  <c r="S50" i="31"/>
  <c r="S49" i="31" s="1"/>
  <c r="AA50" i="31"/>
  <c r="AA49" i="31" s="1"/>
  <c r="P50" i="31"/>
  <c r="P49" i="31" s="1"/>
  <c r="AC50" i="31"/>
  <c r="AC49" i="31" s="1"/>
  <c r="W50" i="31"/>
  <c r="W49" i="31" s="1"/>
  <c r="Z50" i="31"/>
  <c r="Z49" i="31" s="1"/>
  <c r="Y50" i="31"/>
  <c r="Y49" i="31" s="1"/>
  <c r="AL50" i="31"/>
  <c r="AL49" i="31" s="1"/>
  <c r="AB13" i="31"/>
  <c r="AI50" i="31"/>
  <c r="AI49" i="31" s="1"/>
  <c r="V13" i="31"/>
  <c r="P13" i="31"/>
  <c r="AL21" i="31"/>
  <c r="AK21" i="31"/>
  <c r="Q13" i="31"/>
  <c r="AH50" i="31"/>
  <c r="AH49" i="31" s="1"/>
  <c r="V21" i="31"/>
  <c r="AF21" i="31"/>
  <c r="X13" i="31"/>
  <c r="AE13" i="31"/>
  <c r="AB21" i="31"/>
  <c r="AD21" i="31"/>
  <c r="AC21" i="31"/>
  <c r="AH13" i="31"/>
  <c r="AG21" i="31"/>
  <c r="P21" i="31"/>
  <c r="Q21" i="31"/>
  <c r="AC13" i="31"/>
  <c r="Y21" i="31"/>
  <c r="AH21" i="31"/>
  <c r="Z21" i="31"/>
  <c r="X21" i="31"/>
  <c r="AE21" i="31"/>
  <c r="T21" i="31"/>
  <c r="W13" i="31"/>
  <c r="R21" i="31"/>
  <c r="AM21" i="31"/>
  <c r="S21" i="31"/>
  <c r="AI21" i="31"/>
  <c r="R13" i="31"/>
  <c r="W21" i="31"/>
  <c r="AA21" i="31"/>
  <c r="AI13" i="31"/>
  <c r="S13" i="31"/>
  <c r="U21" i="31"/>
  <c r="AJ21" i="31"/>
  <c r="T13" i="31"/>
  <c r="AD13" i="31"/>
  <c r="AJ13" i="31"/>
  <c r="AA13" i="31"/>
  <c r="AF13" i="31"/>
  <c r="Z13" i="31"/>
  <c r="AK13" i="31"/>
  <c r="AL13" i="31"/>
  <c r="U13" i="31"/>
  <c r="Y13" i="31"/>
  <c r="AG13" i="31"/>
  <c r="AM13" i="31"/>
  <c r="O21" i="27"/>
  <c r="AF50" i="27"/>
  <c r="AF49" i="27" s="1"/>
  <c r="X50" i="27"/>
  <c r="X49" i="27" s="1"/>
  <c r="AK50" i="27"/>
  <c r="AK49" i="27" s="1"/>
  <c r="AI50" i="27"/>
  <c r="AI49" i="27" s="1"/>
  <c r="AM50" i="27"/>
  <c r="AM49" i="27" s="1"/>
  <c r="S50" i="27"/>
  <c r="S49" i="27" s="1"/>
  <c r="Q50" i="27"/>
  <c r="Q49" i="27" s="1"/>
  <c r="AA50" i="27"/>
  <c r="AA49" i="27" s="1"/>
  <c r="AL50" i="27"/>
  <c r="AL49" i="27" s="1"/>
  <c r="Y50" i="27"/>
  <c r="Y49" i="27" s="1"/>
  <c r="AJ50" i="27"/>
  <c r="AJ49" i="27" s="1"/>
  <c r="V50" i="27"/>
  <c r="V49" i="27" s="1"/>
  <c r="P50" i="27"/>
  <c r="P49" i="27" s="1"/>
  <c r="Z50" i="27"/>
  <c r="Z49" i="27" s="1"/>
  <c r="AD50" i="27"/>
  <c r="AD49" i="27" s="1"/>
  <c r="W50" i="27"/>
  <c r="W49" i="27" s="1"/>
  <c r="T50" i="27"/>
  <c r="T49" i="27" s="1"/>
  <c r="AC50" i="27"/>
  <c r="AC49" i="27" s="1"/>
  <c r="R50" i="27"/>
  <c r="R49" i="27" s="1"/>
  <c r="AE50" i="27"/>
  <c r="AE49" i="27" s="1"/>
  <c r="U50" i="27"/>
  <c r="U49" i="27" s="1"/>
  <c r="AG50" i="27"/>
  <c r="AG49" i="27" s="1"/>
  <c r="S21" i="27"/>
  <c r="Y21" i="27"/>
  <c r="R13" i="27"/>
  <c r="AF21" i="27"/>
  <c r="AE21" i="27"/>
  <c r="AD21" i="27"/>
  <c r="W21" i="27"/>
  <c r="AI13" i="27"/>
  <c r="AH21" i="27"/>
  <c r="X21" i="27"/>
  <c r="AI21" i="27"/>
  <c r="T21" i="27"/>
  <c r="AJ21" i="27"/>
  <c r="AK21" i="27"/>
  <c r="AC13" i="27"/>
  <c r="AA21" i="27"/>
  <c r="AB21" i="27"/>
  <c r="AH50" i="27"/>
  <c r="AH49" i="27" s="1"/>
  <c r="V21" i="27"/>
  <c r="AG21" i="27"/>
  <c r="Y13" i="27"/>
  <c r="T13" i="27"/>
  <c r="AE13" i="27"/>
  <c r="AH13" i="27"/>
  <c r="Q13" i="27"/>
  <c r="AM21" i="27"/>
  <c r="W13" i="27"/>
  <c r="P21" i="27"/>
  <c r="P13" i="27"/>
  <c r="Z13" i="27"/>
  <c r="U21" i="27"/>
  <c r="AB13" i="27"/>
  <c r="R21" i="27"/>
  <c r="AL21" i="27"/>
  <c r="AB50" i="27"/>
  <c r="AB49" i="27" s="1"/>
  <c r="AK13" i="27"/>
  <c r="AC21" i="27"/>
  <c r="Z21" i="27"/>
  <c r="X13" i="27"/>
  <c r="AF13" i="27"/>
  <c r="Q21" i="27"/>
  <c r="S13" i="27"/>
  <c r="U13" i="27"/>
  <c r="V13" i="27"/>
  <c r="AG13" i="27"/>
  <c r="AA13" i="27"/>
  <c r="AL13" i="27"/>
  <c r="AM13" i="27"/>
  <c r="AJ13" i="27"/>
  <c r="AD13" i="27"/>
  <c r="O13" i="27"/>
  <c r="U50" i="24"/>
  <c r="U49" i="24" s="1"/>
  <c r="AM50" i="24"/>
  <c r="AM49" i="24" s="1"/>
  <c r="AI50" i="24"/>
  <c r="AI49" i="24" s="1"/>
  <c r="AB50" i="24"/>
  <c r="AB49" i="24" s="1"/>
  <c r="AF50" i="24"/>
  <c r="AF49" i="24" s="1"/>
  <c r="X50" i="24"/>
  <c r="X49" i="24" s="1"/>
  <c r="O21" i="24"/>
  <c r="T50" i="24"/>
  <c r="T49" i="24" s="1"/>
  <c r="S50" i="24"/>
  <c r="S49" i="24" s="1"/>
  <c r="P50" i="24"/>
  <c r="P49" i="24" s="1"/>
  <c r="AL50" i="24"/>
  <c r="AL49" i="24" s="1"/>
  <c r="Y50" i="24"/>
  <c r="Y49" i="24" s="1"/>
  <c r="AJ50" i="24"/>
  <c r="AJ49" i="24" s="1"/>
  <c r="AH50" i="24"/>
  <c r="AH49" i="24" s="1"/>
  <c r="V50" i="24"/>
  <c r="V49" i="24" s="1"/>
  <c r="AK50" i="24"/>
  <c r="AK49" i="24" s="1"/>
  <c r="Q50" i="24"/>
  <c r="Q49" i="24" s="1"/>
  <c r="AA50" i="24"/>
  <c r="AA49" i="24" s="1"/>
  <c r="AD50" i="24"/>
  <c r="AD49" i="24" s="1"/>
  <c r="AC50" i="24"/>
  <c r="AC49" i="24" s="1"/>
  <c r="R50" i="24"/>
  <c r="R49" i="24" s="1"/>
  <c r="Z50" i="24"/>
  <c r="Z49" i="24" s="1"/>
  <c r="AE50" i="24"/>
  <c r="AE49" i="24" s="1"/>
  <c r="AG50" i="24"/>
  <c r="AG49" i="24" s="1"/>
  <c r="W50" i="24"/>
  <c r="W49" i="24" s="1"/>
  <c r="AE21" i="24"/>
  <c r="P21" i="24"/>
  <c r="V21" i="24"/>
  <c r="AB21" i="24"/>
  <c r="AA21" i="24"/>
  <c r="Z21" i="24"/>
  <c r="Y21" i="24"/>
  <c r="AM21" i="24"/>
  <c r="AD21" i="24"/>
  <c r="AG21" i="24"/>
  <c r="W21" i="24"/>
  <c r="AL21" i="24"/>
  <c r="U21" i="24"/>
  <c r="X21" i="24"/>
  <c r="AK21" i="24"/>
  <c r="AK13" i="24"/>
  <c r="AB13" i="24"/>
  <c r="Q21" i="24"/>
  <c r="R21" i="24"/>
  <c r="Q13" i="24"/>
  <c r="T13" i="24"/>
  <c r="R13" i="24"/>
  <c r="AI21" i="24"/>
  <c r="AC21" i="24"/>
  <c r="AI13" i="24"/>
  <c r="T21" i="24"/>
  <c r="S13" i="24"/>
  <c r="AF21" i="24"/>
  <c r="S21" i="24"/>
  <c r="AJ21" i="24"/>
  <c r="AD13" i="24"/>
  <c r="AH21" i="24"/>
  <c r="AH13" i="24"/>
  <c r="AJ13" i="24"/>
  <c r="Y13" i="24"/>
  <c r="AE13" i="24"/>
  <c r="V13" i="24"/>
  <c r="X13" i="24"/>
  <c r="P13" i="24"/>
  <c r="AF13" i="24"/>
  <c r="AG13" i="24"/>
  <c r="W13" i="24"/>
  <c r="U13" i="24"/>
  <c r="AL13" i="24"/>
  <c r="Z13" i="24"/>
  <c r="AC13" i="24"/>
  <c r="AA13" i="24"/>
  <c r="AM13" i="24"/>
  <c r="AF50" i="20"/>
  <c r="Q50" i="20"/>
  <c r="AI50" i="20"/>
  <c r="AI50" i="33" s="1"/>
  <c r="U50" i="20"/>
  <c r="U50" i="33" s="1"/>
  <c r="V50" i="20"/>
  <c r="V50" i="33" s="1"/>
  <c r="AC50" i="20"/>
  <c r="AC50" i="33" s="1"/>
  <c r="Y50" i="20"/>
  <c r="Y50" i="33" s="1"/>
  <c r="AM50" i="20"/>
  <c r="AM50" i="33" s="1"/>
  <c r="W50" i="20"/>
  <c r="AJ50" i="20"/>
  <c r="AJ50" i="33" s="1"/>
  <c r="AA50" i="20"/>
  <c r="AD50" i="20"/>
  <c r="AD50" i="33" s="1"/>
  <c r="O21" i="20"/>
  <c r="AH50" i="20"/>
  <c r="AH50" i="33" s="1"/>
  <c r="AL50" i="20"/>
  <c r="AG50" i="20"/>
  <c r="AG50" i="33" s="1"/>
  <c r="S50" i="20"/>
  <c r="S50" i="33" s="1"/>
  <c r="X50" i="20"/>
  <c r="X50" i="33" s="1"/>
  <c r="AK50" i="20"/>
  <c r="AK50" i="33" s="1"/>
  <c r="R50" i="20"/>
  <c r="P50" i="20"/>
  <c r="P50" i="33" s="1"/>
  <c r="AB50" i="20"/>
  <c r="AB50" i="33" s="1"/>
  <c r="T50" i="20"/>
  <c r="T50" i="33" s="1"/>
  <c r="Z50" i="20"/>
  <c r="R21" i="20"/>
  <c r="AM21" i="20"/>
  <c r="U21" i="20"/>
  <c r="AH21" i="20"/>
  <c r="AI21" i="20"/>
  <c r="Y21" i="20"/>
  <c r="AE50" i="20"/>
  <c r="AE50" i="33" s="1"/>
  <c r="V21" i="20"/>
  <c r="AC21" i="20"/>
  <c r="T21" i="20"/>
  <c r="AE21" i="20"/>
  <c r="X21" i="20"/>
  <c r="AL21" i="20"/>
  <c r="Z21" i="20"/>
  <c r="Q21" i="20"/>
  <c r="AB21" i="20"/>
  <c r="AF21" i="20"/>
  <c r="P21" i="20"/>
  <c r="W21" i="20"/>
  <c r="AD21" i="20"/>
  <c r="S21" i="20"/>
  <c r="AJ21" i="20"/>
  <c r="AA21" i="20"/>
  <c r="AG21" i="20"/>
  <c r="AG13" i="20"/>
  <c r="AK21" i="20"/>
  <c r="AE13" i="20"/>
  <c r="Z13" i="20"/>
  <c r="AK13" i="20"/>
  <c r="AB13" i="20"/>
  <c r="R13" i="20"/>
  <c r="AD13" i="20"/>
  <c r="V13" i="20"/>
  <c r="AA13" i="20"/>
  <c r="S13" i="20"/>
  <c r="AH13" i="20"/>
  <c r="P13" i="20"/>
  <c r="W13" i="20"/>
  <c r="T13" i="20"/>
  <c r="AC13" i="20"/>
  <c r="X13" i="20"/>
  <c r="Y13" i="20"/>
  <c r="AL13" i="20"/>
  <c r="U13" i="20"/>
  <c r="AF13" i="20"/>
  <c r="AJ13" i="20"/>
  <c r="Q13" i="20"/>
  <c r="AI13" i="20"/>
  <c r="AM13" i="20"/>
  <c r="AI100" i="32" l="1"/>
  <c r="AI98" i="32" s="1"/>
  <c r="AI105" i="32" s="1"/>
  <c r="AI107" i="32"/>
  <c r="AI352" i="32"/>
  <c r="AI151" i="32"/>
  <c r="AI150" i="32" s="1"/>
  <c r="AE29" i="33"/>
  <c r="AF29" i="33"/>
  <c r="AL50" i="33"/>
  <c r="Q50" i="33"/>
  <c r="AF50" i="33"/>
  <c r="Z50" i="33"/>
  <c r="AA50" i="33"/>
  <c r="W50" i="33"/>
  <c r="AB29" i="33"/>
  <c r="R50" i="33"/>
  <c r="AC29" i="33"/>
  <c r="W29" i="33"/>
  <c r="AA29" i="33"/>
  <c r="Q29" i="33"/>
  <c r="R29" i="33"/>
  <c r="P29" i="33"/>
  <c r="AL29" i="33"/>
  <c r="AD29" i="33"/>
  <c r="AK29" i="33"/>
  <c r="Z29" i="33"/>
  <c r="T29" i="33"/>
  <c r="AH29" i="33"/>
  <c r="AM29" i="33"/>
  <c r="S29" i="33"/>
  <c r="AG29" i="33"/>
  <c r="V29" i="33"/>
  <c r="AI29" i="33"/>
  <c r="AJ29" i="33"/>
  <c r="U29" i="33"/>
  <c r="X29" i="33"/>
  <c r="Y29" i="33"/>
  <c r="AE100" i="32"/>
  <c r="AE98" i="32" s="1"/>
  <c r="AE105" i="32" s="1"/>
  <c r="AK151" i="20"/>
  <c r="AH107" i="20"/>
  <c r="AD100" i="31"/>
  <c r="AD98" i="31" s="1"/>
  <c r="AD105" i="31" s="1"/>
  <c r="AF107" i="32"/>
  <c r="AM352" i="31"/>
  <c r="AM60" i="31"/>
  <c r="AM65" i="31" s="1"/>
  <c r="AF352" i="32"/>
  <c r="AF151" i="32"/>
  <c r="AF150" i="32" s="1"/>
  <c r="AD107" i="31"/>
  <c r="AD352" i="31"/>
  <c r="AD151" i="31"/>
  <c r="AD150" i="31" s="1"/>
  <c r="AE352" i="32"/>
  <c r="AE107" i="32"/>
  <c r="AM151" i="31"/>
  <c r="AM150" i="31" s="1"/>
  <c r="AK100" i="20"/>
  <c r="AK60" i="20"/>
  <c r="AH100" i="20"/>
  <c r="AK352" i="20"/>
  <c r="AK107" i="20"/>
  <c r="AE60" i="32"/>
  <c r="AE65" i="32" s="1"/>
  <c r="AF60" i="32"/>
  <c r="AF65" i="32" s="1"/>
  <c r="AH151" i="20"/>
  <c r="AH60" i="20"/>
  <c r="AM100" i="31"/>
  <c r="AM98" i="31" s="1"/>
  <c r="AM105" i="31" s="1"/>
  <c r="AH352" i="20"/>
  <c r="L11" i="24"/>
  <c r="D328" i="24" s="1"/>
  <c r="W147" i="24"/>
  <c r="W61" i="24"/>
  <c r="W66" i="24" s="1"/>
  <c r="R61" i="31"/>
  <c r="R66" i="31" s="1"/>
  <c r="R147" i="31"/>
  <c r="AJ61" i="32"/>
  <c r="AJ66" i="32" s="1"/>
  <c r="AJ147" i="32"/>
  <c r="AE60" i="27"/>
  <c r="AE65" i="27" s="1"/>
  <c r="AE352" i="27"/>
  <c r="AE151" i="27"/>
  <c r="AE150" i="27" s="1"/>
  <c r="AE107" i="27"/>
  <c r="AE100" i="27"/>
  <c r="AE98" i="27" s="1"/>
  <c r="AE105" i="27" s="1"/>
  <c r="AF61" i="27"/>
  <c r="AF66" i="27" s="1"/>
  <c r="AF147" i="27"/>
  <c r="Q61" i="31"/>
  <c r="Q66" i="31" s="1"/>
  <c r="Q147" i="31"/>
  <c r="AK151" i="32"/>
  <c r="AK150" i="32" s="1"/>
  <c r="AK60" i="32"/>
  <c r="AK65" i="32" s="1"/>
  <c r="AK352" i="32"/>
  <c r="AK107" i="32"/>
  <c r="AK100" i="32"/>
  <c r="AK98" i="32" s="1"/>
  <c r="AK105" i="32" s="1"/>
  <c r="AL128" i="32"/>
  <c r="AL129" i="32" s="1"/>
  <c r="AL130" i="32" s="1"/>
  <c r="AL353" i="32"/>
  <c r="AL106" i="32"/>
  <c r="AK352" i="27"/>
  <c r="AK60" i="27"/>
  <c r="AK65" i="27" s="1"/>
  <c r="AK151" i="27"/>
  <c r="AK150" i="27" s="1"/>
  <c r="AK107" i="27"/>
  <c r="AK100" i="27"/>
  <c r="AK98" i="27" s="1"/>
  <c r="AK105" i="27" s="1"/>
  <c r="AJ106" i="20"/>
  <c r="AJ128" i="20"/>
  <c r="AJ353" i="20"/>
  <c r="AJ11" i="33"/>
  <c r="AA11" i="33"/>
  <c r="AA353" i="20"/>
  <c r="AA128" i="20"/>
  <c r="AA106" i="20"/>
  <c r="AB49" i="20"/>
  <c r="AB49" i="33" s="1"/>
  <c r="AJ49" i="20"/>
  <c r="AJ49" i="33" s="1"/>
  <c r="AC128" i="24"/>
  <c r="AC129" i="24" s="1"/>
  <c r="AC130" i="24" s="1"/>
  <c r="AC353" i="24"/>
  <c r="AC106" i="24"/>
  <c r="AJ128" i="24"/>
  <c r="AJ129" i="24" s="1"/>
  <c r="AJ130" i="24" s="1"/>
  <c r="AJ353" i="24"/>
  <c r="AJ106" i="24"/>
  <c r="R128" i="24"/>
  <c r="R129" i="24" s="1"/>
  <c r="R130" i="24" s="1"/>
  <c r="R353" i="24"/>
  <c r="R106" i="24"/>
  <c r="AE61" i="24"/>
  <c r="AE66" i="24" s="1"/>
  <c r="AE147" i="24"/>
  <c r="AL61" i="24"/>
  <c r="AL66" i="24" s="1"/>
  <c r="AL147" i="24"/>
  <c r="AD353" i="27"/>
  <c r="AD128" i="27"/>
  <c r="AD129" i="27" s="1"/>
  <c r="AD130" i="27" s="1"/>
  <c r="AD106" i="27"/>
  <c r="V61" i="27"/>
  <c r="V66" i="27" s="1"/>
  <c r="V147" i="27"/>
  <c r="L21" i="27"/>
  <c r="AD128" i="31"/>
  <c r="AD129" i="31" s="1"/>
  <c r="AD130" i="31" s="1"/>
  <c r="AD353" i="31"/>
  <c r="AD106" i="31"/>
  <c r="AH128" i="31"/>
  <c r="AH129" i="31" s="1"/>
  <c r="AH130" i="31" s="1"/>
  <c r="AH353" i="31"/>
  <c r="AH106" i="31"/>
  <c r="P128" i="31"/>
  <c r="P129" i="31" s="1"/>
  <c r="P130" i="31" s="1"/>
  <c r="P353" i="31"/>
  <c r="P106" i="31"/>
  <c r="X147" i="31"/>
  <c r="X61" i="31"/>
  <c r="X66" i="31" s="1"/>
  <c r="AJ61" i="31"/>
  <c r="AJ66" i="31" s="1"/>
  <c r="AJ147" i="31"/>
  <c r="R151" i="24"/>
  <c r="R150" i="24" s="1"/>
  <c r="R352" i="24"/>
  <c r="R60" i="24"/>
  <c r="R65" i="24" s="1"/>
  <c r="R107" i="24"/>
  <c r="R100" i="24"/>
  <c r="R98" i="24" s="1"/>
  <c r="R105" i="24" s="1"/>
  <c r="S60" i="24"/>
  <c r="S65" i="24" s="1"/>
  <c r="S151" i="24"/>
  <c r="S150" i="24" s="1"/>
  <c r="S352" i="24"/>
  <c r="S107" i="24"/>
  <c r="S100" i="24"/>
  <c r="S98" i="24" s="1"/>
  <c r="S105" i="24" s="1"/>
  <c r="AC352" i="31"/>
  <c r="AC60" i="31"/>
  <c r="AC65" i="31" s="1"/>
  <c r="AC151" i="31"/>
  <c r="AC150" i="31" s="1"/>
  <c r="AC107" i="31"/>
  <c r="AC100" i="31"/>
  <c r="AC98" i="31" s="1"/>
  <c r="AC105" i="31" s="1"/>
  <c r="AM151" i="24"/>
  <c r="AM150" i="24" s="1"/>
  <c r="AM60" i="24"/>
  <c r="AM65" i="24" s="1"/>
  <c r="AM352" i="24"/>
  <c r="AM107" i="24"/>
  <c r="AM100" i="24"/>
  <c r="AM98" i="24" s="1"/>
  <c r="AM105" i="24" s="1"/>
  <c r="R352" i="32"/>
  <c r="R60" i="32"/>
  <c r="R65" i="32" s="1"/>
  <c r="R151" i="32"/>
  <c r="R150" i="32" s="1"/>
  <c r="R100" i="32"/>
  <c r="R98" i="32" s="1"/>
  <c r="R105" i="32" s="1"/>
  <c r="R107" i="32"/>
  <c r="AB61" i="32"/>
  <c r="AB66" i="32" s="1"/>
  <c r="AB147" i="32"/>
  <c r="S147" i="32"/>
  <c r="S61" i="32"/>
  <c r="S66" i="32" s="1"/>
  <c r="Z151" i="27"/>
  <c r="Z150" i="27" s="1"/>
  <c r="Z60" i="27"/>
  <c r="Z65" i="27" s="1"/>
  <c r="Z352" i="27"/>
  <c r="Z107" i="27"/>
  <c r="Z100" i="27"/>
  <c r="Z98" i="27" s="1"/>
  <c r="Z105" i="27" s="1"/>
  <c r="V60" i="27"/>
  <c r="V65" i="27" s="1"/>
  <c r="V352" i="27"/>
  <c r="V151" i="27"/>
  <c r="V150" i="27" s="1"/>
  <c r="V107" i="27"/>
  <c r="V100" i="27"/>
  <c r="V98" i="27" s="1"/>
  <c r="V105" i="27" s="1"/>
  <c r="AA60" i="20"/>
  <c r="AA151" i="20"/>
  <c r="AA352" i="20"/>
  <c r="AA107" i="20"/>
  <c r="AA100" i="20"/>
  <c r="Q107" i="20"/>
  <c r="Q151" i="20"/>
  <c r="Q60" i="20"/>
  <c r="Q352" i="20"/>
  <c r="Q100" i="20"/>
  <c r="AM128" i="24"/>
  <c r="AM129" i="24" s="1"/>
  <c r="AM130" i="24" s="1"/>
  <c r="AM353" i="24"/>
  <c r="AM106" i="24"/>
  <c r="AA128" i="31"/>
  <c r="AA129" i="31" s="1"/>
  <c r="AA130" i="31" s="1"/>
  <c r="AA353" i="31"/>
  <c r="AA106" i="31"/>
  <c r="AD61" i="32"/>
  <c r="AD66" i="32" s="1"/>
  <c r="AD147" i="32"/>
  <c r="U352" i="20"/>
  <c r="U60" i="20"/>
  <c r="U151" i="20"/>
  <c r="U107" i="20"/>
  <c r="U100" i="20"/>
  <c r="W353" i="27"/>
  <c r="W128" i="27"/>
  <c r="W129" i="27" s="1"/>
  <c r="W130" i="27" s="1"/>
  <c r="W106" i="27"/>
  <c r="Q151" i="24"/>
  <c r="Q150" i="24" s="1"/>
  <c r="Q60" i="24"/>
  <c r="Q65" i="24" s="1"/>
  <c r="Q352" i="24"/>
  <c r="Q107" i="24"/>
  <c r="Q100" i="24"/>
  <c r="Q98" i="24" s="1"/>
  <c r="Q105" i="24" s="1"/>
  <c r="AH147" i="32"/>
  <c r="AH61" i="32"/>
  <c r="AH66" i="32" s="1"/>
  <c r="V353" i="20"/>
  <c r="V128" i="20"/>
  <c r="V11" i="33"/>
  <c r="V106" i="20"/>
  <c r="AJ61" i="27"/>
  <c r="AJ66" i="27" s="1"/>
  <c r="AJ147" i="27"/>
  <c r="L13" i="20"/>
  <c r="T128" i="31"/>
  <c r="T129" i="31" s="1"/>
  <c r="T130" i="31" s="1"/>
  <c r="T353" i="31"/>
  <c r="T106" i="31"/>
  <c r="W128" i="31"/>
  <c r="W129" i="31" s="1"/>
  <c r="W130" i="31" s="1"/>
  <c r="W353" i="31"/>
  <c r="W106" i="31"/>
  <c r="V128" i="31"/>
  <c r="V129" i="31" s="1"/>
  <c r="V130" i="31" s="1"/>
  <c r="V353" i="31"/>
  <c r="V106" i="31"/>
  <c r="AF61" i="31"/>
  <c r="AF66" i="31" s="1"/>
  <c r="AF147" i="31"/>
  <c r="AD61" i="31"/>
  <c r="AD66" i="31" s="1"/>
  <c r="AD147" i="31"/>
  <c r="AK151" i="24"/>
  <c r="AK150" i="24" s="1"/>
  <c r="AK60" i="24"/>
  <c r="AK65" i="24" s="1"/>
  <c r="AK352" i="24"/>
  <c r="AK107" i="24"/>
  <c r="AK100" i="24"/>
  <c r="AK98" i="24" s="1"/>
  <c r="AK105" i="24" s="1"/>
  <c r="X60" i="24"/>
  <c r="X65" i="24" s="1"/>
  <c r="X352" i="24"/>
  <c r="X151" i="24"/>
  <c r="X150" i="24" s="1"/>
  <c r="X107" i="24"/>
  <c r="X100" i="24"/>
  <c r="X98" i="24" s="1"/>
  <c r="X105" i="24" s="1"/>
  <c r="O41" i="24"/>
  <c r="O152" i="24" s="1"/>
  <c r="O150" i="24" s="1"/>
  <c r="L42" i="24"/>
  <c r="L41" i="24" s="1"/>
  <c r="AK151" i="31"/>
  <c r="AK150" i="31" s="1"/>
  <c r="AK60" i="31"/>
  <c r="AK65" i="31" s="1"/>
  <c r="AK352" i="31"/>
  <c r="AK107" i="31"/>
  <c r="AK100" i="31"/>
  <c r="AK98" i="31" s="1"/>
  <c r="AK105" i="31" s="1"/>
  <c r="Q60" i="31"/>
  <c r="Q65" i="31" s="1"/>
  <c r="Q151" i="31"/>
  <c r="Q150" i="31" s="1"/>
  <c r="Q352" i="31"/>
  <c r="Q107" i="31"/>
  <c r="Q100" i="31"/>
  <c r="Q98" i="31" s="1"/>
  <c r="Q105" i="31" s="1"/>
  <c r="AB151" i="32"/>
  <c r="AB150" i="32" s="1"/>
  <c r="AB352" i="32"/>
  <c r="AB60" i="32"/>
  <c r="AB65" i="32" s="1"/>
  <c r="AB107" i="32"/>
  <c r="AB100" i="32"/>
  <c r="AB98" i="32" s="1"/>
  <c r="AB105" i="32" s="1"/>
  <c r="S60" i="32"/>
  <c r="S65" i="32" s="1"/>
  <c r="S151" i="32"/>
  <c r="S150" i="32" s="1"/>
  <c r="S352" i="32"/>
  <c r="S107" i="32"/>
  <c r="S100" i="32"/>
  <c r="S98" i="32" s="1"/>
  <c r="S105" i="32" s="1"/>
  <c r="AJ128" i="32"/>
  <c r="AJ129" i="32" s="1"/>
  <c r="AJ130" i="32" s="1"/>
  <c r="AJ353" i="32"/>
  <c r="AJ106" i="32"/>
  <c r="X128" i="32"/>
  <c r="X129" i="32" s="1"/>
  <c r="X130" i="32" s="1"/>
  <c r="X353" i="32"/>
  <c r="X106" i="32"/>
  <c r="AC128" i="32"/>
  <c r="AC129" i="32" s="1"/>
  <c r="AC130" i="32" s="1"/>
  <c r="AC353" i="32"/>
  <c r="AC106" i="32"/>
  <c r="Y353" i="32"/>
  <c r="Y128" i="32"/>
  <c r="Y129" i="32" s="1"/>
  <c r="Y130" i="32" s="1"/>
  <c r="Y106" i="32"/>
  <c r="R147" i="32"/>
  <c r="R61" i="32"/>
  <c r="R66" i="32" s="1"/>
  <c r="AI147" i="32"/>
  <c r="AI61" i="32"/>
  <c r="AI66" i="32" s="1"/>
  <c r="AA60" i="27"/>
  <c r="AA65" i="27" s="1"/>
  <c r="AA352" i="27"/>
  <c r="AA151" i="27"/>
  <c r="AA150" i="27" s="1"/>
  <c r="AA107" i="27"/>
  <c r="AA100" i="27"/>
  <c r="AA98" i="27" s="1"/>
  <c r="AA105" i="27" s="1"/>
  <c r="AI60" i="27"/>
  <c r="AI65" i="27" s="1"/>
  <c r="AI151" i="27"/>
  <c r="AI150" i="27" s="1"/>
  <c r="AI352" i="27"/>
  <c r="AI107" i="27"/>
  <c r="AI100" i="27"/>
  <c r="AI98" i="27" s="1"/>
  <c r="AI105" i="27" s="1"/>
  <c r="R151" i="20"/>
  <c r="R107" i="20"/>
  <c r="R60" i="20"/>
  <c r="R352" i="20"/>
  <c r="R100" i="20"/>
  <c r="P151" i="20"/>
  <c r="P107" i="20"/>
  <c r="P352" i="20"/>
  <c r="P60" i="20"/>
  <c r="P100" i="20"/>
  <c r="O355" i="20"/>
  <c r="Z49" i="20"/>
  <c r="Z49" i="33" s="1"/>
  <c r="X147" i="27"/>
  <c r="X61" i="27"/>
  <c r="X66" i="27" s="1"/>
  <c r="U151" i="24"/>
  <c r="U150" i="24" s="1"/>
  <c r="U60" i="24"/>
  <c r="U65" i="24" s="1"/>
  <c r="U352" i="24"/>
  <c r="U107" i="24"/>
  <c r="U100" i="24"/>
  <c r="U98" i="24" s="1"/>
  <c r="U105" i="24" s="1"/>
  <c r="AJ151" i="20"/>
  <c r="AJ107" i="20"/>
  <c r="AJ60" i="20"/>
  <c r="AJ352" i="20"/>
  <c r="AJ100" i="20"/>
  <c r="AC128" i="27"/>
  <c r="AC129" i="27" s="1"/>
  <c r="AC130" i="27" s="1"/>
  <c r="AC106" i="27"/>
  <c r="AC353" i="27"/>
  <c r="AH128" i="24"/>
  <c r="AH129" i="24" s="1"/>
  <c r="AH130" i="24" s="1"/>
  <c r="AH353" i="24"/>
  <c r="AH106" i="24"/>
  <c r="U128" i="20"/>
  <c r="U353" i="20"/>
  <c r="U11" i="33"/>
  <c r="U106" i="20"/>
  <c r="AD128" i="20"/>
  <c r="AD106" i="20"/>
  <c r="AD11" i="33"/>
  <c r="AD353" i="20"/>
  <c r="R49" i="20"/>
  <c r="R49" i="33" s="1"/>
  <c r="AM49" i="20"/>
  <c r="AM49" i="33" s="1"/>
  <c r="AL353" i="24"/>
  <c r="AL128" i="24"/>
  <c r="AL129" i="24" s="1"/>
  <c r="AL130" i="24" s="1"/>
  <c r="AL106" i="24"/>
  <c r="Q128" i="24"/>
  <c r="Q129" i="24" s="1"/>
  <c r="Q130" i="24" s="1"/>
  <c r="Q353" i="24"/>
  <c r="Q106" i="24"/>
  <c r="R61" i="24"/>
  <c r="R66" i="24" s="1"/>
  <c r="R147" i="24"/>
  <c r="S147" i="24"/>
  <c r="S61" i="24"/>
  <c r="S66" i="24" s="1"/>
  <c r="AM128" i="27"/>
  <c r="AM129" i="27" s="1"/>
  <c r="AM130" i="27" s="1"/>
  <c r="AM353" i="27"/>
  <c r="AM106" i="27"/>
  <c r="AK128" i="27"/>
  <c r="AK129" i="27" s="1"/>
  <c r="AK130" i="27" s="1"/>
  <c r="AK353" i="27"/>
  <c r="AK106" i="27"/>
  <c r="AH128" i="27"/>
  <c r="AH129" i="27" s="1"/>
  <c r="AH130" i="27" s="1"/>
  <c r="AH353" i="27"/>
  <c r="AH106" i="27"/>
  <c r="AG147" i="27"/>
  <c r="AG61" i="27"/>
  <c r="AG66" i="27" s="1"/>
  <c r="Y147" i="27"/>
  <c r="Y61" i="27"/>
  <c r="Y66" i="27" s="1"/>
  <c r="AM128" i="31"/>
  <c r="AM129" i="31" s="1"/>
  <c r="AM130" i="31" s="1"/>
  <c r="AM353" i="31"/>
  <c r="AM106" i="31"/>
  <c r="AI61" i="31"/>
  <c r="AI66" i="31" s="1"/>
  <c r="AI147" i="31"/>
  <c r="T61" i="31"/>
  <c r="T66" i="31" s="1"/>
  <c r="T147" i="31"/>
  <c r="V61" i="31"/>
  <c r="V66" i="31" s="1"/>
  <c r="V147" i="31"/>
  <c r="AM60" i="32"/>
  <c r="AM65" i="32" s="1"/>
  <c r="AM151" i="32"/>
  <c r="AM150" i="32" s="1"/>
  <c r="AM352" i="32"/>
  <c r="AM107" i="32"/>
  <c r="AM100" i="32"/>
  <c r="AM98" i="32" s="1"/>
  <c r="AM105" i="32" s="1"/>
  <c r="AD151" i="24"/>
  <c r="AD150" i="24" s="1"/>
  <c r="AD60" i="24"/>
  <c r="AD65" i="24" s="1"/>
  <c r="AD352" i="24"/>
  <c r="AD107" i="24"/>
  <c r="AD100" i="24"/>
  <c r="AD98" i="24" s="1"/>
  <c r="AD105" i="24" s="1"/>
  <c r="O98" i="24"/>
  <c r="AA151" i="31"/>
  <c r="AA150" i="31" s="1"/>
  <c r="AA60" i="31"/>
  <c r="AA65" i="31" s="1"/>
  <c r="AA352" i="31"/>
  <c r="AA107" i="31"/>
  <c r="AA100" i="31"/>
  <c r="AA98" i="31" s="1"/>
  <c r="AA105" i="31" s="1"/>
  <c r="Y151" i="31"/>
  <c r="Y150" i="31" s="1"/>
  <c r="Y352" i="31"/>
  <c r="Y60" i="31"/>
  <c r="Y65" i="31" s="1"/>
  <c r="Y107" i="31"/>
  <c r="Y100" i="31"/>
  <c r="Y98" i="31" s="1"/>
  <c r="Y105" i="31" s="1"/>
  <c r="AA151" i="32"/>
  <c r="AA150" i="32" s="1"/>
  <c r="AA60" i="32"/>
  <c r="AA65" i="32" s="1"/>
  <c r="AA352" i="32"/>
  <c r="AA107" i="32"/>
  <c r="AA100" i="32"/>
  <c r="AA98" i="32" s="1"/>
  <c r="AA105" i="32" s="1"/>
  <c r="U151" i="32"/>
  <c r="U150" i="32" s="1"/>
  <c r="U352" i="32"/>
  <c r="U60" i="32"/>
  <c r="U65" i="32" s="1"/>
  <c r="U107" i="32"/>
  <c r="U100" i="32"/>
  <c r="U98" i="32" s="1"/>
  <c r="U105" i="32" s="1"/>
  <c r="W353" i="32"/>
  <c r="W355" i="32" s="1"/>
  <c r="W128" i="32"/>
  <c r="W129" i="32" s="1"/>
  <c r="W130" i="32" s="1"/>
  <c r="W106" i="32"/>
  <c r="AB128" i="32"/>
  <c r="AB129" i="32" s="1"/>
  <c r="AB130" i="32" s="1"/>
  <c r="AB353" i="32"/>
  <c r="AB106" i="32"/>
  <c r="AD128" i="32"/>
  <c r="AD129" i="32" s="1"/>
  <c r="AD130" i="32" s="1"/>
  <c r="AD353" i="32"/>
  <c r="AD106" i="32"/>
  <c r="AI128" i="32"/>
  <c r="AI129" i="32" s="1"/>
  <c r="AI130" i="32" s="1"/>
  <c r="AI353" i="32"/>
  <c r="AI355" i="32" s="1"/>
  <c r="AI106" i="32"/>
  <c r="AE61" i="32"/>
  <c r="AE66" i="32" s="1"/>
  <c r="AE147" i="32"/>
  <c r="AF61" i="32"/>
  <c r="AF66" i="32" s="1"/>
  <c r="AF147" i="32"/>
  <c r="L21" i="32"/>
  <c r="Y151" i="27"/>
  <c r="Y150" i="27" s="1"/>
  <c r="Y60" i="27"/>
  <c r="Y65" i="27" s="1"/>
  <c r="Y352" i="27"/>
  <c r="Y107" i="27"/>
  <c r="Y100" i="27"/>
  <c r="Y98" i="27" s="1"/>
  <c r="Y105" i="27" s="1"/>
  <c r="S60" i="27"/>
  <c r="S65" i="27" s="1"/>
  <c r="S151" i="27"/>
  <c r="S150" i="27" s="1"/>
  <c r="S352" i="27"/>
  <c r="S107" i="27"/>
  <c r="S100" i="27"/>
  <c r="S98" i="27" s="1"/>
  <c r="S105" i="27" s="1"/>
  <c r="AL151" i="20"/>
  <c r="AL107" i="20"/>
  <c r="AL60" i="20"/>
  <c r="AL352" i="20"/>
  <c r="AL100" i="20"/>
  <c r="L42" i="20"/>
  <c r="L41" i="20" s="1"/>
  <c r="O41" i="20"/>
  <c r="O152" i="20" s="1"/>
  <c r="AE151" i="20"/>
  <c r="AE352" i="20"/>
  <c r="AE107" i="20"/>
  <c r="AE60" i="20"/>
  <c r="AE100" i="20"/>
  <c r="O41" i="31"/>
  <c r="O152" i="31" s="1"/>
  <c r="L42" i="31"/>
  <c r="L41" i="31" s="1"/>
  <c r="AK61" i="32"/>
  <c r="AK66" i="32" s="1"/>
  <c r="AK147" i="32"/>
  <c r="P49" i="20"/>
  <c r="P49" i="33" s="1"/>
  <c r="Z128" i="24"/>
  <c r="Z129" i="24" s="1"/>
  <c r="Z130" i="24" s="1"/>
  <c r="Z353" i="24"/>
  <c r="Z106" i="24"/>
  <c r="Z147" i="24"/>
  <c r="Z61" i="24"/>
  <c r="Z66" i="24" s="1"/>
  <c r="AJ128" i="27"/>
  <c r="AJ129" i="27" s="1"/>
  <c r="AJ130" i="27" s="1"/>
  <c r="AJ353" i="27"/>
  <c r="AJ106" i="27"/>
  <c r="Q128" i="27"/>
  <c r="Q129" i="27" s="1"/>
  <c r="Q130" i="27" s="1"/>
  <c r="Q353" i="27"/>
  <c r="Q106" i="27"/>
  <c r="R128" i="20"/>
  <c r="R106" i="20"/>
  <c r="R11" i="33"/>
  <c r="R353" i="20"/>
  <c r="AE49" i="20"/>
  <c r="AE49" i="33" s="1"/>
  <c r="AK49" i="20"/>
  <c r="AK49" i="33" s="1"/>
  <c r="Y49" i="20"/>
  <c r="Y49" i="33" s="1"/>
  <c r="U128" i="24"/>
  <c r="U129" i="24" s="1"/>
  <c r="U130" i="24" s="1"/>
  <c r="U353" i="24"/>
  <c r="U106" i="24"/>
  <c r="AD128" i="24"/>
  <c r="AD129" i="24" s="1"/>
  <c r="AD130" i="24" s="1"/>
  <c r="AD106" i="24"/>
  <c r="AD353" i="24"/>
  <c r="AC147" i="24"/>
  <c r="AC61" i="24"/>
  <c r="AC66" i="24" s="1"/>
  <c r="T61" i="24"/>
  <c r="T66" i="24" s="1"/>
  <c r="T147" i="24"/>
  <c r="AL353" i="27"/>
  <c r="AL355" i="27" s="1"/>
  <c r="AL128" i="27"/>
  <c r="AL129" i="27" s="1"/>
  <c r="AL130" i="27" s="1"/>
  <c r="AL106" i="27"/>
  <c r="AB61" i="27"/>
  <c r="AB66" i="27" s="1"/>
  <c r="AB147" i="27"/>
  <c r="AE128" i="27"/>
  <c r="AE129" i="27" s="1"/>
  <c r="AE130" i="27" s="1"/>
  <c r="AE353" i="27"/>
  <c r="AE106" i="27"/>
  <c r="U61" i="27"/>
  <c r="U66" i="27" s="1"/>
  <c r="U147" i="27"/>
  <c r="AL147" i="27"/>
  <c r="AL61" i="27"/>
  <c r="AL66" i="27" s="1"/>
  <c r="AG128" i="31"/>
  <c r="AG129" i="31" s="1"/>
  <c r="AG130" i="31" s="1"/>
  <c r="AG353" i="31"/>
  <c r="AG106" i="31"/>
  <c r="AB128" i="31"/>
  <c r="AB129" i="31" s="1"/>
  <c r="AB130" i="31" s="1"/>
  <c r="AB353" i="31"/>
  <c r="AB106" i="31"/>
  <c r="AB147" i="31"/>
  <c r="AB61" i="31"/>
  <c r="AB66" i="31" s="1"/>
  <c r="L13" i="31"/>
  <c r="J14" i="18" s="1"/>
  <c r="J15" i="18" s="1"/>
  <c r="AL151" i="24"/>
  <c r="AL150" i="24" s="1"/>
  <c r="AL60" i="24"/>
  <c r="AL65" i="24" s="1"/>
  <c r="AL352" i="24"/>
  <c r="AL107" i="24"/>
  <c r="AL100" i="24"/>
  <c r="AL98" i="24" s="1"/>
  <c r="AL105" i="24" s="1"/>
  <c r="Z151" i="24"/>
  <c r="Z150" i="24" s="1"/>
  <c r="Z352" i="24"/>
  <c r="Z60" i="24"/>
  <c r="Z65" i="24" s="1"/>
  <c r="Z107" i="24"/>
  <c r="Z100" i="24"/>
  <c r="Z98" i="24" s="1"/>
  <c r="Z105" i="24" s="1"/>
  <c r="O65" i="24"/>
  <c r="L31" i="24"/>
  <c r="H10" i="18" s="1"/>
  <c r="H11" i="18" s="1"/>
  <c r="O145" i="31"/>
  <c r="O238" i="31"/>
  <c r="W151" i="31"/>
  <c r="W150" i="31" s="1"/>
  <c r="W60" i="31"/>
  <c r="W65" i="31" s="1"/>
  <c r="W352" i="31"/>
  <c r="W107" i="31"/>
  <c r="W100" i="31"/>
  <c r="W98" i="31" s="1"/>
  <c r="W105" i="31" s="1"/>
  <c r="AH60" i="31"/>
  <c r="AH65" i="31" s="1"/>
  <c r="AH151" i="31"/>
  <c r="AH150" i="31" s="1"/>
  <c r="AH352" i="31"/>
  <c r="AH107" i="31"/>
  <c r="AH100" i="31"/>
  <c r="AH98" i="31" s="1"/>
  <c r="AH105" i="31" s="1"/>
  <c r="V151" i="32"/>
  <c r="V150" i="32" s="1"/>
  <c r="V352" i="32"/>
  <c r="V60" i="32"/>
  <c r="V65" i="32" s="1"/>
  <c r="V107" i="32"/>
  <c r="V100" i="32"/>
  <c r="V98" i="32" s="1"/>
  <c r="V105" i="32" s="1"/>
  <c r="Q151" i="32"/>
  <c r="Q150" i="32" s="1"/>
  <c r="Q60" i="32"/>
  <c r="Q65" i="32" s="1"/>
  <c r="Q352" i="32"/>
  <c r="Q107" i="32"/>
  <c r="Q100" i="32"/>
  <c r="Q98" i="32" s="1"/>
  <c r="Q105" i="32" s="1"/>
  <c r="AM128" i="32"/>
  <c r="AM129" i="32" s="1"/>
  <c r="AM130" i="32" s="1"/>
  <c r="AM353" i="32"/>
  <c r="AM106" i="32"/>
  <c r="AA128" i="32"/>
  <c r="AA129" i="32" s="1"/>
  <c r="AA130" i="32" s="1"/>
  <c r="AA353" i="32"/>
  <c r="AA106" i="32"/>
  <c r="Q61" i="32"/>
  <c r="Q66" i="32" s="1"/>
  <c r="Q147" i="32"/>
  <c r="P147" i="32"/>
  <c r="P61" i="32"/>
  <c r="P66" i="32" s="1"/>
  <c r="L29" i="27"/>
  <c r="C328" i="27" s="1"/>
  <c r="O107" i="27"/>
  <c r="O352" i="27"/>
  <c r="O151" i="27"/>
  <c r="O60" i="27"/>
  <c r="O100" i="27"/>
  <c r="T352" i="27"/>
  <c r="T60" i="27"/>
  <c r="T65" i="27" s="1"/>
  <c r="T151" i="27"/>
  <c r="T150" i="27" s="1"/>
  <c r="T107" i="27"/>
  <c r="T100" i="27"/>
  <c r="T98" i="27" s="1"/>
  <c r="T105" i="27" s="1"/>
  <c r="U151" i="27"/>
  <c r="U150" i="27" s="1"/>
  <c r="U60" i="27"/>
  <c r="U65" i="27" s="1"/>
  <c r="U352" i="27"/>
  <c r="U107" i="27"/>
  <c r="U100" i="27"/>
  <c r="U98" i="27" s="1"/>
  <c r="U105" i="27" s="1"/>
  <c r="AC352" i="20"/>
  <c r="AC60" i="20"/>
  <c r="AC151" i="20"/>
  <c r="AC107" i="20"/>
  <c r="AC100" i="20"/>
  <c r="L11" i="32"/>
  <c r="D328" i="32" s="1"/>
  <c r="O128" i="32"/>
  <c r="O353" i="32"/>
  <c r="O106" i="32"/>
  <c r="AH353" i="20"/>
  <c r="AH11" i="33"/>
  <c r="AH106" i="20"/>
  <c r="AH128" i="20"/>
  <c r="AD49" i="20"/>
  <c r="AD49" i="33" s="1"/>
  <c r="AE353" i="24"/>
  <c r="AE128" i="24"/>
  <c r="AE129" i="24" s="1"/>
  <c r="AE130" i="24" s="1"/>
  <c r="AE106" i="24"/>
  <c r="U61" i="24"/>
  <c r="U66" i="24" s="1"/>
  <c r="U147" i="24"/>
  <c r="AF128" i="27"/>
  <c r="AF129" i="27" s="1"/>
  <c r="AF130" i="27" s="1"/>
  <c r="AF353" i="27"/>
  <c r="AF106" i="27"/>
  <c r="Z61" i="27"/>
  <c r="Z66" i="27" s="1"/>
  <c r="Z147" i="27"/>
  <c r="P107" i="31"/>
  <c r="P151" i="31"/>
  <c r="P150" i="31" s="1"/>
  <c r="P60" i="31"/>
  <c r="P65" i="31" s="1"/>
  <c r="P352" i="31"/>
  <c r="P100" i="31"/>
  <c r="P98" i="31" s="1"/>
  <c r="P105" i="31" s="1"/>
  <c r="AG61" i="24"/>
  <c r="AG66" i="24" s="1"/>
  <c r="AG147" i="24"/>
  <c r="L13" i="27"/>
  <c r="I14" i="18" s="1"/>
  <c r="I15" i="18" s="1"/>
  <c r="P61" i="27"/>
  <c r="P66" i="27" s="1"/>
  <c r="P147" i="27"/>
  <c r="S61" i="31"/>
  <c r="S66" i="31" s="1"/>
  <c r="S147" i="31"/>
  <c r="AB151" i="31"/>
  <c r="AB150" i="31" s="1"/>
  <c r="AB352" i="31"/>
  <c r="AB60" i="31"/>
  <c r="AB65" i="31" s="1"/>
  <c r="AB107" i="31"/>
  <c r="AB100" i="31"/>
  <c r="AB98" i="31" s="1"/>
  <c r="AB105" i="31" s="1"/>
  <c r="X151" i="20"/>
  <c r="X60" i="20"/>
  <c r="X352" i="20"/>
  <c r="X107" i="20"/>
  <c r="X100" i="20"/>
  <c r="AL353" i="20"/>
  <c r="AL128" i="20"/>
  <c r="AL11" i="33"/>
  <c r="AL106" i="20"/>
  <c r="Y353" i="20"/>
  <c r="Y128" i="20"/>
  <c r="Y106" i="20"/>
  <c r="Y11" i="33"/>
  <c r="AB353" i="20"/>
  <c r="AB128" i="20"/>
  <c r="AB11" i="33"/>
  <c r="AB106" i="20"/>
  <c r="X49" i="20"/>
  <c r="X49" i="33" s="1"/>
  <c r="AC49" i="20"/>
  <c r="AC49" i="33" s="1"/>
  <c r="W353" i="24"/>
  <c r="W128" i="24"/>
  <c r="W129" i="24" s="1"/>
  <c r="W130" i="24" s="1"/>
  <c r="W106" i="24"/>
  <c r="AD147" i="24"/>
  <c r="AD61" i="24"/>
  <c r="AD66" i="24" s="1"/>
  <c r="L21" i="24"/>
  <c r="AA128" i="27"/>
  <c r="AA129" i="27" s="1"/>
  <c r="AA130" i="27" s="1"/>
  <c r="AA353" i="27"/>
  <c r="AA106" i="27"/>
  <c r="T128" i="27"/>
  <c r="T129" i="27" s="1"/>
  <c r="T130" i="27" s="1"/>
  <c r="T353" i="27"/>
  <c r="T106" i="27"/>
  <c r="AE147" i="27"/>
  <c r="AE61" i="27"/>
  <c r="AE66" i="27" s="1"/>
  <c r="AA61" i="27"/>
  <c r="AA66" i="27" s="1"/>
  <c r="AA147" i="27"/>
  <c r="Y353" i="31"/>
  <c r="Y128" i="31"/>
  <c r="Y129" i="31" s="1"/>
  <c r="Y130" i="31" s="1"/>
  <c r="Y106" i="31"/>
  <c r="S353" i="31"/>
  <c r="S128" i="31"/>
  <c r="S129" i="31" s="1"/>
  <c r="S130" i="31" s="1"/>
  <c r="S106" i="31"/>
  <c r="AE128" i="31"/>
  <c r="AE129" i="31" s="1"/>
  <c r="AE130" i="31" s="1"/>
  <c r="AE353" i="31"/>
  <c r="AE106" i="31"/>
  <c r="AL147" i="31"/>
  <c r="AL61" i="31"/>
  <c r="AL66" i="31" s="1"/>
  <c r="AM147" i="31"/>
  <c r="AM61" i="31"/>
  <c r="AM66" i="31" s="1"/>
  <c r="L13" i="24"/>
  <c r="H14" i="18" s="1"/>
  <c r="H15" i="18" s="1"/>
  <c r="AF151" i="20"/>
  <c r="AF60" i="20"/>
  <c r="AF352" i="20"/>
  <c r="AF107" i="20"/>
  <c r="AF100" i="20"/>
  <c r="Y60" i="24"/>
  <c r="Y65" i="24" s="1"/>
  <c r="Y151" i="24"/>
  <c r="Y150" i="24" s="1"/>
  <c r="Y352" i="24"/>
  <c r="Y107" i="24"/>
  <c r="Y100" i="24"/>
  <c r="Y98" i="24" s="1"/>
  <c r="Y105" i="24" s="1"/>
  <c r="AI352" i="31"/>
  <c r="AI151" i="31"/>
  <c r="AI150" i="31" s="1"/>
  <c r="AI60" i="31"/>
  <c r="AI65" i="31" s="1"/>
  <c r="AI107" i="31"/>
  <c r="AI100" i="31"/>
  <c r="AI98" i="31" s="1"/>
  <c r="AI105" i="31" s="1"/>
  <c r="U352" i="31"/>
  <c r="U151" i="31"/>
  <c r="U150" i="31" s="1"/>
  <c r="U60" i="31"/>
  <c r="U65" i="31" s="1"/>
  <c r="U107" i="31"/>
  <c r="U100" i="31"/>
  <c r="U98" i="31" s="1"/>
  <c r="U105" i="31" s="1"/>
  <c r="Y60" i="32"/>
  <c r="Y65" i="32" s="1"/>
  <c r="Y151" i="32"/>
  <c r="Y150" i="32" s="1"/>
  <c r="Y352" i="32"/>
  <c r="Y107" i="32"/>
  <c r="Y100" i="32"/>
  <c r="Y98" i="32" s="1"/>
  <c r="Y105" i="32" s="1"/>
  <c r="T352" i="32"/>
  <c r="T60" i="32"/>
  <c r="T65" i="32" s="1"/>
  <c r="T151" i="32"/>
  <c r="T150" i="32" s="1"/>
  <c r="T107" i="32"/>
  <c r="T100" i="32"/>
  <c r="T98" i="32" s="1"/>
  <c r="T105" i="32" s="1"/>
  <c r="AK128" i="32"/>
  <c r="AK129" i="32" s="1"/>
  <c r="AK130" i="32" s="1"/>
  <c r="AK353" i="32"/>
  <c r="AK106" i="32"/>
  <c r="W61" i="32"/>
  <c r="W66" i="32" s="1"/>
  <c r="W147" i="32"/>
  <c r="AA61" i="32"/>
  <c r="AA66" i="32" s="1"/>
  <c r="AA147" i="32"/>
  <c r="L31" i="27"/>
  <c r="I10" i="18" s="1"/>
  <c r="I11" i="18" s="1"/>
  <c r="AB352" i="27"/>
  <c r="AB60" i="27"/>
  <c r="AB65" i="27" s="1"/>
  <c r="AB151" i="27"/>
  <c r="AB150" i="27" s="1"/>
  <c r="AB107" i="27"/>
  <c r="AB100" i="27"/>
  <c r="AB98" i="27" s="1"/>
  <c r="AB105" i="27" s="1"/>
  <c r="R151" i="27"/>
  <c r="R150" i="27" s="1"/>
  <c r="R60" i="27"/>
  <c r="R65" i="27" s="1"/>
  <c r="R352" i="27"/>
  <c r="R107" i="27"/>
  <c r="R100" i="27"/>
  <c r="R98" i="27" s="1"/>
  <c r="R105" i="27" s="1"/>
  <c r="AD151" i="20"/>
  <c r="AD107" i="20"/>
  <c r="AD60" i="20"/>
  <c r="AD352" i="20"/>
  <c r="AD100" i="20"/>
  <c r="L13" i="32"/>
  <c r="K14" i="18" s="1"/>
  <c r="K15" i="18" s="1"/>
  <c r="AH128" i="32"/>
  <c r="AH129" i="32" s="1"/>
  <c r="AH130" i="32" s="1"/>
  <c r="AH353" i="32"/>
  <c r="AH106" i="32"/>
  <c r="AI60" i="20"/>
  <c r="AI151" i="20"/>
  <c r="AI107" i="20"/>
  <c r="AI352" i="20"/>
  <c r="AI100" i="20"/>
  <c r="Q128" i="20"/>
  <c r="Q106" i="20"/>
  <c r="Q353" i="20"/>
  <c r="Q11" i="33"/>
  <c r="AJ128" i="31"/>
  <c r="AJ129" i="31" s="1"/>
  <c r="AJ130" i="31" s="1"/>
  <c r="AJ353" i="31"/>
  <c r="AJ106" i="31"/>
  <c r="AF128" i="20"/>
  <c r="AF353" i="20"/>
  <c r="AF106" i="20"/>
  <c r="AF11" i="33"/>
  <c r="W49" i="20"/>
  <c r="W49" i="33" s="1"/>
  <c r="P61" i="24"/>
  <c r="P66" i="24" s="1"/>
  <c r="P147" i="24"/>
  <c r="AK11" i="33"/>
  <c r="AK353" i="20"/>
  <c r="AK128" i="20"/>
  <c r="AK106" i="20"/>
  <c r="S49" i="20"/>
  <c r="S49" i="33" s="1"/>
  <c r="V49" i="20"/>
  <c r="V49" i="33" s="1"/>
  <c r="AG128" i="24"/>
  <c r="AG129" i="24" s="1"/>
  <c r="AG130" i="24" s="1"/>
  <c r="AG106" i="24"/>
  <c r="AG353" i="24"/>
  <c r="AA147" i="24"/>
  <c r="AA61" i="24"/>
  <c r="AA66" i="24" s="1"/>
  <c r="X61" i="24"/>
  <c r="X66" i="24" s="1"/>
  <c r="X147" i="24"/>
  <c r="AG353" i="27"/>
  <c r="AG128" i="27"/>
  <c r="AG129" i="27" s="1"/>
  <c r="AG130" i="27" s="1"/>
  <c r="AG106" i="27"/>
  <c r="Y128" i="27"/>
  <c r="Y129" i="27" s="1"/>
  <c r="Y130" i="27" s="1"/>
  <c r="Y353" i="27"/>
  <c r="Y106" i="27"/>
  <c r="R61" i="27"/>
  <c r="R66" i="27" s="1"/>
  <c r="R147" i="27"/>
  <c r="Q147" i="27"/>
  <c r="Q61" i="27"/>
  <c r="Q66" i="27" s="1"/>
  <c r="U128" i="31"/>
  <c r="U129" i="31" s="1"/>
  <c r="U130" i="31" s="1"/>
  <c r="U353" i="31"/>
  <c r="U106" i="31"/>
  <c r="AI128" i="31"/>
  <c r="AI129" i="31" s="1"/>
  <c r="AI130" i="31" s="1"/>
  <c r="AI353" i="31"/>
  <c r="AI106" i="31"/>
  <c r="X128" i="31"/>
  <c r="X129" i="31" s="1"/>
  <c r="X130" i="31" s="1"/>
  <c r="X353" i="31"/>
  <c r="X106" i="31"/>
  <c r="Y61" i="31"/>
  <c r="Y66" i="31" s="1"/>
  <c r="Y147" i="31"/>
  <c r="AG61" i="31"/>
  <c r="AG66" i="31" s="1"/>
  <c r="AG147" i="31"/>
  <c r="O145" i="20"/>
  <c r="O238" i="20"/>
  <c r="AC60" i="24"/>
  <c r="AC65" i="24" s="1"/>
  <c r="AC151" i="24"/>
  <c r="AC150" i="24" s="1"/>
  <c r="AC352" i="24"/>
  <c r="AC107" i="24"/>
  <c r="AC100" i="24"/>
  <c r="AC98" i="24" s="1"/>
  <c r="AC105" i="24" s="1"/>
  <c r="W352" i="24"/>
  <c r="W151" i="24"/>
  <c r="W150" i="24" s="1"/>
  <c r="W60" i="24"/>
  <c r="W65" i="24" s="1"/>
  <c r="W107" i="24"/>
  <c r="W100" i="24"/>
  <c r="W98" i="24" s="1"/>
  <c r="W105" i="24" s="1"/>
  <c r="O355" i="24"/>
  <c r="L11" i="31"/>
  <c r="D328" i="31" s="1"/>
  <c r="L31" i="31"/>
  <c r="J10" i="18" s="1"/>
  <c r="J11" i="18" s="1"/>
  <c r="O29" i="31"/>
  <c r="AF151" i="31"/>
  <c r="AF150" i="31" s="1"/>
  <c r="AF60" i="31"/>
  <c r="AF65" i="31" s="1"/>
  <c r="AF352" i="31"/>
  <c r="AF107" i="31"/>
  <c r="AF100" i="31"/>
  <c r="AF98" i="31" s="1"/>
  <c r="AF105" i="31" s="1"/>
  <c r="AL151" i="32"/>
  <c r="AL150" i="32" s="1"/>
  <c r="AL352" i="32"/>
  <c r="AL60" i="32"/>
  <c r="AL65" i="32" s="1"/>
  <c r="AL107" i="32"/>
  <c r="AL100" i="32"/>
  <c r="AL98" i="32" s="1"/>
  <c r="AL105" i="32" s="1"/>
  <c r="P151" i="32"/>
  <c r="P150" i="32" s="1"/>
  <c r="P60" i="32"/>
  <c r="P65" i="32" s="1"/>
  <c r="P352" i="32"/>
  <c r="P107" i="32"/>
  <c r="P100" i="32"/>
  <c r="P98" i="32" s="1"/>
  <c r="P105" i="32" s="1"/>
  <c r="AG353" i="32"/>
  <c r="AG128" i="32"/>
  <c r="AG129" i="32" s="1"/>
  <c r="AG130" i="32" s="1"/>
  <c r="AG106" i="32"/>
  <c r="Q128" i="32"/>
  <c r="Q129" i="32" s="1"/>
  <c r="Q130" i="32" s="1"/>
  <c r="Q353" i="32"/>
  <c r="Q106" i="32"/>
  <c r="T128" i="32"/>
  <c r="T129" i="32" s="1"/>
  <c r="T130" i="32" s="1"/>
  <c r="T353" i="32"/>
  <c r="T106" i="32"/>
  <c r="Z128" i="32"/>
  <c r="Z129" i="32" s="1"/>
  <c r="Z130" i="32" s="1"/>
  <c r="Z353" i="32"/>
  <c r="Z106" i="32"/>
  <c r="X147" i="32"/>
  <c r="X61" i="32"/>
  <c r="X66" i="32" s="1"/>
  <c r="AG61" i="32"/>
  <c r="AG66" i="32" s="1"/>
  <c r="AG147" i="32"/>
  <c r="AF60" i="27"/>
  <c r="AF65" i="27" s="1"/>
  <c r="AF151" i="27"/>
  <c r="AF150" i="27" s="1"/>
  <c r="AF352" i="27"/>
  <c r="AF107" i="27"/>
  <c r="AF100" i="27"/>
  <c r="AF98" i="27" s="1"/>
  <c r="AF105" i="27" s="1"/>
  <c r="AC151" i="27"/>
  <c r="AC150" i="27" s="1"/>
  <c r="AC60" i="27"/>
  <c r="AC65" i="27" s="1"/>
  <c r="AC352" i="27"/>
  <c r="AC107" i="27"/>
  <c r="AC100" i="27"/>
  <c r="AC98" i="27" s="1"/>
  <c r="AC105" i="27" s="1"/>
  <c r="W352" i="20"/>
  <c r="W60" i="20"/>
  <c r="W151" i="20"/>
  <c r="W107" i="20"/>
  <c r="W100" i="20"/>
  <c r="O98" i="20"/>
  <c r="Y151" i="20"/>
  <c r="Y352" i="20"/>
  <c r="Y107" i="20"/>
  <c r="Y60" i="20"/>
  <c r="Y100" i="20"/>
  <c r="X128" i="20"/>
  <c r="X353" i="20"/>
  <c r="X11" i="33"/>
  <c r="X106" i="20"/>
  <c r="AB128" i="24"/>
  <c r="AB129" i="24" s="1"/>
  <c r="AB130" i="24" s="1"/>
  <c r="AB353" i="24"/>
  <c r="AB355" i="24" s="1"/>
  <c r="AB106" i="24"/>
  <c r="AB108" i="24" s="1"/>
  <c r="AC128" i="20"/>
  <c r="AC11" i="33"/>
  <c r="AC353" i="20"/>
  <c r="AC106" i="20"/>
  <c r="Z353" i="20"/>
  <c r="Z128" i="20"/>
  <c r="Z11" i="33"/>
  <c r="Z106" i="20"/>
  <c r="AG49" i="20"/>
  <c r="AG49" i="33" s="1"/>
  <c r="U49" i="20"/>
  <c r="U49" i="33" s="1"/>
  <c r="AF353" i="24"/>
  <c r="AF128" i="24"/>
  <c r="AF129" i="24" s="1"/>
  <c r="AF130" i="24" s="1"/>
  <c r="AF106" i="24"/>
  <c r="AK128" i="24"/>
  <c r="AK129" i="24" s="1"/>
  <c r="AK130" i="24" s="1"/>
  <c r="AK353" i="24"/>
  <c r="AK106" i="24"/>
  <c r="Q61" i="24"/>
  <c r="Q66" i="24" s="1"/>
  <c r="Q147" i="24"/>
  <c r="AF61" i="24"/>
  <c r="AF66" i="24" s="1"/>
  <c r="AF147" i="24"/>
  <c r="V128" i="27"/>
  <c r="V129" i="27" s="1"/>
  <c r="V130" i="27" s="1"/>
  <c r="V353" i="27"/>
  <c r="V106" i="27"/>
  <c r="AB128" i="27"/>
  <c r="AB129" i="27" s="1"/>
  <c r="AB130" i="27" s="1"/>
  <c r="AB353" i="27"/>
  <c r="AB106" i="27"/>
  <c r="AI128" i="27"/>
  <c r="AI129" i="27" s="1"/>
  <c r="AI130" i="27" s="1"/>
  <c r="AI353" i="27"/>
  <c r="AI106" i="27"/>
  <c r="AC147" i="27"/>
  <c r="AC61" i="27"/>
  <c r="AC66" i="27" s="1"/>
  <c r="S147" i="27"/>
  <c r="S61" i="27"/>
  <c r="S66" i="27" s="1"/>
  <c r="AL128" i="31"/>
  <c r="AL129" i="31" s="1"/>
  <c r="AL130" i="31" s="1"/>
  <c r="AL106" i="31"/>
  <c r="AL108" i="31" s="1"/>
  <c r="AL353" i="31"/>
  <c r="AL355" i="31" s="1"/>
  <c r="Z147" i="31"/>
  <c r="Z61" i="31"/>
  <c r="Z66" i="31" s="1"/>
  <c r="AE61" i="31"/>
  <c r="AE66" i="31" s="1"/>
  <c r="AE147" i="31"/>
  <c r="AH352" i="24"/>
  <c r="AH151" i="24"/>
  <c r="AH150" i="24" s="1"/>
  <c r="AH60" i="24"/>
  <c r="AH65" i="24" s="1"/>
  <c r="AH107" i="24"/>
  <c r="AH100" i="24"/>
  <c r="AH98" i="24" s="1"/>
  <c r="AH105" i="24" s="1"/>
  <c r="V151" i="24"/>
  <c r="V150" i="24" s="1"/>
  <c r="V60" i="24"/>
  <c r="V65" i="24" s="1"/>
  <c r="V352" i="24"/>
  <c r="V107" i="24"/>
  <c r="V100" i="24"/>
  <c r="V98" i="24" s="1"/>
  <c r="V105" i="24" s="1"/>
  <c r="AE352" i="31"/>
  <c r="AE60" i="31"/>
  <c r="AE65" i="31" s="1"/>
  <c r="AE151" i="31"/>
  <c r="AE150" i="31" s="1"/>
  <c r="AE107" i="31"/>
  <c r="AE100" i="31"/>
  <c r="AE98" i="31" s="1"/>
  <c r="AE105" i="31" s="1"/>
  <c r="V60" i="31"/>
  <c r="V65" i="31" s="1"/>
  <c r="V151" i="31"/>
  <c r="V150" i="31" s="1"/>
  <c r="V352" i="31"/>
  <c r="V107" i="31"/>
  <c r="V100" i="31"/>
  <c r="V98" i="31" s="1"/>
  <c r="V105" i="31" s="1"/>
  <c r="Z60" i="32"/>
  <c r="Z65" i="32" s="1"/>
  <c r="Z151" i="32"/>
  <c r="Z150" i="32" s="1"/>
  <c r="Z352" i="32"/>
  <c r="Z107" i="32"/>
  <c r="Z100" i="32"/>
  <c r="Z98" i="32" s="1"/>
  <c r="Z105" i="32" s="1"/>
  <c r="L42" i="32"/>
  <c r="L41" i="32" s="1"/>
  <c r="O41" i="32"/>
  <c r="O152" i="32" s="1"/>
  <c r="P128" i="32"/>
  <c r="P129" i="32" s="1"/>
  <c r="P130" i="32" s="1"/>
  <c r="P353" i="32"/>
  <c r="P106" i="32"/>
  <c r="S128" i="32"/>
  <c r="S129" i="32" s="1"/>
  <c r="S130" i="32" s="1"/>
  <c r="S353" i="32"/>
  <c r="S106" i="32"/>
  <c r="Z61" i="32"/>
  <c r="Z66" i="32" s="1"/>
  <c r="Z147" i="32"/>
  <c r="AL61" i="32"/>
  <c r="AL66" i="32" s="1"/>
  <c r="AL147" i="32"/>
  <c r="AM60" i="27"/>
  <c r="AM65" i="27" s="1"/>
  <c r="AM151" i="27"/>
  <c r="AM150" i="27" s="1"/>
  <c r="AM352" i="27"/>
  <c r="AM107" i="27"/>
  <c r="AM100" i="27"/>
  <c r="AM98" i="27" s="1"/>
  <c r="AM105" i="27" s="1"/>
  <c r="Q151" i="27"/>
  <c r="Q150" i="27" s="1"/>
  <c r="Q60" i="27"/>
  <c r="Q65" i="27" s="1"/>
  <c r="Q352" i="27"/>
  <c r="Q107" i="27"/>
  <c r="Q100" i="27"/>
  <c r="Q98" i="27" s="1"/>
  <c r="Q105" i="27" s="1"/>
  <c r="Z352" i="20"/>
  <c r="Z107" i="20"/>
  <c r="Z60" i="20"/>
  <c r="Z151" i="20"/>
  <c r="Z100" i="20"/>
  <c r="O65" i="20"/>
  <c r="AJ61" i="24"/>
  <c r="AJ66" i="24" s="1"/>
  <c r="AJ147" i="24"/>
  <c r="AA61" i="31"/>
  <c r="AA66" i="31" s="1"/>
  <c r="AA147" i="31"/>
  <c r="AJ151" i="32"/>
  <c r="AJ150" i="32" s="1"/>
  <c r="AJ60" i="32"/>
  <c r="AJ65" i="32" s="1"/>
  <c r="AJ352" i="32"/>
  <c r="AJ107" i="32"/>
  <c r="AJ100" i="32"/>
  <c r="AJ98" i="32" s="1"/>
  <c r="AJ105" i="32" s="1"/>
  <c r="S128" i="20"/>
  <c r="S11" i="33"/>
  <c r="S106" i="20"/>
  <c r="S353" i="20"/>
  <c r="T49" i="20"/>
  <c r="T49" i="33" s="1"/>
  <c r="AA49" i="20"/>
  <c r="AA49" i="33" s="1"/>
  <c r="AA128" i="24"/>
  <c r="AA129" i="24" s="1"/>
  <c r="AA130" i="24" s="1"/>
  <c r="AA353" i="24"/>
  <c r="AA106" i="24"/>
  <c r="Y128" i="24"/>
  <c r="Y129" i="24" s="1"/>
  <c r="Y130" i="24" s="1"/>
  <c r="Y353" i="24"/>
  <c r="Y106" i="24"/>
  <c r="Y147" i="24"/>
  <c r="Y61" i="24"/>
  <c r="Y66" i="24" s="1"/>
  <c r="X353" i="27"/>
  <c r="X128" i="27"/>
  <c r="X129" i="27" s="1"/>
  <c r="X130" i="27" s="1"/>
  <c r="X106" i="27"/>
  <c r="R128" i="27"/>
  <c r="R129" i="27" s="1"/>
  <c r="R130" i="27" s="1"/>
  <c r="R353" i="27"/>
  <c r="R106" i="27"/>
  <c r="AH151" i="32"/>
  <c r="AH150" i="32" s="1"/>
  <c r="AH60" i="32"/>
  <c r="AH65" i="32" s="1"/>
  <c r="AH352" i="32"/>
  <c r="AH107" i="32"/>
  <c r="AH100" i="32"/>
  <c r="AH98" i="32" s="1"/>
  <c r="AH105" i="32" s="1"/>
  <c r="P151" i="24"/>
  <c r="P150" i="24" s="1"/>
  <c r="P60" i="24"/>
  <c r="P65" i="24" s="1"/>
  <c r="P352" i="24"/>
  <c r="P107" i="24"/>
  <c r="P100" i="24"/>
  <c r="P98" i="24" s="1"/>
  <c r="P105" i="24" s="1"/>
  <c r="W151" i="27"/>
  <c r="W150" i="27" s="1"/>
  <c r="W352" i="27"/>
  <c r="W60" i="27"/>
  <c r="W65" i="27" s="1"/>
  <c r="W107" i="27"/>
  <c r="W100" i="27"/>
  <c r="W98" i="27" s="1"/>
  <c r="W105" i="27" s="1"/>
  <c r="T128" i="24"/>
  <c r="T129" i="24" s="1"/>
  <c r="T130" i="24" s="1"/>
  <c r="T353" i="24"/>
  <c r="T106" i="24"/>
  <c r="T128" i="20"/>
  <c r="T353" i="20"/>
  <c r="T106" i="20"/>
  <c r="T11" i="33"/>
  <c r="AE128" i="20"/>
  <c r="AE353" i="20"/>
  <c r="AE106" i="20"/>
  <c r="AE11" i="33"/>
  <c r="AL49" i="20"/>
  <c r="AL49" i="33" s="1"/>
  <c r="AI49" i="20"/>
  <c r="AI49" i="33" s="1"/>
  <c r="P353" i="24"/>
  <c r="P128" i="24"/>
  <c r="P129" i="24" s="1"/>
  <c r="P130" i="24" s="1"/>
  <c r="P106" i="24"/>
  <c r="S128" i="24"/>
  <c r="S129" i="24" s="1"/>
  <c r="S130" i="24" s="1"/>
  <c r="S353" i="24"/>
  <c r="S106" i="24"/>
  <c r="AK61" i="24"/>
  <c r="AK66" i="24" s="1"/>
  <c r="AK147" i="24"/>
  <c r="AB61" i="24"/>
  <c r="AB66" i="24" s="1"/>
  <c r="AB147" i="24"/>
  <c r="U128" i="27"/>
  <c r="U129" i="27" s="1"/>
  <c r="U130" i="27" s="1"/>
  <c r="U353" i="27"/>
  <c r="U106" i="27"/>
  <c r="T61" i="27"/>
  <c r="T66" i="27" s="1"/>
  <c r="T147" i="27"/>
  <c r="AM61" i="27"/>
  <c r="AM66" i="27" s="1"/>
  <c r="AM147" i="27"/>
  <c r="AK128" i="31"/>
  <c r="AK129" i="31" s="1"/>
  <c r="AK130" i="31" s="1"/>
  <c r="AK353" i="31"/>
  <c r="AK106" i="31"/>
  <c r="W147" i="31"/>
  <c r="W61" i="31"/>
  <c r="W66" i="31" s="1"/>
  <c r="L21" i="31"/>
  <c r="AF151" i="24"/>
  <c r="AF150" i="24" s="1"/>
  <c r="AF60" i="24"/>
  <c r="AF65" i="24" s="1"/>
  <c r="AF352" i="24"/>
  <c r="AF107" i="24"/>
  <c r="AF100" i="24"/>
  <c r="AF98" i="24" s="1"/>
  <c r="AF105" i="24" s="1"/>
  <c r="AG352" i="24"/>
  <c r="AG151" i="24"/>
  <c r="AG150" i="24" s="1"/>
  <c r="AG60" i="24"/>
  <c r="AG65" i="24" s="1"/>
  <c r="AG107" i="24"/>
  <c r="AG100" i="24"/>
  <c r="AG98" i="24" s="1"/>
  <c r="AG105" i="24" s="1"/>
  <c r="L29" i="24"/>
  <c r="C328" i="24" s="1"/>
  <c r="AB60" i="20"/>
  <c r="AB352" i="20"/>
  <c r="AB151" i="20"/>
  <c r="AB107" i="20"/>
  <c r="AB100" i="20"/>
  <c r="X60" i="31"/>
  <c r="X65" i="31" s="1"/>
  <c r="X151" i="31"/>
  <c r="X150" i="31" s="1"/>
  <c r="X352" i="31"/>
  <c r="X107" i="31"/>
  <c r="X100" i="31"/>
  <c r="X98" i="31" s="1"/>
  <c r="X105" i="31" s="1"/>
  <c r="S60" i="31"/>
  <c r="S65" i="31" s="1"/>
  <c r="S151" i="31"/>
  <c r="S150" i="31" s="1"/>
  <c r="S352" i="31"/>
  <c r="S107" i="31"/>
  <c r="S100" i="31"/>
  <c r="S98" i="31" s="1"/>
  <c r="S105" i="31" s="1"/>
  <c r="AD60" i="32"/>
  <c r="AD65" i="32" s="1"/>
  <c r="AD151" i="32"/>
  <c r="AD150" i="32" s="1"/>
  <c r="AD352" i="32"/>
  <c r="AD107" i="32"/>
  <c r="AD100" i="32"/>
  <c r="AD98" i="32" s="1"/>
  <c r="AD105" i="32" s="1"/>
  <c r="L31" i="20"/>
  <c r="V147" i="32"/>
  <c r="V61" i="32"/>
  <c r="V66" i="32" s="1"/>
  <c r="AC147" i="32"/>
  <c r="AC61" i="32"/>
  <c r="AC66" i="32" s="1"/>
  <c r="AH151" i="27"/>
  <c r="AH150" i="27" s="1"/>
  <c r="AH60" i="27"/>
  <c r="AH65" i="27" s="1"/>
  <c r="AH352" i="27"/>
  <c r="AH107" i="27"/>
  <c r="AH100" i="27"/>
  <c r="AH98" i="27" s="1"/>
  <c r="AH105" i="27" s="1"/>
  <c r="P60" i="27"/>
  <c r="P65" i="27" s="1"/>
  <c r="P151" i="27"/>
  <c r="P150" i="27" s="1"/>
  <c r="P352" i="27"/>
  <c r="P107" i="27"/>
  <c r="P100" i="27"/>
  <c r="P98" i="27" s="1"/>
  <c r="P105" i="27" s="1"/>
  <c r="T107" i="20"/>
  <c r="T352" i="20"/>
  <c r="T151" i="20"/>
  <c r="T60" i="20"/>
  <c r="T100" i="20"/>
  <c r="AI128" i="20"/>
  <c r="AI353" i="20"/>
  <c r="AI106" i="20"/>
  <c r="AI11" i="33"/>
  <c r="V151" i="20"/>
  <c r="V60" i="20"/>
  <c r="V107" i="20"/>
  <c r="V352" i="20"/>
  <c r="V100" i="20"/>
  <c r="Z151" i="31"/>
  <c r="Z150" i="31" s="1"/>
  <c r="Z60" i="31"/>
  <c r="Z65" i="31" s="1"/>
  <c r="Z352" i="31"/>
  <c r="Z107" i="31"/>
  <c r="Z100" i="31"/>
  <c r="Z98" i="31" s="1"/>
  <c r="Z105" i="31" s="1"/>
  <c r="R60" i="31"/>
  <c r="R65" i="31" s="1"/>
  <c r="R151" i="31"/>
  <c r="R150" i="31" s="1"/>
  <c r="R352" i="31"/>
  <c r="R107" i="31"/>
  <c r="R100" i="31"/>
  <c r="R98" i="31" s="1"/>
  <c r="R105" i="31" s="1"/>
  <c r="L31" i="32"/>
  <c r="K10" i="18" s="1"/>
  <c r="K11" i="18" s="1"/>
  <c r="O29" i="32"/>
  <c r="R353" i="32"/>
  <c r="R128" i="32"/>
  <c r="R129" i="32" s="1"/>
  <c r="R130" i="32" s="1"/>
  <c r="R106" i="32"/>
  <c r="AE128" i="32"/>
  <c r="AE129" i="32" s="1"/>
  <c r="AE130" i="32" s="1"/>
  <c r="AE353" i="32"/>
  <c r="AE106" i="32"/>
  <c r="U128" i="32"/>
  <c r="U129" i="32" s="1"/>
  <c r="U130" i="32" s="1"/>
  <c r="U353" i="32"/>
  <c r="U106" i="32"/>
  <c r="Y147" i="32"/>
  <c r="Y61" i="32"/>
  <c r="Y66" i="32" s="1"/>
  <c r="AM61" i="32"/>
  <c r="AM66" i="32" s="1"/>
  <c r="AM147" i="32"/>
  <c r="AG352" i="27"/>
  <c r="AG60" i="27"/>
  <c r="AG65" i="27" s="1"/>
  <c r="AG151" i="27"/>
  <c r="AG150" i="27" s="1"/>
  <c r="AG107" i="27"/>
  <c r="AG100" i="27"/>
  <c r="AG98" i="27" s="1"/>
  <c r="AG105" i="27" s="1"/>
  <c r="L42" i="27"/>
  <c r="L41" i="27" s="1"/>
  <c r="O41" i="27"/>
  <c r="O152" i="27" s="1"/>
  <c r="AM60" i="20"/>
  <c r="AM151" i="20"/>
  <c r="AM107" i="20"/>
  <c r="AM352" i="20"/>
  <c r="AM100" i="20"/>
  <c r="L29" i="20"/>
  <c r="AE60" i="24"/>
  <c r="AE65" i="24" s="1"/>
  <c r="AE151" i="24"/>
  <c r="AE150" i="24" s="1"/>
  <c r="AE352" i="24"/>
  <c r="AE107" i="24"/>
  <c r="AE100" i="24"/>
  <c r="AE98" i="24" s="1"/>
  <c r="AE105" i="24" s="1"/>
  <c r="AD151" i="27"/>
  <c r="AD150" i="27" s="1"/>
  <c r="AD352" i="27"/>
  <c r="AD60" i="27"/>
  <c r="AD65" i="27" s="1"/>
  <c r="AD107" i="27"/>
  <c r="AD100" i="27"/>
  <c r="AD98" i="27" s="1"/>
  <c r="AD105" i="27" s="1"/>
  <c r="AG60" i="31"/>
  <c r="AG65" i="31" s="1"/>
  <c r="AG352" i="31"/>
  <c r="AG151" i="31"/>
  <c r="AG150" i="31" s="1"/>
  <c r="AG107" i="31"/>
  <c r="AG100" i="31"/>
  <c r="AG98" i="31" s="1"/>
  <c r="AG105" i="31" s="1"/>
  <c r="V128" i="32"/>
  <c r="V129" i="32" s="1"/>
  <c r="V130" i="32" s="1"/>
  <c r="V353" i="32"/>
  <c r="V106" i="32"/>
  <c r="W128" i="20"/>
  <c r="W353" i="20"/>
  <c r="W11" i="33"/>
  <c r="W106" i="20"/>
  <c r="AH49" i="20"/>
  <c r="AH49" i="33" s="1"/>
  <c r="Q49" i="20"/>
  <c r="Q49" i="33" s="1"/>
  <c r="X128" i="24"/>
  <c r="X129" i="24" s="1"/>
  <c r="X130" i="24" s="1"/>
  <c r="X353" i="24"/>
  <c r="X106" i="24"/>
  <c r="V61" i="24"/>
  <c r="V66" i="24" s="1"/>
  <c r="V147" i="24"/>
  <c r="AI61" i="24"/>
  <c r="AI66" i="24" s="1"/>
  <c r="AI147" i="24"/>
  <c r="S128" i="27"/>
  <c r="S129" i="27" s="1"/>
  <c r="S130" i="27" s="1"/>
  <c r="S353" i="27"/>
  <c r="S106" i="27"/>
  <c r="Z128" i="27"/>
  <c r="Z129" i="27" s="1"/>
  <c r="Z130" i="27" s="1"/>
  <c r="Z353" i="27"/>
  <c r="Z106" i="27"/>
  <c r="AH147" i="27"/>
  <c r="AH61" i="27"/>
  <c r="AH66" i="27" s="1"/>
  <c r="W61" i="27"/>
  <c r="W66" i="27" s="1"/>
  <c r="W147" i="27"/>
  <c r="AI147" i="27"/>
  <c r="AI61" i="27"/>
  <c r="AI66" i="27" s="1"/>
  <c r="Z353" i="31"/>
  <c r="Z128" i="31"/>
  <c r="Z129" i="31" s="1"/>
  <c r="Z130" i="31" s="1"/>
  <c r="Z106" i="31"/>
  <c r="R128" i="31"/>
  <c r="R129" i="31" s="1"/>
  <c r="R130" i="31" s="1"/>
  <c r="R353" i="31"/>
  <c r="R106" i="31"/>
  <c r="AC353" i="31"/>
  <c r="AC128" i="31"/>
  <c r="AC129" i="31" s="1"/>
  <c r="AC130" i="31" s="1"/>
  <c r="AC106" i="31"/>
  <c r="AH61" i="31"/>
  <c r="AH66" i="31" s="1"/>
  <c r="AH147" i="31"/>
  <c r="AC147" i="31"/>
  <c r="AC61" i="31"/>
  <c r="AC66" i="31" s="1"/>
  <c r="AK61" i="31"/>
  <c r="AK66" i="31" s="1"/>
  <c r="AK147" i="31"/>
  <c r="L11" i="20"/>
  <c r="AJ151" i="24"/>
  <c r="AJ150" i="24" s="1"/>
  <c r="AJ352" i="24"/>
  <c r="AJ60" i="24"/>
  <c r="AJ65" i="24" s="1"/>
  <c r="AJ107" i="24"/>
  <c r="AJ100" i="24"/>
  <c r="AJ98" i="24" s="1"/>
  <c r="AJ105" i="24" s="1"/>
  <c r="AI352" i="24"/>
  <c r="AI151" i="24"/>
  <c r="AI150" i="24" s="1"/>
  <c r="AI60" i="24"/>
  <c r="AI65" i="24" s="1"/>
  <c r="AI107" i="24"/>
  <c r="AI100" i="24"/>
  <c r="AI98" i="24" s="1"/>
  <c r="AI105" i="24" s="1"/>
  <c r="AG352" i="20"/>
  <c r="AG60" i="20"/>
  <c r="AG107" i="20"/>
  <c r="AG151" i="20"/>
  <c r="AG100" i="20"/>
  <c r="AM128" i="20"/>
  <c r="AM353" i="20"/>
  <c r="AM11" i="33"/>
  <c r="AM106" i="20"/>
  <c r="P128" i="20"/>
  <c r="P353" i="20"/>
  <c r="P106" i="20"/>
  <c r="P11" i="33"/>
  <c r="AG128" i="20"/>
  <c r="AG353" i="20"/>
  <c r="AG11" i="33"/>
  <c r="AG106" i="20"/>
  <c r="L21" i="20"/>
  <c r="AF49" i="20"/>
  <c r="AF49" i="33" s="1"/>
  <c r="V128" i="24"/>
  <c r="V129" i="24" s="1"/>
  <c r="V130" i="24" s="1"/>
  <c r="V353" i="24"/>
  <c r="V106" i="24"/>
  <c r="AI353" i="24"/>
  <c r="AI128" i="24"/>
  <c r="AI129" i="24" s="1"/>
  <c r="AI130" i="24" s="1"/>
  <c r="AI106" i="24"/>
  <c r="AH147" i="24"/>
  <c r="AH61" i="24"/>
  <c r="AH66" i="24" s="1"/>
  <c r="AM147" i="24"/>
  <c r="AM61" i="24"/>
  <c r="AM66" i="24" s="1"/>
  <c r="P128" i="27"/>
  <c r="P129" i="27" s="1"/>
  <c r="P130" i="27" s="1"/>
  <c r="P353" i="27"/>
  <c r="P106" i="27"/>
  <c r="AD61" i="27"/>
  <c r="AD66" i="27" s="1"/>
  <c r="AD147" i="27"/>
  <c r="AK61" i="27"/>
  <c r="AK66" i="27" s="1"/>
  <c r="AK147" i="27"/>
  <c r="AF128" i="31"/>
  <c r="AF129" i="31" s="1"/>
  <c r="AF130" i="31" s="1"/>
  <c r="AF353" i="31"/>
  <c r="AF106" i="31"/>
  <c r="Q128" i="31"/>
  <c r="Q129" i="31" s="1"/>
  <c r="Q130" i="31" s="1"/>
  <c r="Q353" i="31"/>
  <c r="Q106" i="31"/>
  <c r="P147" i="31"/>
  <c r="P61" i="31"/>
  <c r="P66" i="31" s="1"/>
  <c r="U147" i="31"/>
  <c r="U61" i="31"/>
  <c r="U66" i="31" s="1"/>
  <c r="AA151" i="24"/>
  <c r="AA150" i="24" s="1"/>
  <c r="AA60" i="24"/>
  <c r="AA65" i="24" s="1"/>
  <c r="AA352" i="24"/>
  <c r="AA107" i="24"/>
  <c r="AA100" i="24"/>
  <c r="AA98" i="24" s="1"/>
  <c r="AA105" i="24" s="1"/>
  <c r="T352" i="24"/>
  <c r="T60" i="24"/>
  <c r="T65" i="24" s="1"/>
  <c r="T151" i="24"/>
  <c r="T150" i="24" s="1"/>
  <c r="T107" i="24"/>
  <c r="T100" i="24"/>
  <c r="T98" i="24" s="1"/>
  <c r="T105" i="24" s="1"/>
  <c r="X352" i="32"/>
  <c r="X60" i="32"/>
  <c r="X65" i="32" s="1"/>
  <c r="X151" i="32"/>
  <c r="X150" i="32" s="1"/>
  <c r="X107" i="32"/>
  <c r="X100" i="32"/>
  <c r="X98" i="32" s="1"/>
  <c r="X105" i="32" s="1"/>
  <c r="AJ352" i="27"/>
  <c r="AJ151" i="27"/>
  <c r="AJ150" i="27" s="1"/>
  <c r="AJ60" i="27"/>
  <c r="AJ65" i="27" s="1"/>
  <c r="AJ107" i="27"/>
  <c r="AJ100" i="27"/>
  <c r="AJ98" i="27" s="1"/>
  <c r="AJ105" i="27" s="1"/>
  <c r="O145" i="24"/>
  <c r="O238" i="24"/>
  <c r="AJ352" i="31"/>
  <c r="AJ60" i="31"/>
  <c r="AJ65" i="31" s="1"/>
  <c r="AJ151" i="31"/>
  <c r="AJ150" i="31" s="1"/>
  <c r="AJ107" i="31"/>
  <c r="AJ100" i="31"/>
  <c r="AJ98" i="31" s="1"/>
  <c r="AJ105" i="31" s="1"/>
  <c r="T151" i="31"/>
  <c r="T150" i="31" s="1"/>
  <c r="T60" i="31"/>
  <c r="T65" i="31" s="1"/>
  <c r="T352" i="31"/>
  <c r="T107" i="31"/>
  <c r="T100" i="31"/>
  <c r="T98" i="31" s="1"/>
  <c r="T105" i="31" s="1"/>
  <c r="AG151" i="32"/>
  <c r="AG150" i="32" s="1"/>
  <c r="AG60" i="32"/>
  <c r="AG65" i="32" s="1"/>
  <c r="AG352" i="32"/>
  <c r="AG107" i="32"/>
  <c r="AG100" i="32"/>
  <c r="AG98" i="32" s="1"/>
  <c r="AG105" i="32" s="1"/>
  <c r="AF128" i="32"/>
  <c r="AF129" i="32" s="1"/>
  <c r="AF130" i="32" s="1"/>
  <c r="AF353" i="32"/>
  <c r="AF106" i="32"/>
  <c r="T147" i="32"/>
  <c r="T61" i="32"/>
  <c r="T66" i="32" s="1"/>
  <c r="U61" i="32"/>
  <c r="U66" i="32" s="1"/>
  <c r="U147" i="32"/>
  <c r="X60" i="27"/>
  <c r="X65" i="27" s="1"/>
  <c r="X352" i="27"/>
  <c r="X151" i="27"/>
  <c r="X150" i="27" s="1"/>
  <c r="X107" i="27"/>
  <c r="X100" i="27"/>
  <c r="X98" i="27" s="1"/>
  <c r="X105" i="27" s="1"/>
  <c r="AC151" i="32"/>
  <c r="AC150" i="32" s="1"/>
  <c r="AC60" i="32"/>
  <c r="AC65" i="32" s="1"/>
  <c r="AC352" i="32"/>
  <c r="AC107" i="32"/>
  <c r="AC100" i="32"/>
  <c r="AC98" i="32" s="1"/>
  <c r="AC105" i="32" s="1"/>
  <c r="S107" i="20"/>
  <c r="S60" i="20"/>
  <c r="S352" i="20"/>
  <c r="S151" i="20"/>
  <c r="S100" i="20"/>
  <c r="D19" i="18" l="1"/>
  <c r="AM106" i="33"/>
  <c r="S60" i="33"/>
  <c r="AM128" i="33"/>
  <c r="AB107" i="33"/>
  <c r="AM60" i="33"/>
  <c r="O29" i="33"/>
  <c r="W128" i="33"/>
  <c r="AB100" i="33"/>
  <c r="W107" i="33"/>
  <c r="AC128" i="33"/>
  <c r="O152" i="33"/>
  <c r="R100" i="33"/>
  <c r="AD100" i="33"/>
  <c r="R128" i="33"/>
  <c r="AL100" i="33"/>
  <c r="R60" i="33"/>
  <c r="X100" i="33"/>
  <c r="W60" i="33"/>
  <c r="X107" i="33"/>
  <c r="Z60" i="33"/>
  <c r="Z107" i="33"/>
  <c r="AB60" i="33"/>
  <c r="AM107" i="33"/>
  <c r="W100" i="33"/>
  <c r="Q128" i="33"/>
  <c r="Y100" i="33"/>
  <c r="AG100" i="33"/>
  <c r="AE128" i="33"/>
  <c r="S107" i="33"/>
  <c r="AL60" i="33"/>
  <c r="Z100" i="33"/>
  <c r="AM100" i="33"/>
  <c r="V107" i="33"/>
  <c r="V60" i="33"/>
  <c r="Q100" i="33"/>
  <c r="S100" i="33"/>
  <c r="AL128" i="33"/>
  <c r="AH106" i="33"/>
  <c r="R106" i="33"/>
  <c r="Z106" i="33"/>
  <c r="AK107" i="33"/>
  <c r="AG60" i="33"/>
  <c r="W106" i="33"/>
  <c r="AI107" i="33"/>
  <c r="AK60" i="33"/>
  <c r="T107" i="33"/>
  <c r="Y60" i="33"/>
  <c r="AC106" i="33"/>
  <c r="AD60" i="33"/>
  <c r="AA107" i="33"/>
  <c r="T100" i="33"/>
  <c r="AG107" i="33"/>
  <c r="T60" i="33"/>
  <c r="AI100" i="33"/>
  <c r="AD107" i="33"/>
  <c r="AF60" i="33"/>
  <c r="AL107" i="33"/>
  <c r="AJ100" i="33"/>
  <c r="AG128" i="33"/>
  <c r="X60" i="33"/>
  <c r="AH100" i="33"/>
  <c r="AE100" i="33"/>
  <c r="AJ60" i="33"/>
  <c r="P100" i="33"/>
  <c r="AA60" i="33"/>
  <c r="AC100" i="33"/>
  <c r="AE60" i="33"/>
  <c r="AJ107" i="33"/>
  <c r="P60" i="33"/>
  <c r="AK100" i="33"/>
  <c r="V100" i="33"/>
  <c r="AE106" i="33"/>
  <c r="Y107" i="33"/>
  <c r="AF128" i="33"/>
  <c r="AI60" i="33"/>
  <c r="AC107" i="33"/>
  <c r="AE107" i="33"/>
  <c r="U100" i="33"/>
  <c r="AH107" i="33"/>
  <c r="P107" i="33"/>
  <c r="U107" i="33"/>
  <c r="AL106" i="33"/>
  <c r="AC60" i="33"/>
  <c r="U60" i="33"/>
  <c r="Q60" i="33"/>
  <c r="AH60" i="33"/>
  <c r="AI106" i="33"/>
  <c r="T106" i="33"/>
  <c r="AF100" i="33"/>
  <c r="Q107" i="33"/>
  <c r="AG106" i="33"/>
  <c r="AI128" i="33"/>
  <c r="T128" i="33"/>
  <c r="S106" i="33"/>
  <c r="Q106" i="33"/>
  <c r="AF107" i="33"/>
  <c r="AB106" i="33"/>
  <c r="R107" i="33"/>
  <c r="AA100" i="33"/>
  <c r="AJ128" i="33"/>
  <c r="AJ106" i="33"/>
  <c r="S128" i="33"/>
  <c r="AB128" i="33"/>
  <c r="AD106" i="33"/>
  <c r="Z128" i="33"/>
  <c r="X128" i="33"/>
  <c r="AD128" i="33"/>
  <c r="AF106" i="33"/>
  <c r="U106" i="33"/>
  <c r="V106" i="33"/>
  <c r="P106" i="33"/>
  <c r="Y106" i="33"/>
  <c r="Y128" i="33"/>
  <c r="V128" i="33"/>
  <c r="AA106" i="33"/>
  <c r="P128" i="33"/>
  <c r="U128" i="33"/>
  <c r="AA128" i="33"/>
  <c r="X106" i="33"/>
  <c r="AK106" i="33"/>
  <c r="AK128" i="33"/>
  <c r="AH128" i="33"/>
  <c r="AH65" i="20"/>
  <c r="AH65" i="33" s="1"/>
  <c r="AH98" i="20"/>
  <c r="AH98" i="33" s="1"/>
  <c r="AK65" i="20"/>
  <c r="AK65" i="33" s="1"/>
  <c r="AK98" i="20"/>
  <c r="AK98" i="33" s="1"/>
  <c r="AF108" i="32"/>
  <c r="AF109" i="32" s="1"/>
  <c r="L30" i="33"/>
  <c r="AM355" i="31"/>
  <c r="AC355" i="24"/>
  <c r="AA150" i="20"/>
  <c r="AG150" i="20"/>
  <c r="AI150" i="20"/>
  <c r="AC150" i="20"/>
  <c r="P150" i="20"/>
  <c r="Y150" i="20"/>
  <c r="AD150" i="20"/>
  <c r="AF150" i="20"/>
  <c r="X150" i="20"/>
  <c r="Q150" i="20"/>
  <c r="AL150" i="20"/>
  <c r="U150" i="20"/>
  <c r="W150" i="20"/>
  <c r="AE150" i="20"/>
  <c r="R150" i="20"/>
  <c r="AK150" i="20"/>
  <c r="V150" i="20"/>
  <c r="Z150" i="20"/>
  <c r="S150" i="20"/>
  <c r="AM150" i="20"/>
  <c r="T150" i="20"/>
  <c r="AB150" i="20"/>
  <c r="AJ150" i="20"/>
  <c r="AH150" i="20"/>
  <c r="AD355" i="31"/>
  <c r="AD108" i="31"/>
  <c r="AD109" i="31" s="1"/>
  <c r="AF355" i="27"/>
  <c r="AF355" i="32"/>
  <c r="AE355" i="32"/>
  <c r="AE108" i="32"/>
  <c r="AE109" i="32" s="1"/>
  <c r="AJ355" i="31"/>
  <c r="AG355" i="27"/>
  <c r="AI355" i="24"/>
  <c r="AK355" i="20"/>
  <c r="AH355" i="20"/>
  <c r="W355" i="31"/>
  <c r="T355" i="31"/>
  <c r="W355" i="27"/>
  <c r="AH355" i="27"/>
  <c r="R108" i="24"/>
  <c r="R109" i="24" s="1"/>
  <c r="P108" i="24"/>
  <c r="P109" i="24" s="1"/>
  <c r="R355" i="24"/>
  <c r="S355" i="20"/>
  <c r="AH355" i="32"/>
  <c r="X355" i="32"/>
  <c r="O26" i="5"/>
  <c r="I25" i="18" s="1"/>
  <c r="X355" i="27"/>
  <c r="AH355" i="24"/>
  <c r="AD355" i="20"/>
  <c r="V355" i="20"/>
  <c r="AD355" i="32"/>
  <c r="Y355" i="32"/>
  <c r="AC355" i="32"/>
  <c r="AG355" i="31"/>
  <c r="P355" i="31"/>
  <c r="AF355" i="24"/>
  <c r="AB355" i="32"/>
  <c r="V355" i="31"/>
  <c r="AJ108" i="27"/>
  <c r="AJ109" i="27" s="1"/>
  <c r="AD355" i="27"/>
  <c r="Q355" i="24"/>
  <c r="AJ355" i="20"/>
  <c r="AG355" i="32"/>
  <c r="AL355" i="32"/>
  <c r="AJ355" i="32"/>
  <c r="S108" i="31"/>
  <c r="S109" i="31" s="1"/>
  <c r="S355" i="31"/>
  <c r="AH355" i="31"/>
  <c r="T355" i="27"/>
  <c r="AJ355" i="27"/>
  <c r="AC355" i="27"/>
  <c r="AJ355" i="24"/>
  <c r="AE355" i="24"/>
  <c r="AB355" i="20"/>
  <c r="Y108" i="32"/>
  <c r="Y109" i="32" s="1"/>
  <c r="X355" i="31"/>
  <c r="AL355" i="24"/>
  <c r="W355" i="24"/>
  <c r="Z355" i="20"/>
  <c r="AH108" i="27"/>
  <c r="AH109" i="27" s="1"/>
  <c r="Z355" i="24"/>
  <c r="Y355" i="31"/>
  <c r="AM108" i="24"/>
  <c r="AM109" i="24" s="1"/>
  <c r="Z355" i="32"/>
  <c r="AE355" i="31"/>
  <c r="AM355" i="32"/>
  <c r="AG108" i="32"/>
  <c r="AG109" i="32" s="1"/>
  <c r="AC108" i="27"/>
  <c r="AC109" i="27" s="1"/>
  <c r="X108" i="32"/>
  <c r="X109" i="32" s="1"/>
  <c r="AA108" i="32"/>
  <c r="AA109" i="32" s="1"/>
  <c r="AI108" i="31"/>
  <c r="AI109" i="31" s="1"/>
  <c r="AB355" i="31"/>
  <c r="AG108" i="31"/>
  <c r="AG109" i="31" s="1"/>
  <c r="AA108" i="31"/>
  <c r="AA109" i="31" s="1"/>
  <c r="AA355" i="31"/>
  <c r="X108" i="31"/>
  <c r="X109" i="31" s="1"/>
  <c r="U108" i="31"/>
  <c r="U109" i="31" s="1"/>
  <c r="T108" i="31"/>
  <c r="T109" i="31" s="1"/>
  <c r="L106" i="31"/>
  <c r="AE108" i="31"/>
  <c r="AE109" i="31" s="1"/>
  <c r="Y108" i="31"/>
  <c r="Y109" i="31" s="1"/>
  <c r="X108" i="27"/>
  <c r="X109" i="27" s="1"/>
  <c r="AG108" i="27"/>
  <c r="AG109" i="27" s="1"/>
  <c r="Q108" i="27"/>
  <c r="Q109" i="27" s="1"/>
  <c r="AD108" i="27"/>
  <c r="AD109" i="27" s="1"/>
  <c r="W108" i="27"/>
  <c r="W109" i="27" s="1"/>
  <c r="U355" i="27"/>
  <c r="V355" i="27"/>
  <c r="AD355" i="24"/>
  <c r="K107" i="24"/>
  <c r="P355" i="24"/>
  <c r="AL108" i="24"/>
  <c r="AL109" i="24" s="1"/>
  <c r="AI108" i="24"/>
  <c r="AI109" i="24" s="1"/>
  <c r="L107" i="24"/>
  <c r="U108" i="24"/>
  <c r="U109" i="24" s="1"/>
  <c r="T108" i="24"/>
  <c r="T109" i="24" s="1"/>
  <c r="L151" i="24"/>
  <c r="AH108" i="24"/>
  <c r="AH109" i="24" s="1"/>
  <c r="AJ108" i="24"/>
  <c r="AJ109" i="24" s="1"/>
  <c r="L106" i="24"/>
  <c r="AF355" i="20"/>
  <c r="W355" i="20"/>
  <c r="AA355" i="20"/>
  <c r="Y355" i="20"/>
  <c r="K107" i="20"/>
  <c r="L60" i="20"/>
  <c r="K100" i="20"/>
  <c r="R108" i="31"/>
  <c r="K151" i="20"/>
  <c r="Y145" i="24"/>
  <c r="Y148" i="24" s="1"/>
  <c r="Y238" i="24"/>
  <c r="AA355" i="24"/>
  <c r="AI145" i="24"/>
  <c r="AI148" i="24" s="1"/>
  <c r="AI238" i="24"/>
  <c r="AG129" i="20"/>
  <c r="AG129" i="33" s="1"/>
  <c r="Q147" i="20"/>
  <c r="Q147" i="33" s="1"/>
  <c r="Q61" i="20"/>
  <c r="Q61" i="33" s="1"/>
  <c r="S129" i="20"/>
  <c r="S129" i="33" s="1"/>
  <c r="AK238" i="24"/>
  <c r="AK145" i="24"/>
  <c r="AK148" i="24" s="1"/>
  <c r="Z129" i="20"/>
  <c r="Z129" i="33" s="1"/>
  <c r="X129" i="20"/>
  <c r="X129" i="33" s="1"/>
  <c r="P145" i="20"/>
  <c r="P238" i="20"/>
  <c r="AG355" i="20"/>
  <c r="Z145" i="31"/>
  <c r="Z148" i="31" s="1"/>
  <c r="Z238" i="31"/>
  <c r="S238" i="27"/>
  <c r="S145" i="27"/>
  <c r="S148" i="27" s="1"/>
  <c r="T65" i="20"/>
  <c r="T65" i="33" s="1"/>
  <c r="AB151" i="33"/>
  <c r="AB327" i="33"/>
  <c r="AF108" i="24"/>
  <c r="AE145" i="20"/>
  <c r="AE238" i="20"/>
  <c r="AA145" i="24"/>
  <c r="AA148" i="24" s="1"/>
  <c r="AA238" i="24"/>
  <c r="AJ108" i="32"/>
  <c r="V108" i="31"/>
  <c r="V108" i="24"/>
  <c r="AB145" i="27"/>
  <c r="AB148" i="27" s="1"/>
  <c r="AB238" i="27"/>
  <c r="AC238" i="20"/>
  <c r="AC145" i="20"/>
  <c r="Y151" i="33"/>
  <c r="Y327" i="33"/>
  <c r="W98" i="20"/>
  <c r="W98" i="33" s="1"/>
  <c r="T145" i="32"/>
  <c r="T148" i="32" s="1"/>
  <c r="T238" i="32"/>
  <c r="O352" i="31"/>
  <c r="O355" i="31" s="1"/>
  <c r="L29" i="31"/>
  <c r="C328" i="31" s="1"/>
  <c r="O107" i="31"/>
  <c r="O151" i="31"/>
  <c r="O60" i="31"/>
  <c r="O100" i="31"/>
  <c r="K26" i="5"/>
  <c r="Y145" i="27"/>
  <c r="Y148" i="27" s="1"/>
  <c r="Y238" i="27"/>
  <c r="AI98" i="20"/>
  <c r="AI98" i="33" s="1"/>
  <c r="AD98" i="20"/>
  <c r="AD98" i="33" s="1"/>
  <c r="T108" i="32"/>
  <c r="K151" i="24"/>
  <c r="Y145" i="31"/>
  <c r="Y148" i="31" s="1"/>
  <c r="Y238" i="31"/>
  <c r="AB211" i="33"/>
  <c r="AB145" i="33"/>
  <c r="AB328" i="33"/>
  <c r="X151" i="33"/>
  <c r="X327" i="33"/>
  <c r="AH129" i="20"/>
  <c r="AH129" i="33" s="1"/>
  <c r="AA145" i="32"/>
  <c r="AA148" i="32" s="1"/>
  <c r="AA238" i="32"/>
  <c r="Q145" i="27"/>
  <c r="Q148" i="27" s="1"/>
  <c r="Q238" i="27"/>
  <c r="AI145" i="32"/>
  <c r="AI148" i="32" s="1"/>
  <c r="AI238" i="32"/>
  <c r="U108" i="32"/>
  <c r="AD129" i="20"/>
  <c r="AD129" i="33" s="1"/>
  <c r="AJ151" i="33"/>
  <c r="AJ327" i="33"/>
  <c r="Z147" i="20"/>
  <c r="Z147" i="33" s="1"/>
  <c r="Z61" i="20"/>
  <c r="Z61" i="33" s="1"/>
  <c r="R355" i="20"/>
  <c r="AA355" i="27"/>
  <c r="X145" i="32"/>
  <c r="X148" i="32" s="1"/>
  <c r="X238" i="32"/>
  <c r="T145" i="31"/>
  <c r="T148" i="31" s="1"/>
  <c r="T238" i="31"/>
  <c r="Q108" i="24"/>
  <c r="U65" i="20"/>
  <c r="U65" i="33" s="1"/>
  <c r="P145" i="31"/>
  <c r="P148" i="31" s="1"/>
  <c r="P238" i="31"/>
  <c r="AD145" i="27"/>
  <c r="AD148" i="27" s="1"/>
  <c r="AD238" i="27"/>
  <c r="AJ211" i="33"/>
  <c r="AJ145" i="33"/>
  <c r="AJ328" i="33"/>
  <c r="AK145" i="27"/>
  <c r="AK148" i="27" s="1"/>
  <c r="AK238" i="27"/>
  <c r="U145" i="20"/>
  <c r="U238" i="20"/>
  <c r="R65" i="20"/>
  <c r="R65" i="33" s="1"/>
  <c r="U355" i="20"/>
  <c r="AA65" i="20"/>
  <c r="AA65" i="33" s="1"/>
  <c r="AC238" i="24"/>
  <c r="AC145" i="24"/>
  <c r="AC148" i="24" s="1"/>
  <c r="R145" i="27"/>
  <c r="R148" i="27" s="1"/>
  <c r="R238" i="27"/>
  <c r="Y65" i="20"/>
  <c r="Y65" i="33" s="1"/>
  <c r="P129" i="20"/>
  <c r="P129" i="33" s="1"/>
  <c r="W145" i="20"/>
  <c r="W238" i="20"/>
  <c r="Z108" i="31"/>
  <c r="AI145" i="20"/>
  <c r="AI238" i="20"/>
  <c r="T355" i="20"/>
  <c r="AE129" i="20"/>
  <c r="AE129" i="33" s="1"/>
  <c r="AM108" i="27"/>
  <c r="P145" i="32"/>
  <c r="P148" i="32" s="1"/>
  <c r="P238" i="32"/>
  <c r="V355" i="24"/>
  <c r="AC211" i="33"/>
  <c r="AC328" i="33"/>
  <c r="AC145" i="33"/>
  <c r="AL108" i="32"/>
  <c r="O241" i="20"/>
  <c r="O242" i="20"/>
  <c r="O236" i="20"/>
  <c r="AI145" i="31"/>
  <c r="AI148" i="31" s="1"/>
  <c r="AI238" i="31"/>
  <c r="AF145" i="20"/>
  <c r="AF238" i="20"/>
  <c r="AI355" i="20"/>
  <c r="U355" i="31"/>
  <c r="Y108" i="24"/>
  <c r="X355" i="20"/>
  <c r="L11" i="27"/>
  <c r="D328" i="27" s="1"/>
  <c r="O353" i="27"/>
  <c r="O355" i="27" s="1"/>
  <c r="O128" i="27"/>
  <c r="O128" i="33" s="1"/>
  <c r="O106" i="27"/>
  <c r="O106" i="33" s="1"/>
  <c r="O11" i="33"/>
  <c r="AF145" i="27"/>
  <c r="AF148" i="27" s="1"/>
  <c r="AF238" i="27"/>
  <c r="AH211" i="33"/>
  <c r="AH328" i="33"/>
  <c r="AH145" i="33"/>
  <c r="AC65" i="20"/>
  <c r="AC65" i="33" s="1"/>
  <c r="L100" i="27"/>
  <c r="O98" i="27"/>
  <c r="K100" i="27"/>
  <c r="V355" i="32"/>
  <c r="O241" i="31"/>
  <c r="O242" i="31"/>
  <c r="O236" i="31"/>
  <c r="Y108" i="27"/>
  <c r="AL238" i="24"/>
  <c r="AL145" i="24"/>
  <c r="AL148" i="24" s="1"/>
  <c r="U145" i="33"/>
  <c r="U328" i="33"/>
  <c r="U211" i="33"/>
  <c r="AJ65" i="20"/>
  <c r="AJ65" i="33" s="1"/>
  <c r="AI108" i="32"/>
  <c r="Q98" i="20"/>
  <c r="Q98" i="33" s="1"/>
  <c r="V108" i="27"/>
  <c r="AC108" i="31"/>
  <c r="AJ129" i="20"/>
  <c r="AJ129" i="33" s="1"/>
  <c r="AK108" i="32"/>
  <c r="AE355" i="27"/>
  <c r="O242" i="24"/>
  <c r="O241" i="24"/>
  <c r="O236" i="24"/>
  <c r="V145" i="24"/>
  <c r="V148" i="24" s="1"/>
  <c r="V238" i="24"/>
  <c r="S65" i="20"/>
  <c r="S65" i="33" s="1"/>
  <c r="W145" i="33"/>
  <c r="W328" i="33"/>
  <c r="W211" i="33"/>
  <c r="AB109" i="24"/>
  <c r="T145" i="33"/>
  <c r="T211" i="33"/>
  <c r="T328" i="33"/>
  <c r="AA147" i="20"/>
  <c r="AA147" i="33" s="1"/>
  <c r="AA61" i="20"/>
  <c r="AA61" i="33" s="1"/>
  <c r="Z98" i="20"/>
  <c r="Z98" i="33" s="1"/>
  <c r="AL145" i="31"/>
  <c r="AL148" i="31" s="1"/>
  <c r="AL238" i="31"/>
  <c r="V145" i="27"/>
  <c r="V148" i="27" s="1"/>
  <c r="V238" i="27"/>
  <c r="AC129" i="20"/>
  <c r="AC129" i="33" s="1"/>
  <c r="Q145" i="32"/>
  <c r="Q148" i="32" s="1"/>
  <c r="Q238" i="32"/>
  <c r="AG145" i="27"/>
  <c r="AG148" i="27" s="1"/>
  <c r="AG238" i="27"/>
  <c r="S147" i="20"/>
  <c r="S147" i="33" s="1"/>
  <c r="S61" i="20"/>
  <c r="S61" i="33" s="1"/>
  <c r="AD65" i="20"/>
  <c r="AD65" i="33" s="1"/>
  <c r="AB355" i="27"/>
  <c r="Y328" i="33"/>
  <c r="Y211" i="33"/>
  <c r="Y145" i="33"/>
  <c r="X65" i="20"/>
  <c r="X65" i="33" s="1"/>
  <c r="AC355" i="20"/>
  <c r="L60" i="27"/>
  <c r="O65" i="27"/>
  <c r="AM145" i="32"/>
  <c r="AM148" i="32" s="1"/>
  <c r="AM238" i="32"/>
  <c r="Y147" i="20"/>
  <c r="Y147" i="33" s="1"/>
  <c r="Y61" i="20"/>
  <c r="Y61" i="33" s="1"/>
  <c r="AJ145" i="27"/>
  <c r="AJ148" i="27" s="1"/>
  <c r="AJ238" i="27"/>
  <c r="AL98" i="20"/>
  <c r="AL98" i="33" s="1"/>
  <c r="AD145" i="32"/>
  <c r="AD148" i="32" s="1"/>
  <c r="AD238" i="32"/>
  <c r="U355" i="32"/>
  <c r="AM145" i="31"/>
  <c r="AM148" i="31" s="1"/>
  <c r="AM238" i="31"/>
  <c r="AJ145" i="32"/>
  <c r="AJ148" i="32" s="1"/>
  <c r="AJ238" i="32"/>
  <c r="L152" i="24"/>
  <c r="K152" i="24"/>
  <c r="G14" i="18"/>
  <c r="G15" i="18" s="1"/>
  <c r="D22" i="18"/>
  <c r="D23" i="18" s="1"/>
  <c r="Q151" i="33"/>
  <c r="Q327" i="33"/>
  <c r="AH238" i="31"/>
  <c r="AH145" i="31"/>
  <c r="AH148" i="31" s="1"/>
  <c r="AJ145" i="20"/>
  <c r="AJ238" i="20"/>
  <c r="V147" i="20"/>
  <c r="V147" i="33" s="1"/>
  <c r="V61" i="20"/>
  <c r="V61" i="33" s="1"/>
  <c r="AD151" i="33"/>
  <c r="AD327" i="33"/>
  <c r="L152" i="20"/>
  <c r="K152" i="20"/>
  <c r="K106" i="24"/>
  <c r="P238" i="27"/>
  <c r="P145" i="27"/>
  <c r="P148" i="27" s="1"/>
  <c r="AM238" i="20"/>
  <c r="AM145" i="20"/>
  <c r="AC108" i="32"/>
  <c r="AM145" i="33"/>
  <c r="AM328" i="33"/>
  <c r="AM211" i="33"/>
  <c r="C328" i="20"/>
  <c r="R145" i="32"/>
  <c r="R148" i="32" s="1"/>
  <c r="R238" i="32"/>
  <c r="Z355" i="31"/>
  <c r="AI129" i="20"/>
  <c r="AI129" i="33" s="1"/>
  <c r="P108" i="27"/>
  <c r="AB65" i="20"/>
  <c r="AB65" i="33" s="1"/>
  <c r="P145" i="24"/>
  <c r="P148" i="24" s="1"/>
  <c r="P238" i="24"/>
  <c r="T145" i="20"/>
  <c r="T238" i="20"/>
  <c r="X145" i="27"/>
  <c r="X148" i="27" s="1"/>
  <c r="X238" i="27"/>
  <c r="Z151" i="33"/>
  <c r="Z327" i="33"/>
  <c r="AM355" i="27"/>
  <c r="U147" i="20"/>
  <c r="U147" i="33" s="1"/>
  <c r="U61" i="20"/>
  <c r="U61" i="33" s="1"/>
  <c r="AB145" i="24"/>
  <c r="AB148" i="24" s="1"/>
  <c r="AB238" i="24"/>
  <c r="W65" i="20"/>
  <c r="W65" i="33" s="1"/>
  <c r="W108" i="24"/>
  <c r="L106" i="20"/>
  <c r="AF129" i="20"/>
  <c r="AF129" i="33" s="1"/>
  <c r="T355" i="32"/>
  <c r="Y355" i="24"/>
  <c r="W145" i="24"/>
  <c r="W148" i="24" s="1"/>
  <c r="W238" i="24"/>
  <c r="Y145" i="20"/>
  <c r="Y238" i="20"/>
  <c r="U108" i="27"/>
  <c r="L151" i="27"/>
  <c r="K151" i="27"/>
  <c r="O150" i="27"/>
  <c r="AH108" i="31"/>
  <c r="AK61" i="20"/>
  <c r="AK61" i="33" s="1"/>
  <c r="AK147" i="20"/>
  <c r="AK147" i="33" s="1"/>
  <c r="L152" i="31"/>
  <c r="K152" i="31"/>
  <c r="AL151" i="33"/>
  <c r="AL327" i="33"/>
  <c r="Y355" i="27"/>
  <c r="AM108" i="32"/>
  <c r="AM145" i="27"/>
  <c r="AM148" i="27" s="1"/>
  <c r="AM238" i="27"/>
  <c r="U129" i="20"/>
  <c r="U129" i="33" s="1"/>
  <c r="P98" i="20"/>
  <c r="P98" i="33" s="1"/>
  <c r="AI108" i="27"/>
  <c r="Q108" i="31"/>
  <c r="X108" i="24"/>
  <c r="AA145" i="31"/>
  <c r="AA148" i="31" s="1"/>
  <c r="AA238" i="31"/>
  <c r="Q355" i="20"/>
  <c r="AJ61" i="20"/>
  <c r="AJ61" i="33" s="1"/>
  <c r="AJ147" i="20"/>
  <c r="AJ147" i="33" s="1"/>
  <c r="AK355" i="32"/>
  <c r="S145" i="24"/>
  <c r="S148" i="24" s="1"/>
  <c r="S238" i="24"/>
  <c r="AF211" i="33"/>
  <c r="AF145" i="33"/>
  <c r="AF328" i="33"/>
  <c r="AI151" i="33"/>
  <c r="AI327" i="33"/>
  <c r="AB129" i="20"/>
  <c r="AB129" i="33" s="1"/>
  <c r="AH145" i="20"/>
  <c r="AH238" i="20"/>
  <c r="AG145" i="31"/>
  <c r="AG148" i="31" s="1"/>
  <c r="AG238" i="31"/>
  <c r="Q145" i="31"/>
  <c r="Q148" i="31" s="1"/>
  <c r="Q238" i="31"/>
  <c r="W129" i="20"/>
  <c r="W129" i="33" s="1"/>
  <c r="L128" i="20"/>
  <c r="T147" i="20"/>
  <c r="T147" i="33" s="1"/>
  <c r="T61" i="20"/>
  <c r="T61" i="33" s="1"/>
  <c r="U145" i="31"/>
  <c r="U148" i="31" s="1"/>
  <c r="U238" i="31"/>
  <c r="AK145" i="20"/>
  <c r="AK238" i="20"/>
  <c r="AJ145" i="31"/>
  <c r="AJ148" i="31" s="1"/>
  <c r="AJ238" i="31"/>
  <c r="AI65" i="20"/>
  <c r="AI65" i="33" s="1"/>
  <c r="W145" i="27"/>
  <c r="W148" i="27" s="1"/>
  <c r="W238" i="27"/>
  <c r="Q65" i="20"/>
  <c r="Q65" i="33" s="1"/>
  <c r="R108" i="32"/>
  <c r="AK108" i="27"/>
  <c r="AL145" i="27"/>
  <c r="AL148" i="27" s="1"/>
  <c r="AL238" i="27"/>
  <c r="AF147" i="20"/>
  <c r="AF147" i="33" s="1"/>
  <c r="AF61" i="20"/>
  <c r="AF61" i="33" s="1"/>
  <c r="AM98" i="20"/>
  <c r="AM98" i="33" s="1"/>
  <c r="K152" i="32"/>
  <c r="L152" i="32"/>
  <c r="AL355" i="20"/>
  <c r="AH145" i="24"/>
  <c r="AH148" i="24" s="1"/>
  <c r="AH238" i="24"/>
  <c r="P151" i="33"/>
  <c r="P327" i="33"/>
  <c r="AF145" i="32"/>
  <c r="AF148" i="32" s="1"/>
  <c r="AF238" i="32"/>
  <c r="U145" i="27"/>
  <c r="U148" i="27" s="1"/>
  <c r="U238" i="27"/>
  <c r="Z65" i="20"/>
  <c r="Z65" i="33" s="1"/>
  <c r="AH145" i="32"/>
  <c r="AH148" i="32" s="1"/>
  <c r="AH238" i="32"/>
  <c r="R108" i="27"/>
  <c r="AE145" i="31"/>
  <c r="AE148" i="31" s="1"/>
  <c r="AE238" i="31"/>
  <c r="P108" i="31"/>
  <c r="L106" i="32"/>
  <c r="K106" i="32"/>
  <c r="O145" i="32"/>
  <c r="O238" i="32"/>
  <c r="K107" i="27"/>
  <c r="L107" i="27"/>
  <c r="Q108" i="32"/>
  <c r="AE151" i="33"/>
  <c r="AE327" i="33"/>
  <c r="AL65" i="20"/>
  <c r="AL65" i="33" s="1"/>
  <c r="AB145" i="32"/>
  <c r="AB148" i="32" s="1"/>
  <c r="AB238" i="32"/>
  <c r="AM147" i="20"/>
  <c r="AM147" i="33" s="1"/>
  <c r="AM61" i="20"/>
  <c r="AM61" i="33" s="1"/>
  <c r="P65" i="20"/>
  <c r="P65" i="33" s="1"/>
  <c r="AI355" i="27"/>
  <c r="Y145" i="32"/>
  <c r="Y148" i="32" s="1"/>
  <c r="Y238" i="32"/>
  <c r="S108" i="32"/>
  <c r="Q355" i="31"/>
  <c r="V145" i="31"/>
  <c r="V148" i="31" s="1"/>
  <c r="V238" i="31"/>
  <c r="V145" i="20"/>
  <c r="V238" i="20"/>
  <c r="AC355" i="31"/>
  <c r="AD145" i="31"/>
  <c r="AD148" i="31" s="1"/>
  <c r="AD238" i="31"/>
  <c r="AB147" i="20"/>
  <c r="AB147" i="33" s="1"/>
  <c r="AB61" i="20"/>
  <c r="AB61" i="33" s="1"/>
  <c r="L128" i="24"/>
  <c r="AH147" i="20"/>
  <c r="AH147" i="33" s="1"/>
  <c r="AH61" i="20"/>
  <c r="AH61" i="33" s="1"/>
  <c r="AE145" i="32"/>
  <c r="AE148" i="32" s="1"/>
  <c r="AE238" i="32"/>
  <c r="AI145" i="33"/>
  <c r="AI211" i="33"/>
  <c r="AI328" i="33"/>
  <c r="AF145" i="24"/>
  <c r="AF148" i="24" s="1"/>
  <c r="AF238" i="24"/>
  <c r="W151" i="33"/>
  <c r="W327" i="33"/>
  <c r="AL109" i="31"/>
  <c r="K106" i="20"/>
  <c r="Y129" i="20"/>
  <c r="Y129" i="33" s="1"/>
  <c r="AB108" i="31"/>
  <c r="AK151" i="33"/>
  <c r="AK327" i="33"/>
  <c r="K106" i="31"/>
  <c r="AE98" i="20"/>
  <c r="AE98" i="33" s="1"/>
  <c r="AM129" i="20"/>
  <c r="AM129" i="33" s="1"/>
  <c r="AC145" i="31"/>
  <c r="AC148" i="31" s="1"/>
  <c r="AC238" i="31"/>
  <c r="AM151" i="33"/>
  <c r="AM327" i="33"/>
  <c r="AH151" i="33"/>
  <c r="AH327" i="33"/>
  <c r="P355" i="27"/>
  <c r="K128" i="20"/>
  <c r="T129" i="20"/>
  <c r="T129" i="33" s="1"/>
  <c r="AG145" i="32"/>
  <c r="AG148" i="32" s="1"/>
  <c r="AG238" i="32"/>
  <c r="AK129" i="20"/>
  <c r="AK129" i="33" s="1"/>
  <c r="T355" i="24"/>
  <c r="AG238" i="20"/>
  <c r="AG145" i="20"/>
  <c r="AG98" i="20"/>
  <c r="AG98" i="33" s="1"/>
  <c r="X145" i="24"/>
  <c r="X148" i="24" s="1"/>
  <c r="X238" i="24"/>
  <c r="V145" i="32"/>
  <c r="V148" i="32" s="1"/>
  <c r="V238" i="32"/>
  <c r="AM355" i="20"/>
  <c r="L29" i="32"/>
  <c r="C328" i="32" s="1"/>
  <c r="O352" i="32"/>
  <c r="O355" i="32" s="1"/>
  <c r="O151" i="32"/>
  <c r="O107" i="32"/>
  <c r="O100" i="32"/>
  <c r="O60" i="32"/>
  <c r="V98" i="20"/>
  <c r="V98" i="33" s="1"/>
  <c r="O150" i="20"/>
  <c r="G10" i="18"/>
  <c r="G11" i="18" s="1"/>
  <c r="AG108" i="24"/>
  <c r="T145" i="24"/>
  <c r="T148" i="24" s="1"/>
  <c r="T238" i="24"/>
  <c r="Z108" i="32"/>
  <c r="AG61" i="20"/>
  <c r="AG61" i="33" s="1"/>
  <c r="AG147" i="20"/>
  <c r="AG147" i="33" s="1"/>
  <c r="X145" i="20"/>
  <c r="X238" i="20"/>
  <c r="AF108" i="31"/>
  <c r="AI355" i="31"/>
  <c r="AF98" i="20"/>
  <c r="AF98" i="33" s="1"/>
  <c r="T145" i="27"/>
  <c r="T148" i="27" s="1"/>
  <c r="T238" i="27"/>
  <c r="AC61" i="20"/>
  <c r="AC61" i="33" s="1"/>
  <c r="AC147" i="20"/>
  <c r="AC147" i="33" s="1"/>
  <c r="AL145" i="20"/>
  <c r="AL238" i="20"/>
  <c r="AE145" i="24"/>
  <c r="AE148" i="24" s="1"/>
  <c r="AE238" i="24"/>
  <c r="L65" i="24"/>
  <c r="AE147" i="20"/>
  <c r="AE147" i="33" s="1"/>
  <c r="AE61" i="20"/>
  <c r="AE61" i="33" s="1"/>
  <c r="AE65" i="20"/>
  <c r="AE65" i="33" s="1"/>
  <c r="AA355" i="32"/>
  <c r="R147" i="20"/>
  <c r="R147" i="33" s="1"/>
  <c r="R61" i="20"/>
  <c r="R61" i="33" s="1"/>
  <c r="U355" i="24"/>
  <c r="P355" i="20"/>
  <c r="X355" i="24"/>
  <c r="V145" i="33"/>
  <c r="V211" i="33"/>
  <c r="V328" i="33"/>
  <c r="AM238" i="24"/>
  <c r="AM145" i="24"/>
  <c r="AM148" i="24" s="1"/>
  <c r="Z108" i="27"/>
  <c r="AL108" i="27"/>
  <c r="R238" i="24"/>
  <c r="R145" i="24"/>
  <c r="R148" i="24" s="1"/>
  <c r="K128" i="24"/>
  <c r="AJ108" i="31"/>
  <c r="AA108" i="24"/>
  <c r="AF145" i="31"/>
  <c r="AF148" i="31" s="1"/>
  <c r="AF238" i="31"/>
  <c r="AG145" i="33"/>
  <c r="AG328" i="33"/>
  <c r="AG211" i="33"/>
  <c r="AG151" i="33"/>
  <c r="AG327" i="33"/>
  <c r="AE108" i="24"/>
  <c r="V151" i="33"/>
  <c r="V327" i="33"/>
  <c r="L151" i="20"/>
  <c r="L150" i="20" s="1"/>
  <c r="AD108" i="32"/>
  <c r="AI147" i="20"/>
  <c r="AI147" i="33" s="1"/>
  <c r="AI61" i="20"/>
  <c r="AI61" i="33" s="1"/>
  <c r="AH108" i="32"/>
  <c r="S238" i="20"/>
  <c r="S145" i="20"/>
  <c r="Z145" i="20"/>
  <c r="Z238" i="20"/>
  <c r="X211" i="33"/>
  <c r="X145" i="33"/>
  <c r="X328" i="33"/>
  <c r="L100" i="20"/>
  <c r="AK145" i="33"/>
  <c r="AK211" i="33"/>
  <c r="AK328" i="33"/>
  <c r="Q328" i="33"/>
  <c r="Q211" i="33"/>
  <c r="Q145" i="33"/>
  <c r="R355" i="27"/>
  <c r="K128" i="31"/>
  <c r="AF151" i="33"/>
  <c r="AF327" i="33"/>
  <c r="AL145" i="33"/>
  <c r="AL211" i="33"/>
  <c r="AL328" i="33"/>
  <c r="K128" i="32"/>
  <c r="L128" i="32"/>
  <c r="Q355" i="32"/>
  <c r="L60" i="24"/>
  <c r="AE145" i="27"/>
  <c r="AE148" i="27" s="1"/>
  <c r="AE238" i="27"/>
  <c r="Z145" i="24"/>
  <c r="Z148" i="24" s="1"/>
  <c r="Z238" i="24"/>
  <c r="K100" i="24"/>
  <c r="S355" i="32"/>
  <c r="V129" i="20"/>
  <c r="V129" i="33" s="1"/>
  <c r="U98" i="20"/>
  <c r="U98" i="33" s="1"/>
  <c r="AA98" i="20"/>
  <c r="AA98" i="33" s="1"/>
  <c r="R355" i="32"/>
  <c r="AA238" i="20"/>
  <c r="AA145" i="20"/>
  <c r="AI238" i="27"/>
  <c r="AI145" i="27"/>
  <c r="AI148" i="27" s="1"/>
  <c r="Z328" i="33"/>
  <c r="Z211" i="33"/>
  <c r="Z145" i="33"/>
  <c r="Z145" i="32"/>
  <c r="Z148" i="32" s="1"/>
  <c r="Z238" i="32"/>
  <c r="P108" i="32"/>
  <c r="AF355" i="31"/>
  <c r="AC108" i="24"/>
  <c r="AK238" i="32"/>
  <c r="AK145" i="32"/>
  <c r="AK148" i="32" s="1"/>
  <c r="L128" i="31"/>
  <c r="S145" i="31"/>
  <c r="S148" i="31" s="1"/>
  <c r="S238" i="31"/>
  <c r="X61" i="20"/>
  <c r="X61" i="33" s="1"/>
  <c r="X147" i="20"/>
  <c r="X147" i="33" s="1"/>
  <c r="AL129" i="20"/>
  <c r="AL129" i="33" s="1"/>
  <c r="T108" i="27"/>
  <c r="W108" i="31"/>
  <c r="Z108" i="24"/>
  <c r="AD145" i="24"/>
  <c r="AD148" i="24" s="1"/>
  <c r="AD238" i="24"/>
  <c r="R328" i="33"/>
  <c r="R211" i="33"/>
  <c r="R145" i="33"/>
  <c r="AE355" i="20"/>
  <c r="S108" i="27"/>
  <c r="W145" i="32"/>
  <c r="W148" i="32" s="1"/>
  <c r="W238" i="32"/>
  <c r="L100" i="24"/>
  <c r="AC145" i="27"/>
  <c r="AC148" i="27" s="1"/>
  <c r="AC238" i="27"/>
  <c r="AA108" i="27"/>
  <c r="AC145" i="32"/>
  <c r="AC148" i="32" s="1"/>
  <c r="AC238" i="32"/>
  <c r="AK108" i="31"/>
  <c r="AK108" i="24"/>
  <c r="W145" i="31"/>
  <c r="W148" i="31" s="1"/>
  <c r="W238" i="31"/>
  <c r="U151" i="33"/>
  <c r="U327" i="33"/>
  <c r="AA151" i="33"/>
  <c r="AA327" i="33"/>
  <c r="Z355" i="27"/>
  <c r="S108" i="24"/>
  <c r="AA129" i="20"/>
  <c r="AA129" i="33" s="1"/>
  <c r="AK355" i="27"/>
  <c r="AC98" i="20"/>
  <c r="AC98" i="33" s="1"/>
  <c r="AH145" i="27"/>
  <c r="AH148" i="27" s="1"/>
  <c r="AH238" i="27"/>
  <c r="AD145" i="33"/>
  <c r="AD211" i="33"/>
  <c r="AD328" i="33"/>
  <c r="R98" i="20"/>
  <c r="R98" i="33" s="1"/>
  <c r="W108" i="32"/>
  <c r="AJ145" i="24"/>
  <c r="AJ148" i="24" s="1"/>
  <c r="AJ238" i="24"/>
  <c r="AL145" i="32"/>
  <c r="AL148" i="32" s="1"/>
  <c r="AL238" i="32"/>
  <c r="R145" i="31"/>
  <c r="R148" i="31" s="1"/>
  <c r="R238" i="31"/>
  <c r="Z145" i="27"/>
  <c r="Z148" i="27" s="1"/>
  <c r="Z238" i="27"/>
  <c r="AL61" i="20"/>
  <c r="AL61" i="33" s="1"/>
  <c r="AL147" i="20"/>
  <c r="AL147" i="33" s="1"/>
  <c r="S145" i="33"/>
  <c r="S328" i="33"/>
  <c r="S211" i="33"/>
  <c r="S98" i="20"/>
  <c r="S98" i="33" s="1"/>
  <c r="AM65" i="20"/>
  <c r="AM65" i="33" s="1"/>
  <c r="U145" i="32"/>
  <c r="U148" i="32" s="1"/>
  <c r="U238" i="32"/>
  <c r="T98" i="20"/>
  <c r="T98" i="33" s="1"/>
  <c r="Q145" i="20"/>
  <c r="Q238" i="20"/>
  <c r="AA145" i="27"/>
  <c r="AA148" i="27" s="1"/>
  <c r="AA238" i="27"/>
  <c r="AD61" i="20"/>
  <c r="AD61" i="33" s="1"/>
  <c r="AD147" i="20"/>
  <c r="AD147" i="33" s="1"/>
  <c r="AB238" i="31"/>
  <c r="AB145" i="31"/>
  <c r="AB148" i="31" s="1"/>
  <c r="R145" i="20"/>
  <c r="R238" i="20"/>
  <c r="S151" i="33"/>
  <c r="S327" i="33"/>
  <c r="P145" i="33"/>
  <c r="P328" i="33"/>
  <c r="P211" i="33"/>
  <c r="AG65" i="20"/>
  <c r="AG65" i="33" s="1"/>
  <c r="D328" i="20"/>
  <c r="K152" i="27"/>
  <c r="L152" i="27"/>
  <c r="R355" i="31"/>
  <c r="V65" i="20"/>
  <c r="V65" i="33" s="1"/>
  <c r="T151" i="33"/>
  <c r="T327" i="33"/>
  <c r="AB98" i="20"/>
  <c r="AB98" i="33" s="1"/>
  <c r="AG355" i="24"/>
  <c r="AK145" i="31"/>
  <c r="AK148" i="31" s="1"/>
  <c r="AK238" i="31"/>
  <c r="AE211" i="33"/>
  <c r="AE328" i="33"/>
  <c r="AE145" i="33"/>
  <c r="Q355" i="27"/>
  <c r="S145" i="32"/>
  <c r="S148" i="32" s="1"/>
  <c r="S238" i="32"/>
  <c r="Y98" i="20"/>
  <c r="Y98" i="33" s="1"/>
  <c r="AF108" i="27"/>
  <c r="P355" i="32"/>
  <c r="X145" i="31"/>
  <c r="X148" i="31" s="1"/>
  <c r="X238" i="31"/>
  <c r="AG145" i="24"/>
  <c r="AG148" i="24" s="1"/>
  <c r="AG238" i="24"/>
  <c r="W147" i="20"/>
  <c r="W147" i="33" s="1"/>
  <c r="W61" i="20"/>
  <c r="W61" i="33" s="1"/>
  <c r="Q129" i="20"/>
  <c r="Q129" i="33" s="1"/>
  <c r="AB108" i="27"/>
  <c r="AM276" i="24"/>
  <c r="AM275" i="24" s="1"/>
  <c r="AM272" i="24" s="1"/>
  <c r="AM280" i="24" s="1"/>
  <c r="AM278" i="24" s="1"/>
  <c r="O276" i="24"/>
  <c r="O275" i="24" s="1"/>
  <c r="O272" i="24" s="1"/>
  <c r="O280" i="24" s="1"/>
  <c r="O278" i="24" s="1"/>
  <c r="AF276" i="24"/>
  <c r="AF275" i="24" s="1"/>
  <c r="AF272" i="24" s="1"/>
  <c r="AF280" i="24" s="1"/>
  <c r="AF278" i="24" s="1"/>
  <c r="AE276" i="24"/>
  <c r="AE275" i="24" s="1"/>
  <c r="AE272" i="24" s="1"/>
  <c r="AE280" i="24" s="1"/>
  <c r="AE278" i="24" s="1"/>
  <c r="AH276" i="24"/>
  <c r="AH275" i="24" s="1"/>
  <c r="AH272" i="24" s="1"/>
  <c r="AH280" i="24" s="1"/>
  <c r="AH278" i="24" s="1"/>
  <c r="AD276" i="24"/>
  <c r="AD275" i="24" s="1"/>
  <c r="AD272" i="24" s="1"/>
  <c r="AD280" i="24" s="1"/>
  <c r="AD278" i="24" s="1"/>
  <c r="T276" i="24"/>
  <c r="T275" i="24" s="1"/>
  <c r="T272" i="24" s="1"/>
  <c r="T280" i="24" s="1"/>
  <c r="T278" i="24" s="1"/>
  <c r="Z276" i="24"/>
  <c r="Z275" i="24" s="1"/>
  <c r="Z272" i="24" s="1"/>
  <c r="Z280" i="24" s="1"/>
  <c r="Z278" i="24" s="1"/>
  <c r="AL276" i="24"/>
  <c r="AL275" i="24" s="1"/>
  <c r="AL272" i="24" s="1"/>
  <c r="AL280" i="24" s="1"/>
  <c r="AL278" i="24" s="1"/>
  <c r="Q276" i="24"/>
  <c r="Q275" i="24" s="1"/>
  <c r="Q272" i="24" s="1"/>
  <c r="Q280" i="24" s="1"/>
  <c r="Q278" i="24" s="1"/>
  <c r="U276" i="24"/>
  <c r="U275" i="24" s="1"/>
  <c r="U272" i="24" s="1"/>
  <c r="U280" i="24" s="1"/>
  <c r="U278" i="24" s="1"/>
  <c r="AK276" i="24"/>
  <c r="AK275" i="24" s="1"/>
  <c r="AK272" i="24" s="1"/>
  <c r="AK280" i="24" s="1"/>
  <c r="AK278" i="24" s="1"/>
  <c r="AB276" i="24"/>
  <c r="AB275" i="24" s="1"/>
  <c r="AB272" i="24" s="1"/>
  <c r="AB280" i="24" s="1"/>
  <c r="AB278" i="24" s="1"/>
  <c r="W276" i="24"/>
  <c r="W275" i="24" s="1"/>
  <c r="W272" i="24" s="1"/>
  <c r="W280" i="24" s="1"/>
  <c r="W278" i="24" s="1"/>
  <c r="AC276" i="24"/>
  <c r="AC275" i="24" s="1"/>
  <c r="AC272" i="24" s="1"/>
  <c r="AC280" i="24" s="1"/>
  <c r="AC278" i="24" s="1"/>
  <c r="AJ276" i="24"/>
  <c r="AJ275" i="24" s="1"/>
  <c r="AJ272" i="24" s="1"/>
  <c r="AJ280" i="24" s="1"/>
  <c r="AJ278" i="24" s="1"/>
  <c r="S276" i="24"/>
  <c r="S275" i="24" s="1"/>
  <c r="S272" i="24" s="1"/>
  <c r="S280" i="24" s="1"/>
  <c r="S278" i="24" s="1"/>
  <c r="Y276" i="24"/>
  <c r="Y275" i="24" s="1"/>
  <c r="Y272" i="24" s="1"/>
  <c r="Y280" i="24" s="1"/>
  <c r="Y278" i="24" s="1"/>
  <c r="AI276" i="24"/>
  <c r="AI275" i="24" s="1"/>
  <c r="AI272" i="24" s="1"/>
  <c r="AI280" i="24" s="1"/>
  <c r="AI278" i="24" s="1"/>
  <c r="X276" i="24"/>
  <c r="X275" i="24" s="1"/>
  <c r="X272" i="24" s="1"/>
  <c r="X280" i="24" s="1"/>
  <c r="X278" i="24" s="1"/>
  <c r="AG276" i="24"/>
  <c r="AG275" i="24" s="1"/>
  <c r="AG272" i="24" s="1"/>
  <c r="AG280" i="24" s="1"/>
  <c r="AG278" i="24" s="1"/>
  <c r="R276" i="24"/>
  <c r="R275" i="24" s="1"/>
  <c r="R272" i="24" s="1"/>
  <c r="R280" i="24" s="1"/>
  <c r="R278" i="24" s="1"/>
  <c r="P276" i="24"/>
  <c r="P275" i="24" s="1"/>
  <c r="P272" i="24" s="1"/>
  <c r="P280" i="24" s="1"/>
  <c r="P278" i="24" s="1"/>
  <c r="AA276" i="24"/>
  <c r="AA275" i="24" s="1"/>
  <c r="AA272" i="24" s="1"/>
  <c r="AA280" i="24" s="1"/>
  <c r="AA278" i="24" s="1"/>
  <c r="V276" i="24"/>
  <c r="V275" i="24" s="1"/>
  <c r="V272" i="24" s="1"/>
  <c r="V280" i="24" s="1"/>
  <c r="V278" i="24" s="1"/>
  <c r="AF65" i="20"/>
  <c r="AF65" i="33" s="1"/>
  <c r="AB145" i="20"/>
  <c r="AB238" i="20"/>
  <c r="X98" i="20"/>
  <c r="X98" i="33" s="1"/>
  <c r="AM108" i="31"/>
  <c r="AC151" i="33"/>
  <c r="AC327" i="33"/>
  <c r="V108" i="32"/>
  <c r="U145" i="24"/>
  <c r="U148" i="24" s="1"/>
  <c r="U238" i="24"/>
  <c r="R129" i="20"/>
  <c r="R129" i="33" s="1"/>
  <c r="P61" i="20"/>
  <c r="P61" i="33" s="1"/>
  <c r="P147" i="20"/>
  <c r="P147" i="33" s="1"/>
  <c r="S355" i="27"/>
  <c r="AD108" i="24"/>
  <c r="Q145" i="24"/>
  <c r="Q148" i="24" s="1"/>
  <c r="Q238" i="24"/>
  <c r="AD145" i="20"/>
  <c r="AD238" i="20"/>
  <c r="AJ98" i="20"/>
  <c r="AJ98" i="33" s="1"/>
  <c r="R151" i="33"/>
  <c r="R327" i="33"/>
  <c r="AB108" i="32"/>
  <c r="AK355" i="31"/>
  <c r="AK355" i="24"/>
  <c r="L107" i="20"/>
  <c r="AM355" i="24"/>
  <c r="S355" i="24"/>
  <c r="AA145" i="33"/>
  <c r="AA211" i="33"/>
  <c r="AA328" i="33"/>
  <c r="AE108" i="27"/>
  <c r="O60" i="33" l="1"/>
  <c r="L60" i="33" s="1"/>
  <c r="O107" i="33"/>
  <c r="O100" i="33"/>
  <c r="D20" i="18"/>
  <c r="AA148" i="33"/>
  <c r="AL148" i="33"/>
  <c r="W148" i="33"/>
  <c r="T148" i="33"/>
  <c r="Q148" i="33"/>
  <c r="Z148" i="33"/>
  <c r="AM148" i="33"/>
  <c r="AJ148" i="33"/>
  <c r="AF148" i="33"/>
  <c r="P148" i="33"/>
  <c r="S148" i="33"/>
  <c r="AE148" i="33"/>
  <c r="AG148" i="33"/>
  <c r="R148" i="33"/>
  <c r="AH148" i="33"/>
  <c r="Y148" i="33"/>
  <c r="AC148" i="33"/>
  <c r="AI148" i="33"/>
  <c r="U148" i="33"/>
  <c r="AK105" i="20"/>
  <c r="AK105" i="33" s="1"/>
  <c r="AH105" i="20"/>
  <c r="AH105" i="33" s="1"/>
  <c r="T150" i="33"/>
  <c r="X148" i="33"/>
  <c r="AK148" i="33"/>
  <c r="AD150" i="33"/>
  <c r="Q150" i="33"/>
  <c r="U150" i="33"/>
  <c r="AF150" i="33"/>
  <c r="V148" i="33"/>
  <c r="AA150" i="33"/>
  <c r="L150" i="24"/>
  <c r="AG150" i="33"/>
  <c r="AI150" i="33"/>
  <c r="S150" i="33"/>
  <c r="AH150" i="33"/>
  <c r="Z150" i="33"/>
  <c r="AC150" i="33"/>
  <c r="AM150" i="33"/>
  <c r="W150" i="33"/>
  <c r="P150" i="33"/>
  <c r="Y150" i="33"/>
  <c r="V150" i="33"/>
  <c r="T148" i="20"/>
  <c r="T172" i="20" s="1"/>
  <c r="Y148" i="20"/>
  <c r="Y149" i="20" s="1"/>
  <c r="Q148" i="20"/>
  <c r="Q172" i="20" s="1"/>
  <c r="AB148" i="20"/>
  <c r="AB153" i="20" s="1"/>
  <c r="AB168" i="20" s="1"/>
  <c r="AB148" i="33"/>
  <c r="R150" i="33"/>
  <c r="R148" i="20"/>
  <c r="R153" i="20" s="1"/>
  <c r="R168" i="20" s="1"/>
  <c r="AB150" i="33"/>
  <c r="AD148" i="20"/>
  <c r="AD149" i="20" s="1"/>
  <c r="AD148" i="33"/>
  <c r="AJ150" i="33"/>
  <c r="AJ148" i="20"/>
  <c r="AJ149" i="20" s="1"/>
  <c r="AL150" i="33"/>
  <c r="AE150" i="33"/>
  <c r="AG148" i="20"/>
  <c r="AG149" i="20" s="1"/>
  <c r="AK150" i="33"/>
  <c r="S148" i="20"/>
  <c r="S153" i="20" s="1"/>
  <c r="S168" i="20" s="1"/>
  <c r="AA148" i="20"/>
  <c r="AA149" i="20" s="1"/>
  <c r="X150" i="33"/>
  <c r="P112" i="24"/>
  <c r="P113" i="24" s="1"/>
  <c r="O50" i="20"/>
  <c r="O50" i="31"/>
  <c r="L50" i="31" s="1"/>
  <c r="L49" i="31" s="1"/>
  <c r="O50" i="27"/>
  <c r="L50" i="27" s="1"/>
  <c r="L49" i="27" s="1"/>
  <c r="O50" i="32"/>
  <c r="O49" i="32" s="1"/>
  <c r="O50" i="24"/>
  <c r="L50" i="24" s="1"/>
  <c r="L49" i="24" s="1"/>
  <c r="G25" i="18"/>
  <c r="K25" i="18"/>
  <c r="H25" i="18"/>
  <c r="J25" i="18"/>
  <c r="L26" i="5"/>
  <c r="O243" i="31"/>
  <c r="P240" i="31" s="1"/>
  <c r="P242" i="31" s="1"/>
  <c r="AF330" i="33"/>
  <c r="AH330" i="33"/>
  <c r="O243" i="20"/>
  <c r="P240" i="20" s="1"/>
  <c r="P242" i="20" s="1"/>
  <c r="D346" i="24"/>
  <c r="D349" i="24" s="1"/>
  <c r="V148" i="20"/>
  <c r="V149" i="20" s="1"/>
  <c r="AL148" i="20"/>
  <c r="AL149" i="20" s="1"/>
  <c r="X148" i="20"/>
  <c r="X153" i="20" s="1"/>
  <c r="X168" i="20" s="1"/>
  <c r="AC330" i="33"/>
  <c r="R330" i="33"/>
  <c r="AM330" i="33"/>
  <c r="U330" i="33"/>
  <c r="T330" i="33"/>
  <c r="AA330" i="33"/>
  <c r="AB330" i="33"/>
  <c r="D346" i="20"/>
  <c r="D349" i="20" s="1"/>
  <c r="AJ330" i="33"/>
  <c r="W330" i="33"/>
  <c r="Q330" i="33"/>
  <c r="AL241" i="32"/>
  <c r="AL236" i="32"/>
  <c r="AC241" i="27"/>
  <c r="AC236" i="27"/>
  <c r="Z109" i="24"/>
  <c r="AG66" i="20"/>
  <c r="AG66" i="33" s="1"/>
  <c r="T153" i="27"/>
  <c r="T168" i="27" s="1"/>
  <c r="T149" i="27"/>
  <c r="T172" i="27"/>
  <c r="L151" i="32"/>
  <c r="L150" i="32" s="1"/>
  <c r="K151" i="32"/>
  <c r="K150" i="32" s="1"/>
  <c r="O150" i="32"/>
  <c r="AE105" i="20"/>
  <c r="AE105" i="33" s="1"/>
  <c r="V241" i="31"/>
  <c r="V236" i="31"/>
  <c r="AB236" i="32"/>
  <c r="AB241" i="32"/>
  <c r="U149" i="27"/>
  <c r="U153" i="27"/>
  <c r="U168" i="27" s="1"/>
  <c r="AB130" i="20"/>
  <c r="AM109" i="32"/>
  <c r="L150" i="27"/>
  <c r="Z330" i="33"/>
  <c r="AJ241" i="32"/>
  <c r="AJ236" i="32"/>
  <c r="AC130" i="20"/>
  <c r="AC109" i="31"/>
  <c r="AL241" i="24"/>
  <c r="AL236" i="24"/>
  <c r="Y109" i="24"/>
  <c r="AC153" i="24"/>
  <c r="AC168" i="24" s="1"/>
  <c r="AC149" i="24"/>
  <c r="X241" i="32"/>
  <c r="X236" i="32"/>
  <c r="AI241" i="32"/>
  <c r="AI236" i="32"/>
  <c r="Y330" i="33"/>
  <c r="AJ109" i="32"/>
  <c r="S241" i="27"/>
  <c r="S236" i="27"/>
  <c r="AE66" i="20"/>
  <c r="AE66" i="33" s="1"/>
  <c r="AC66" i="20"/>
  <c r="AC66" i="33" s="1"/>
  <c r="AA241" i="20"/>
  <c r="AA236" i="20"/>
  <c r="AE109" i="27"/>
  <c r="AJ105" i="20"/>
  <c r="AJ105" i="33" s="1"/>
  <c r="P66" i="20"/>
  <c r="P66" i="33" s="1"/>
  <c r="AB241" i="20"/>
  <c r="AB236" i="20"/>
  <c r="AG241" i="24"/>
  <c r="AG236" i="24"/>
  <c r="AJ241" i="24"/>
  <c r="AJ236" i="24"/>
  <c r="Z241" i="24"/>
  <c r="Z236" i="24"/>
  <c r="AG149" i="24"/>
  <c r="AG153" i="24"/>
  <c r="AG168" i="24" s="1"/>
  <c r="AJ149" i="24"/>
  <c r="AJ153" i="24"/>
  <c r="AJ168" i="24" s="1"/>
  <c r="W241" i="32"/>
  <c r="W236" i="32"/>
  <c r="AL130" i="20"/>
  <c r="Z153" i="24"/>
  <c r="Z168" i="24" s="1"/>
  <c r="Z149" i="24"/>
  <c r="Z241" i="20"/>
  <c r="Z236" i="20"/>
  <c r="V330" i="33"/>
  <c r="AF105" i="20"/>
  <c r="AF105" i="33" s="1"/>
  <c r="T241" i="24"/>
  <c r="T236" i="24"/>
  <c r="D346" i="32"/>
  <c r="D349" i="32" s="1"/>
  <c r="V153" i="31"/>
  <c r="V168" i="31" s="1"/>
  <c r="V149" i="31"/>
  <c r="AB153" i="32"/>
  <c r="AB168" i="32" s="1"/>
  <c r="AB149" i="32"/>
  <c r="P109" i="31"/>
  <c r="P112" i="31"/>
  <c r="AJ236" i="31"/>
  <c r="AJ241" i="31"/>
  <c r="AI330" i="33"/>
  <c r="AA241" i="31"/>
  <c r="AA236" i="31"/>
  <c r="U109" i="27"/>
  <c r="W109" i="24"/>
  <c r="AI130" i="20"/>
  <c r="AM148" i="20"/>
  <c r="AJ153" i="32"/>
  <c r="AJ168" i="32" s="1"/>
  <c r="AJ149" i="32"/>
  <c r="AJ241" i="27"/>
  <c r="AJ236" i="27"/>
  <c r="S66" i="20"/>
  <c r="S66" i="33" s="1"/>
  <c r="V109" i="27"/>
  <c r="Y109" i="27"/>
  <c r="AI148" i="20"/>
  <c r="AC236" i="24"/>
  <c r="AC241" i="24"/>
  <c r="X153" i="32"/>
  <c r="X168" i="32" s="1"/>
  <c r="X149" i="32"/>
  <c r="AI153" i="32"/>
  <c r="AI168" i="32" s="1"/>
  <c r="AI149" i="32"/>
  <c r="O151" i="33"/>
  <c r="L29" i="33"/>
  <c r="C303" i="33" s="1"/>
  <c r="O327" i="33"/>
  <c r="AA241" i="24"/>
  <c r="AA236" i="24"/>
  <c r="Z241" i="31"/>
  <c r="Z236" i="31"/>
  <c r="AK153" i="24"/>
  <c r="AK168" i="24" s="1"/>
  <c r="AK149" i="24"/>
  <c r="AI241" i="24"/>
  <c r="AI236" i="24"/>
  <c r="AK130" i="20"/>
  <c r="AF241" i="24"/>
  <c r="AF236" i="24"/>
  <c r="AE236" i="31"/>
  <c r="AE241" i="31"/>
  <c r="AM105" i="20"/>
  <c r="AM105" i="33" s="1"/>
  <c r="AJ153" i="31"/>
  <c r="AJ168" i="31" s="1"/>
  <c r="AJ149" i="31"/>
  <c r="W130" i="20"/>
  <c r="AA149" i="31"/>
  <c r="AA153" i="31"/>
  <c r="AA168" i="31" s="1"/>
  <c r="AL330" i="33"/>
  <c r="Y241" i="20"/>
  <c r="Y236" i="20"/>
  <c r="X236" i="27"/>
  <c r="X241" i="27"/>
  <c r="AM241" i="20"/>
  <c r="AM236" i="20"/>
  <c r="L152" i="33"/>
  <c r="K152" i="33"/>
  <c r="AJ241" i="20"/>
  <c r="AJ236" i="20"/>
  <c r="AJ153" i="27"/>
  <c r="AJ168" i="27" s="1"/>
  <c r="AJ149" i="27"/>
  <c r="V236" i="27"/>
  <c r="V241" i="27"/>
  <c r="V241" i="24"/>
  <c r="V236" i="24"/>
  <c r="Q105" i="20"/>
  <c r="Q105" i="33" s="1"/>
  <c r="Z109" i="31"/>
  <c r="Q241" i="27"/>
  <c r="Q236" i="27"/>
  <c r="Y241" i="31"/>
  <c r="Y236" i="31"/>
  <c r="O98" i="31"/>
  <c r="K100" i="31"/>
  <c r="L100" i="31"/>
  <c r="AC148" i="20"/>
  <c r="AA149" i="24"/>
  <c r="AA153" i="24"/>
  <c r="AA168" i="24" s="1"/>
  <c r="Z153" i="31"/>
  <c r="Z168" i="31" s="1"/>
  <c r="Z149" i="31"/>
  <c r="AK241" i="24"/>
  <c r="AK236" i="24"/>
  <c r="AI153" i="24"/>
  <c r="AI168" i="24" s="1"/>
  <c r="AI149" i="24"/>
  <c r="AF149" i="31"/>
  <c r="AF153" i="31"/>
  <c r="AF168" i="31" s="1"/>
  <c r="AC109" i="24"/>
  <c r="AJ109" i="31"/>
  <c r="R241" i="20"/>
  <c r="R236" i="20"/>
  <c r="AD236" i="20"/>
  <c r="AD241" i="20"/>
  <c r="R130" i="20"/>
  <c r="X236" i="31"/>
  <c r="X241" i="31"/>
  <c r="AK241" i="31"/>
  <c r="AK236" i="31"/>
  <c r="E15" i="4"/>
  <c r="F15" i="4" s="1"/>
  <c r="Q241" i="20"/>
  <c r="Q236" i="20"/>
  <c r="AC105" i="20"/>
  <c r="AC105" i="33" s="1"/>
  <c r="W153" i="32"/>
  <c r="W168" i="32" s="1"/>
  <c r="W149" i="32"/>
  <c r="P109" i="32"/>
  <c r="P112" i="32"/>
  <c r="AE241" i="27"/>
  <c r="AE236" i="27"/>
  <c r="R149" i="24"/>
  <c r="R172" i="24"/>
  <c r="R153" i="24"/>
  <c r="R168" i="24" s="1"/>
  <c r="T172" i="24"/>
  <c r="T149" i="24"/>
  <c r="T153" i="24"/>
  <c r="T168" i="24" s="1"/>
  <c r="X149" i="31"/>
  <c r="X153" i="31"/>
  <c r="X168" i="31" s="1"/>
  <c r="AK153" i="31"/>
  <c r="AK168" i="31" s="1"/>
  <c r="AK149" i="31"/>
  <c r="AB153" i="31"/>
  <c r="AB168" i="31" s="1"/>
  <c r="AB149" i="31"/>
  <c r="AL66" i="20"/>
  <c r="AL66" i="33" s="1"/>
  <c r="W109" i="32"/>
  <c r="W241" i="31"/>
  <c r="W236" i="31"/>
  <c r="S109" i="27"/>
  <c r="Z236" i="32"/>
  <c r="Z241" i="32"/>
  <c r="AE153" i="27"/>
  <c r="AE168" i="27" s="1"/>
  <c r="AE149" i="27"/>
  <c r="Z148" i="20"/>
  <c r="AE109" i="24"/>
  <c r="R241" i="24"/>
  <c r="R236" i="24"/>
  <c r="R66" i="20"/>
  <c r="R66" i="33" s="1"/>
  <c r="AE241" i="24"/>
  <c r="AE236" i="24"/>
  <c r="AG109" i="24"/>
  <c r="D346" i="27"/>
  <c r="D349" i="27" s="1"/>
  <c r="AF153" i="24"/>
  <c r="AF168" i="24" s="1"/>
  <c r="AF149" i="24"/>
  <c r="AB66" i="20"/>
  <c r="AB66" i="33" s="1"/>
  <c r="S109" i="32"/>
  <c r="AE153" i="31"/>
  <c r="AE168" i="31" s="1"/>
  <c r="AE149" i="31"/>
  <c r="AF236" i="32"/>
  <c r="AF241" i="32"/>
  <c r="AK109" i="27"/>
  <c r="AK241" i="20"/>
  <c r="AK236" i="20"/>
  <c r="X109" i="24"/>
  <c r="X153" i="27"/>
  <c r="X168" i="27" s="1"/>
  <c r="X149" i="27"/>
  <c r="R236" i="32"/>
  <c r="R241" i="32"/>
  <c r="V153" i="27"/>
  <c r="V168" i="27" s="1"/>
  <c r="V149" i="27"/>
  <c r="V149" i="24"/>
  <c r="V153" i="24"/>
  <c r="V168" i="24" s="1"/>
  <c r="AF241" i="20"/>
  <c r="AF236" i="20"/>
  <c r="W241" i="20"/>
  <c r="W236" i="20"/>
  <c r="AD241" i="27"/>
  <c r="AD236" i="27"/>
  <c r="Q172" i="27"/>
  <c r="Q153" i="27"/>
  <c r="Q168" i="27" s="1"/>
  <c r="Q149" i="27"/>
  <c r="Y149" i="31"/>
  <c r="Y153" i="31"/>
  <c r="Y168" i="31" s="1"/>
  <c r="L60" i="31"/>
  <c r="O65" i="31"/>
  <c r="AE241" i="20"/>
  <c r="AE236" i="20"/>
  <c r="S130" i="20"/>
  <c r="V109" i="32"/>
  <c r="S241" i="31"/>
  <c r="S236" i="31"/>
  <c r="AH236" i="27"/>
  <c r="AH241" i="27"/>
  <c r="AK149" i="32"/>
  <c r="AK153" i="32"/>
  <c r="AK168" i="32" s="1"/>
  <c r="L100" i="32"/>
  <c r="K100" i="32"/>
  <c r="O98" i="32"/>
  <c r="AL149" i="32"/>
  <c r="AL153" i="32"/>
  <c r="AL168" i="32" s="1"/>
  <c r="AH153" i="27"/>
  <c r="AH168" i="27" s="1"/>
  <c r="AH149" i="27"/>
  <c r="AC149" i="27"/>
  <c r="AC153" i="27"/>
  <c r="AC168" i="27" s="1"/>
  <c r="W109" i="31"/>
  <c r="AK241" i="32"/>
  <c r="AK236" i="32"/>
  <c r="AD109" i="32"/>
  <c r="T241" i="27"/>
  <c r="T236" i="27"/>
  <c r="Z109" i="32"/>
  <c r="L107" i="32"/>
  <c r="K107" i="32"/>
  <c r="AG241" i="20"/>
  <c r="AG236" i="20"/>
  <c r="AH66" i="20"/>
  <c r="AH66" i="33" s="1"/>
  <c r="T109" i="27"/>
  <c r="AA105" i="20"/>
  <c r="AA105" i="33" s="1"/>
  <c r="AB236" i="31"/>
  <c r="AB241" i="31"/>
  <c r="S105" i="20"/>
  <c r="S105" i="33" s="1"/>
  <c r="W149" i="31"/>
  <c r="W153" i="31"/>
  <c r="W168" i="31" s="1"/>
  <c r="Z153" i="32"/>
  <c r="Z168" i="32" s="1"/>
  <c r="Z149" i="32"/>
  <c r="U105" i="20"/>
  <c r="U105" i="33" s="1"/>
  <c r="AG330" i="33"/>
  <c r="AL109" i="27"/>
  <c r="AE153" i="24"/>
  <c r="AE168" i="24" s="1"/>
  <c r="AE149" i="24"/>
  <c r="AF109" i="31"/>
  <c r="V241" i="32"/>
  <c r="V236" i="32"/>
  <c r="AG236" i="32"/>
  <c r="AG241" i="32"/>
  <c r="AC236" i="31"/>
  <c r="AC241" i="31"/>
  <c r="AK330" i="33"/>
  <c r="Y241" i="32"/>
  <c r="Y236" i="32"/>
  <c r="AE330" i="33"/>
  <c r="R109" i="27"/>
  <c r="AF153" i="32"/>
  <c r="AF168" i="32" s="1"/>
  <c r="AF149" i="32"/>
  <c r="AF66" i="20"/>
  <c r="AF66" i="33" s="1"/>
  <c r="R109" i="32"/>
  <c r="Q241" i="31"/>
  <c r="Q236" i="31"/>
  <c r="Q109" i="31"/>
  <c r="T236" i="20"/>
  <c r="T241" i="20"/>
  <c r="R153" i="32"/>
  <c r="R168" i="32" s="1"/>
  <c r="R149" i="32"/>
  <c r="R172" i="32"/>
  <c r="P149" i="27"/>
  <c r="P172" i="27"/>
  <c r="P153" i="27"/>
  <c r="P168" i="27" s="1"/>
  <c r="AD330" i="33"/>
  <c r="AH153" i="31"/>
  <c r="AH168" i="31" s="1"/>
  <c r="AH149" i="31"/>
  <c r="AM241" i="31"/>
  <c r="AM236" i="31"/>
  <c r="Y66" i="20"/>
  <c r="Y66" i="33" s="1"/>
  <c r="AG241" i="27"/>
  <c r="AG236" i="27"/>
  <c r="AL241" i="31"/>
  <c r="AL236" i="31"/>
  <c r="O245" i="24"/>
  <c r="O245" i="31"/>
  <c r="AF241" i="27"/>
  <c r="AF236" i="27"/>
  <c r="AD153" i="27"/>
  <c r="AD168" i="27" s="1"/>
  <c r="AD149" i="27"/>
  <c r="Z66" i="20"/>
  <c r="Z66" i="33" s="1"/>
  <c r="AA241" i="32"/>
  <c r="AA236" i="32"/>
  <c r="K150" i="24"/>
  <c r="K151" i="31"/>
  <c r="K150" i="31" s="1"/>
  <c r="O150" i="31"/>
  <c r="L151" i="31"/>
  <c r="L150" i="31" s="1"/>
  <c r="AC236" i="20"/>
  <c r="AC241" i="20"/>
  <c r="P241" i="20"/>
  <c r="P236" i="20"/>
  <c r="Y105" i="20"/>
  <c r="Y105" i="33" s="1"/>
  <c r="X105" i="20"/>
  <c r="X105" i="33" s="1"/>
  <c r="AA109" i="24"/>
  <c r="U241" i="24"/>
  <c r="U236" i="24"/>
  <c r="Q241" i="24"/>
  <c r="Q236" i="24"/>
  <c r="U149" i="24"/>
  <c r="U153" i="24"/>
  <c r="U168" i="24" s="1"/>
  <c r="AF109" i="27"/>
  <c r="AB105" i="20"/>
  <c r="AB105" i="33" s="1"/>
  <c r="R105" i="20"/>
  <c r="R105" i="33" s="1"/>
  <c r="AA130" i="20"/>
  <c r="AK109" i="24"/>
  <c r="X66" i="20"/>
  <c r="X66" i="33" s="1"/>
  <c r="Z109" i="27"/>
  <c r="AL241" i="20"/>
  <c r="AL236" i="20"/>
  <c r="X241" i="20"/>
  <c r="X236" i="20"/>
  <c r="V153" i="32"/>
  <c r="V168" i="32" s="1"/>
  <c r="V149" i="32"/>
  <c r="AG153" i="32"/>
  <c r="AG168" i="32" s="1"/>
  <c r="AG149" i="32"/>
  <c r="AC153" i="31"/>
  <c r="AC168" i="31" s="1"/>
  <c r="AC149" i="31"/>
  <c r="Y153" i="32"/>
  <c r="Y168" i="32" s="1"/>
  <c r="Y149" i="32"/>
  <c r="AH241" i="32"/>
  <c r="AH236" i="32"/>
  <c r="P330" i="33"/>
  <c r="AK148" i="20"/>
  <c r="Q172" i="31"/>
  <c r="Q149" i="31"/>
  <c r="Q153" i="31"/>
  <c r="Q168" i="31" s="1"/>
  <c r="AI109" i="27"/>
  <c r="W241" i="24"/>
  <c r="W236" i="24"/>
  <c r="E14" i="4"/>
  <c r="P236" i="27"/>
  <c r="P241" i="27"/>
  <c r="AH241" i="31"/>
  <c r="AH236" i="31"/>
  <c r="AM153" i="31"/>
  <c r="AM168" i="31" s="1"/>
  <c r="AM149" i="31"/>
  <c r="AG153" i="27"/>
  <c r="AG168" i="27" s="1"/>
  <c r="AG149" i="27"/>
  <c r="AL153" i="31"/>
  <c r="AL168" i="31" s="1"/>
  <c r="AL149" i="31"/>
  <c r="O243" i="24"/>
  <c r="P240" i="24" s="1"/>
  <c r="P242" i="24" s="1"/>
  <c r="AI109" i="32"/>
  <c r="AF149" i="27"/>
  <c r="AF153" i="27"/>
  <c r="AF168" i="27" s="1"/>
  <c r="AF148" i="20"/>
  <c r="P236" i="32"/>
  <c r="P241" i="32"/>
  <c r="W148" i="20"/>
  <c r="P236" i="31"/>
  <c r="P241" i="31"/>
  <c r="AA153" i="32"/>
  <c r="AA168" i="32" s="1"/>
  <c r="AA149" i="32"/>
  <c r="T109" i="32"/>
  <c r="L107" i="31"/>
  <c r="K107" i="31"/>
  <c r="AB241" i="27"/>
  <c r="AB236" i="27"/>
  <c r="AE148" i="20"/>
  <c r="AB109" i="27"/>
  <c r="S241" i="20"/>
  <c r="S236" i="20"/>
  <c r="X276" i="20"/>
  <c r="AF276" i="20"/>
  <c r="AA276" i="20"/>
  <c r="Q276" i="20"/>
  <c r="AK276" i="20"/>
  <c r="O276" i="20"/>
  <c r="Y276" i="20"/>
  <c r="R276" i="20"/>
  <c r="AJ276" i="20"/>
  <c r="U276" i="20"/>
  <c r="AC276" i="20"/>
  <c r="S276" i="20"/>
  <c r="Z276" i="20"/>
  <c r="V276" i="20"/>
  <c r="AG276" i="20"/>
  <c r="AD276" i="20"/>
  <c r="AI276" i="20"/>
  <c r="AH276" i="20"/>
  <c r="T276" i="20"/>
  <c r="AE276" i="20"/>
  <c r="AB276" i="20"/>
  <c r="P276" i="20"/>
  <c r="W276" i="20"/>
  <c r="AM276" i="20"/>
  <c r="AL276" i="20"/>
  <c r="AM130" i="20"/>
  <c r="S241" i="24"/>
  <c r="S236" i="24"/>
  <c r="P105" i="20"/>
  <c r="P105" i="33" s="1"/>
  <c r="W149" i="24"/>
  <c r="W153" i="24"/>
  <c r="W168" i="24" s="1"/>
  <c r="AI236" i="31"/>
  <c r="AI241" i="31"/>
  <c r="P149" i="32"/>
  <c r="P172" i="32"/>
  <c r="P153" i="32"/>
  <c r="P168" i="32" s="1"/>
  <c r="P153" i="31"/>
  <c r="P168" i="31" s="1"/>
  <c r="P149" i="31"/>
  <c r="P172" i="31"/>
  <c r="AD105" i="20"/>
  <c r="AD105" i="33" s="1"/>
  <c r="AB153" i="27"/>
  <c r="AB168" i="27" s="1"/>
  <c r="AB149" i="27"/>
  <c r="AF109" i="24"/>
  <c r="P148" i="20"/>
  <c r="Y241" i="24"/>
  <c r="Y236" i="24"/>
  <c r="K106" i="27"/>
  <c r="L106" i="27"/>
  <c r="O145" i="27"/>
  <c r="O238" i="27"/>
  <c r="AI153" i="31"/>
  <c r="AI168" i="31" s="1"/>
  <c r="AI149" i="31"/>
  <c r="AM109" i="27"/>
  <c r="P130" i="20"/>
  <c r="U241" i="20"/>
  <c r="U236" i="20"/>
  <c r="AH130" i="20"/>
  <c r="D346" i="31"/>
  <c r="D349" i="31" s="1"/>
  <c r="V109" i="24"/>
  <c r="Y153" i="24"/>
  <c r="Y168" i="24" s="1"/>
  <c r="Y149" i="24"/>
  <c r="U241" i="31"/>
  <c r="U236" i="31"/>
  <c r="AG241" i="31"/>
  <c r="AG236" i="31"/>
  <c r="Z105" i="20"/>
  <c r="Z105" i="33" s="1"/>
  <c r="AD109" i="24"/>
  <c r="AD66" i="20"/>
  <c r="AD66" i="33" s="1"/>
  <c r="S109" i="24"/>
  <c r="S172" i="31"/>
  <c r="S153" i="31"/>
  <c r="S168" i="31" s="1"/>
  <c r="S149" i="31"/>
  <c r="V130" i="20"/>
  <c r="V105" i="20"/>
  <c r="V105" i="33" s="1"/>
  <c r="U149" i="31"/>
  <c r="U153" i="31"/>
  <c r="U168" i="31" s="1"/>
  <c r="K145" i="31"/>
  <c r="AK109" i="32"/>
  <c r="S236" i="32"/>
  <c r="S241" i="32"/>
  <c r="AA241" i="27"/>
  <c r="AA236" i="27"/>
  <c r="AI149" i="27"/>
  <c r="AI153" i="27"/>
  <c r="AI168" i="27" s="1"/>
  <c r="AH149" i="24"/>
  <c r="AH153" i="24"/>
  <c r="AH168" i="24" s="1"/>
  <c r="W149" i="27"/>
  <c r="W153" i="27"/>
  <c r="W168" i="27" s="1"/>
  <c r="AH241" i="20"/>
  <c r="AH236" i="20"/>
  <c r="AK66" i="20"/>
  <c r="AK66" i="33" s="1"/>
  <c r="U66" i="20"/>
  <c r="U66" i="33" s="1"/>
  <c r="P149" i="24"/>
  <c r="P172" i="24"/>
  <c r="P153" i="24"/>
  <c r="P168" i="24" s="1"/>
  <c r="L145" i="31"/>
  <c r="L145" i="20"/>
  <c r="AA66" i="20"/>
  <c r="AA66" i="33" s="1"/>
  <c r="K128" i="27"/>
  <c r="L128" i="27"/>
  <c r="O245" i="20"/>
  <c r="AI105" i="20"/>
  <c r="AI105" i="33" s="1"/>
  <c r="T241" i="32"/>
  <c r="T236" i="32"/>
  <c r="V109" i="31"/>
  <c r="K150" i="20"/>
  <c r="Q153" i="24"/>
  <c r="Q168" i="24" s="1"/>
  <c r="Q149" i="24"/>
  <c r="Q172" i="24"/>
  <c r="T105" i="20"/>
  <c r="T105" i="33" s="1"/>
  <c r="Z241" i="27"/>
  <c r="Z236" i="27"/>
  <c r="AK109" i="31"/>
  <c r="X241" i="24"/>
  <c r="X236" i="24"/>
  <c r="T130" i="20"/>
  <c r="AB109" i="31"/>
  <c r="AD241" i="31"/>
  <c r="AD236" i="31"/>
  <c r="Q109" i="32"/>
  <c r="AH153" i="32"/>
  <c r="AH168" i="32" s="1"/>
  <c r="AH149" i="32"/>
  <c r="AB241" i="24"/>
  <c r="AB236" i="24"/>
  <c r="V66" i="20"/>
  <c r="V66" i="33" s="1"/>
  <c r="L11" i="33"/>
  <c r="D303" i="33" s="1"/>
  <c r="O211" i="33"/>
  <c r="O328" i="33"/>
  <c r="O145" i="33"/>
  <c r="Z153" i="27"/>
  <c r="Z168" i="27" s="1"/>
  <c r="Z149" i="27"/>
  <c r="AC241" i="32"/>
  <c r="AC236" i="32"/>
  <c r="AH109" i="32"/>
  <c r="AM153" i="24"/>
  <c r="AM168" i="24" s="1"/>
  <c r="AM149" i="24"/>
  <c r="X153" i="24"/>
  <c r="X168" i="24" s="1"/>
  <c r="X149" i="24"/>
  <c r="AD153" i="31"/>
  <c r="AD168" i="31" s="1"/>
  <c r="AD149" i="31"/>
  <c r="AH241" i="24"/>
  <c r="AH236" i="24"/>
  <c r="W241" i="27"/>
  <c r="W236" i="27"/>
  <c r="AG153" i="31"/>
  <c r="AG168" i="31" s="1"/>
  <c r="AG149" i="31"/>
  <c r="S153" i="24"/>
  <c r="S168" i="24" s="1"/>
  <c r="S172" i="24"/>
  <c r="S149" i="24"/>
  <c r="AB153" i="24"/>
  <c r="AB168" i="24" s="1"/>
  <c r="AB149" i="24"/>
  <c r="P241" i="24"/>
  <c r="P236" i="24"/>
  <c r="K145" i="20"/>
  <c r="Q130" i="20"/>
  <c r="U236" i="32"/>
  <c r="U241" i="32"/>
  <c r="R241" i="31"/>
  <c r="R236" i="31"/>
  <c r="AC153" i="32"/>
  <c r="AC168" i="32" s="1"/>
  <c r="AC149" i="32"/>
  <c r="AD241" i="24"/>
  <c r="AD236" i="24"/>
  <c r="AM236" i="24"/>
  <c r="AM241" i="24"/>
  <c r="AG105" i="20"/>
  <c r="AG105" i="33" s="1"/>
  <c r="Y130" i="20"/>
  <c r="AB109" i="32"/>
  <c r="AM109" i="31"/>
  <c r="W66" i="20"/>
  <c r="W66" i="33" s="1"/>
  <c r="S172" i="32"/>
  <c r="S149" i="32"/>
  <c r="S153" i="32"/>
  <c r="S168" i="32" s="1"/>
  <c r="S330" i="33"/>
  <c r="AA153" i="27"/>
  <c r="AA168" i="27" s="1"/>
  <c r="AA149" i="27"/>
  <c r="U153" i="32"/>
  <c r="U168" i="32" s="1"/>
  <c r="U149" i="32"/>
  <c r="R153" i="31"/>
  <c r="R168" i="31" s="1"/>
  <c r="R172" i="31"/>
  <c r="R149" i="31"/>
  <c r="AA109" i="27"/>
  <c r="AD149" i="24"/>
  <c r="AD153" i="24"/>
  <c r="AD168" i="24" s="1"/>
  <c r="AI236" i="27"/>
  <c r="AI241" i="27"/>
  <c r="AI66" i="20"/>
  <c r="AI66" i="33" s="1"/>
  <c r="AF241" i="31"/>
  <c r="AF236" i="31"/>
  <c r="L60" i="32"/>
  <c r="O65" i="32"/>
  <c r="AE241" i="32"/>
  <c r="AE236" i="32"/>
  <c r="V241" i="20"/>
  <c r="V236" i="20"/>
  <c r="AM66" i="20"/>
  <c r="AM66" i="33" s="1"/>
  <c r="O241" i="32"/>
  <c r="O242" i="32"/>
  <c r="O236" i="32"/>
  <c r="AL236" i="27"/>
  <c r="AL241" i="27"/>
  <c r="AH148" i="20"/>
  <c r="U130" i="20"/>
  <c r="AH109" i="31"/>
  <c r="AD241" i="32"/>
  <c r="AD236" i="32"/>
  <c r="AM241" i="32"/>
  <c r="AM236" i="32"/>
  <c r="AJ130" i="20"/>
  <c r="AE130" i="20"/>
  <c r="U148" i="20"/>
  <c r="Q109" i="24"/>
  <c r="AD130" i="20"/>
  <c r="X330" i="33"/>
  <c r="T172" i="32"/>
  <c r="T149" i="32"/>
  <c r="T153" i="32"/>
  <c r="T168" i="32" s="1"/>
  <c r="X130" i="20"/>
  <c r="Q66" i="20"/>
  <c r="Q66" i="33" s="1"/>
  <c r="R109" i="31"/>
  <c r="AE149" i="32"/>
  <c r="AE153" i="32"/>
  <c r="AE168" i="32" s="1"/>
  <c r="L145" i="32"/>
  <c r="K145" i="32"/>
  <c r="AL153" i="27"/>
  <c r="AL168" i="27" s="1"/>
  <c r="AL149" i="27"/>
  <c r="T66" i="20"/>
  <c r="T66" i="33" s="1"/>
  <c r="AM241" i="27"/>
  <c r="AM236" i="27"/>
  <c r="AB276" i="27"/>
  <c r="AB275" i="27" s="1"/>
  <c r="AB272" i="27" s="1"/>
  <c r="AB280" i="27" s="1"/>
  <c r="AB278" i="27" s="1"/>
  <c r="U276" i="27"/>
  <c r="U275" i="27" s="1"/>
  <c r="U272" i="27" s="1"/>
  <c r="U280" i="27" s="1"/>
  <c r="U278" i="27" s="1"/>
  <c r="AM276" i="27"/>
  <c r="AM275" i="27" s="1"/>
  <c r="AM272" i="27" s="1"/>
  <c r="AM280" i="27" s="1"/>
  <c r="AM278" i="27" s="1"/>
  <c r="AL276" i="27"/>
  <c r="AL275" i="27" s="1"/>
  <c r="AL272" i="27" s="1"/>
  <c r="AL280" i="27" s="1"/>
  <c r="AL278" i="27" s="1"/>
  <c r="AH276" i="27"/>
  <c r="AH275" i="27" s="1"/>
  <c r="AH272" i="27" s="1"/>
  <c r="AH280" i="27" s="1"/>
  <c r="AH278" i="27" s="1"/>
  <c r="X276" i="27"/>
  <c r="X275" i="27" s="1"/>
  <c r="X272" i="27" s="1"/>
  <c r="X280" i="27" s="1"/>
  <c r="X278" i="27" s="1"/>
  <c r="AJ276" i="27"/>
  <c r="AJ275" i="27" s="1"/>
  <c r="AJ272" i="27" s="1"/>
  <c r="AJ280" i="27" s="1"/>
  <c r="AJ278" i="27" s="1"/>
  <c r="Y276" i="27"/>
  <c r="Y275" i="27" s="1"/>
  <c r="Y272" i="27" s="1"/>
  <c r="Y280" i="27" s="1"/>
  <c r="Y278" i="27" s="1"/>
  <c r="AG276" i="27"/>
  <c r="AG275" i="27" s="1"/>
  <c r="AG272" i="27" s="1"/>
  <c r="AG280" i="27" s="1"/>
  <c r="AG278" i="27" s="1"/>
  <c r="AF276" i="27"/>
  <c r="AF275" i="27" s="1"/>
  <c r="AF272" i="27" s="1"/>
  <c r="AF280" i="27" s="1"/>
  <c r="AF278" i="27" s="1"/>
  <c r="T276" i="27"/>
  <c r="T275" i="27" s="1"/>
  <c r="T272" i="27" s="1"/>
  <c r="T280" i="27" s="1"/>
  <c r="T278" i="27" s="1"/>
  <c r="AC276" i="27"/>
  <c r="AC275" i="27" s="1"/>
  <c r="AC272" i="27" s="1"/>
  <c r="AC280" i="27" s="1"/>
  <c r="AC278" i="27" s="1"/>
  <c r="W276" i="27"/>
  <c r="W275" i="27" s="1"/>
  <c r="W272" i="27" s="1"/>
  <c r="W280" i="27" s="1"/>
  <c r="W278" i="27" s="1"/>
  <c r="O276" i="27"/>
  <c r="O275" i="27" s="1"/>
  <c r="O272" i="27" s="1"/>
  <c r="O280" i="27" s="1"/>
  <c r="O278" i="27" s="1"/>
  <c r="AI276" i="27"/>
  <c r="AI275" i="27" s="1"/>
  <c r="AI272" i="27" s="1"/>
  <c r="AI280" i="27" s="1"/>
  <c r="AI278" i="27" s="1"/>
  <c r="AA276" i="27"/>
  <c r="AA275" i="27" s="1"/>
  <c r="AA272" i="27" s="1"/>
  <c r="AA280" i="27" s="1"/>
  <c r="AA278" i="27" s="1"/>
  <c r="Z276" i="27"/>
  <c r="Z275" i="27" s="1"/>
  <c r="Z272" i="27" s="1"/>
  <c r="Z280" i="27" s="1"/>
  <c r="Z278" i="27" s="1"/>
  <c r="V276" i="27"/>
  <c r="V275" i="27" s="1"/>
  <c r="V272" i="27" s="1"/>
  <c r="V280" i="27" s="1"/>
  <c r="V278" i="27" s="1"/>
  <c r="AE276" i="27"/>
  <c r="AE275" i="27" s="1"/>
  <c r="AE272" i="27" s="1"/>
  <c r="AE280" i="27" s="1"/>
  <c r="AE278" i="27" s="1"/>
  <c r="R276" i="27"/>
  <c r="R275" i="27" s="1"/>
  <c r="R272" i="27" s="1"/>
  <c r="R280" i="27" s="1"/>
  <c r="R278" i="27" s="1"/>
  <c r="P276" i="27"/>
  <c r="P275" i="27" s="1"/>
  <c r="P272" i="27" s="1"/>
  <c r="P280" i="27" s="1"/>
  <c r="P278" i="27" s="1"/>
  <c r="AK276" i="27"/>
  <c r="AK275" i="27" s="1"/>
  <c r="AK272" i="27" s="1"/>
  <c r="AK280" i="27" s="1"/>
  <c r="AK278" i="27" s="1"/>
  <c r="Q276" i="27"/>
  <c r="Q275" i="27" s="1"/>
  <c r="Q272" i="27" s="1"/>
  <c r="Q280" i="27" s="1"/>
  <c r="Q278" i="27" s="1"/>
  <c r="S276" i="27"/>
  <c r="S275" i="27" s="1"/>
  <c r="S272" i="27" s="1"/>
  <c r="S280" i="27" s="1"/>
  <c r="S278" i="27" s="1"/>
  <c r="AD276" i="27"/>
  <c r="AD275" i="27" s="1"/>
  <c r="AD272" i="27" s="1"/>
  <c r="AD280" i="27" s="1"/>
  <c r="AD278" i="27" s="1"/>
  <c r="AF130" i="20"/>
  <c r="AC109" i="32"/>
  <c r="L145" i="24"/>
  <c r="AD153" i="32"/>
  <c r="AD168" i="32" s="1"/>
  <c r="AD149" i="32"/>
  <c r="AM149" i="32"/>
  <c r="AM153" i="32"/>
  <c r="AM168" i="32" s="1"/>
  <c r="Q241" i="32"/>
  <c r="Q236" i="32"/>
  <c r="R236" i="27"/>
  <c r="R241" i="27"/>
  <c r="AK236" i="27"/>
  <c r="AK241" i="27"/>
  <c r="T241" i="31"/>
  <c r="T236" i="31"/>
  <c r="Y241" i="27"/>
  <c r="Y236" i="27"/>
  <c r="W105" i="20"/>
  <c r="W105" i="33" s="1"/>
  <c r="U236" i="27"/>
  <c r="U241" i="27"/>
  <c r="AJ66" i="20"/>
  <c r="AJ66" i="33" s="1"/>
  <c r="AM149" i="27"/>
  <c r="AM153" i="27"/>
  <c r="AM168" i="27" s="1"/>
  <c r="K150" i="27"/>
  <c r="P109" i="27"/>
  <c r="P112" i="27"/>
  <c r="K145" i="24"/>
  <c r="AL105" i="20"/>
  <c r="AL105" i="33" s="1"/>
  <c r="L65" i="27"/>
  <c r="Q153" i="32"/>
  <c r="Q168" i="32" s="1"/>
  <c r="Q149" i="32"/>
  <c r="Q172" i="32"/>
  <c r="AL153" i="24"/>
  <c r="AL168" i="24" s="1"/>
  <c r="AL149" i="24"/>
  <c r="AL109" i="32"/>
  <c r="AI241" i="20"/>
  <c r="AI236" i="20"/>
  <c r="R149" i="27"/>
  <c r="R172" i="27"/>
  <c r="R153" i="27"/>
  <c r="R168" i="27" s="1"/>
  <c r="AK153" i="27"/>
  <c r="AK168" i="27" s="1"/>
  <c r="AK149" i="27"/>
  <c r="T153" i="31"/>
  <c r="T168" i="31" s="1"/>
  <c r="T149" i="31"/>
  <c r="T172" i="31"/>
  <c r="U109" i="32"/>
  <c r="Y149" i="27"/>
  <c r="Y153" i="27"/>
  <c r="Y168" i="27" s="1"/>
  <c r="L65" i="20"/>
  <c r="S153" i="27"/>
  <c r="S168" i="27" s="1"/>
  <c r="S149" i="27"/>
  <c r="S172" i="27"/>
  <c r="Z130" i="20"/>
  <c r="AG130" i="20"/>
  <c r="O98" i="33" l="1"/>
  <c r="O65" i="33"/>
  <c r="L50" i="20"/>
  <c r="L49" i="20" s="1"/>
  <c r="O50" i="33"/>
  <c r="AK108" i="20"/>
  <c r="AK108" i="33" s="1"/>
  <c r="AH108" i="20"/>
  <c r="AH108" i="33" s="1"/>
  <c r="T153" i="33"/>
  <c r="L99" i="33"/>
  <c r="AI153" i="33"/>
  <c r="Q153" i="33"/>
  <c r="Z153" i="33"/>
  <c r="AD153" i="33"/>
  <c r="U153" i="33"/>
  <c r="AF153" i="33"/>
  <c r="S153" i="33"/>
  <c r="AH153" i="33"/>
  <c r="AG153" i="33"/>
  <c r="AA153" i="33"/>
  <c r="R153" i="33"/>
  <c r="AE153" i="33"/>
  <c r="AM153" i="33"/>
  <c r="V153" i="33"/>
  <c r="P153" i="33"/>
  <c r="O49" i="24"/>
  <c r="W153" i="33"/>
  <c r="AC153" i="33"/>
  <c r="S149" i="20"/>
  <c r="T153" i="20"/>
  <c r="T168" i="20" s="1"/>
  <c r="AG153" i="20"/>
  <c r="AG168" i="20" s="1"/>
  <c r="T149" i="20"/>
  <c r="S172" i="20"/>
  <c r="AD153" i="20"/>
  <c r="AD168" i="20" s="1"/>
  <c r="Y153" i="33"/>
  <c r="O49" i="31"/>
  <c r="O61" i="31" s="1"/>
  <c r="AB153" i="33"/>
  <c r="X153" i="33"/>
  <c r="Q153" i="20"/>
  <c r="Q168" i="20" s="1"/>
  <c r="AL153" i="33"/>
  <c r="AJ153" i="33"/>
  <c r="AA153" i="20"/>
  <c r="AA168" i="20" s="1"/>
  <c r="Y153" i="20"/>
  <c r="Y168" i="20" s="1"/>
  <c r="AB149" i="20"/>
  <c r="AJ153" i="20"/>
  <c r="AJ168" i="20" s="1"/>
  <c r="Q149" i="20"/>
  <c r="R149" i="20"/>
  <c r="R172" i="20"/>
  <c r="AK153" i="33"/>
  <c r="P115" i="24"/>
  <c r="P132" i="24" s="1"/>
  <c r="O49" i="20"/>
  <c r="O49" i="33" s="1"/>
  <c r="O49" i="27"/>
  <c r="O61" i="27" s="1"/>
  <c r="L50" i="32"/>
  <c r="L49" i="32" s="1"/>
  <c r="V153" i="20"/>
  <c r="V168" i="20" s="1"/>
  <c r="X149" i="20"/>
  <c r="O243" i="32"/>
  <c r="P240" i="32" s="1"/>
  <c r="P242" i="32" s="1"/>
  <c r="AL153" i="20"/>
  <c r="AL168" i="20" s="1"/>
  <c r="P243" i="20"/>
  <c r="Q240" i="20" s="1"/>
  <c r="Q242" i="20" s="1"/>
  <c r="P243" i="31"/>
  <c r="Q240" i="31" s="1"/>
  <c r="Q242" i="31" s="1"/>
  <c r="Q243" i="31" s="1"/>
  <c r="R240" i="31" s="1"/>
  <c r="U245" i="27"/>
  <c r="L107" i="33"/>
  <c r="K107" i="33"/>
  <c r="V245" i="20"/>
  <c r="O248" i="20"/>
  <c r="O252" i="20"/>
  <c r="O251" i="20" s="1"/>
  <c r="O256" i="20"/>
  <c r="O255" i="20" s="1"/>
  <c r="T275" i="20"/>
  <c r="Y275" i="20"/>
  <c r="AE149" i="20"/>
  <c r="AE153" i="20"/>
  <c r="AE168" i="20" s="1"/>
  <c r="P245" i="31"/>
  <c r="P243" i="24"/>
  <c r="Q240" i="24" s="1"/>
  <c r="P245" i="27"/>
  <c r="AH245" i="32"/>
  <c r="S108" i="20"/>
  <c r="S108" i="33" s="1"/>
  <c r="AG245" i="20"/>
  <c r="AK245" i="32"/>
  <c r="R245" i="24"/>
  <c r="Q245" i="20"/>
  <c r="X245" i="31"/>
  <c r="AC153" i="20"/>
  <c r="AC168" i="20" s="1"/>
  <c r="AC149" i="20"/>
  <c r="AJ245" i="20"/>
  <c r="AE245" i="31"/>
  <c r="AB245" i="20"/>
  <c r="AL108" i="20"/>
  <c r="AL108" i="33" s="1"/>
  <c r="W108" i="20"/>
  <c r="W108" i="33" s="1"/>
  <c r="R245" i="27"/>
  <c r="AD245" i="24"/>
  <c r="AB245" i="24"/>
  <c r="S245" i="32"/>
  <c r="U245" i="31"/>
  <c r="Y245" i="24"/>
  <c r="S245" i="24"/>
  <c r="AH275" i="20"/>
  <c r="O275" i="20"/>
  <c r="W153" i="20"/>
  <c r="W168" i="20" s="1"/>
  <c r="W149" i="20"/>
  <c r="F14" i="4"/>
  <c r="E16" i="4" s="1"/>
  <c r="E17" i="4" s="1"/>
  <c r="T245" i="20"/>
  <c r="AC245" i="31"/>
  <c r="AD245" i="27"/>
  <c r="AK245" i="20"/>
  <c r="L100" i="33"/>
  <c r="K100" i="33"/>
  <c r="Q108" i="20"/>
  <c r="Q108" i="33" s="1"/>
  <c r="AF245" i="24"/>
  <c r="AJ245" i="27"/>
  <c r="AA245" i="31"/>
  <c r="Z245" i="24"/>
  <c r="AL245" i="24"/>
  <c r="AE108" i="20"/>
  <c r="AE108" i="33" s="1"/>
  <c r="AI275" i="20"/>
  <c r="AK275" i="20"/>
  <c r="AB245" i="27"/>
  <c r="W245" i="24"/>
  <c r="AL245" i="20"/>
  <c r="U245" i="24"/>
  <c r="O252" i="24"/>
  <c r="O251" i="24" s="1"/>
  <c r="O256" i="24"/>
  <c r="O255" i="24" s="1"/>
  <c r="O248" i="24"/>
  <c r="AE245" i="20"/>
  <c r="W245" i="31"/>
  <c r="AA245" i="24"/>
  <c r="AI245" i="20"/>
  <c r="P113" i="27"/>
  <c r="P115" i="27"/>
  <c r="AE245" i="32"/>
  <c r="L145" i="33"/>
  <c r="K145" i="33"/>
  <c r="AL245" i="31"/>
  <c r="AE245" i="27"/>
  <c r="V245" i="24"/>
  <c r="AC245" i="24"/>
  <c r="T245" i="24"/>
  <c r="AI245" i="32"/>
  <c r="AH276" i="32"/>
  <c r="AH275" i="32" s="1"/>
  <c r="AH272" i="32" s="1"/>
  <c r="AH280" i="32" s="1"/>
  <c r="AH278" i="32" s="1"/>
  <c r="AD276" i="32"/>
  <c r="AD275" i="32" s="1"/>
  <c r="AD272" i="32" s="1"/>
  <c r="AD280" i="32" s="1"/>
  <c r="AD278" i="32" s="1"/>
  <c r="Z276" i="32"/>
  <c r="Z275" i="32" s="1"/>
  <c r="Z272" i="32" s="1"/>
  <c r="Z280" i="32" s="1"/>
  <c r="Z278" i="32" s="1"/>
  <c r="Q276" i="32"/>
  <c r="Q275" i="32" s="1"/>
  <c r="Q272" i="32" s="1"/>
  <c r="Q280" i="32" s="1"/>
  <c r="Q278" i="32" s="1"/>
  <c r="AC276" i="32"/>
  <c r="AC275" i="32" s="1"/>
  <c r="AC272" i="32" s="1"/>
  <c r="AC280" i="32" s="1"/>
  <c r="AC278" i="32" s="1"/>
  <c r="R276" i="32"/>
  <c r="R275" i="32" s="1"/>
  <c r="R272" i="32" s="1"/>
  <c r="R280" i="32" s="1"/>
  <c r="R278" i="32" s="1"/>
  <c r="O276" i="32"/>
  <c r="O275" i="32" s="1"/>
  <c r="O272" i="32" s="1"/>
  <c r="O280" i="32" s="1"/>
  <c r="O278" i="32" s="1"/>
  <c r="AJ276" i="32"/>
  <c r="AJ275" i="32" s="1"/>
  <c r="AJ272" i="32" s="1"/>
  <c r="AJ280" i="32" s="1"/>
  <c r="AJ278" i="32" s="1"/>
  <c r="Y276" i="32"/>
  <c r="Y275" i="32" s="1"/>
  <c r="Y272" i="32" s="1"/>
  <c r="Y280" i="32" s="1"/>
  <c r="Y278" i="32" s="1"/>
  <c r="AF276" i="32"/>
  <c r="AF275" i="32" s="1"/>
  <c r="AF272" i="32" s="1"/>
  <c r="AF280" i="32" s="1"/>
  <c r="AF278" i="32" s="1"/>
  <c r="X276" i="32"/>
  <c r="X275" i="32" s="1"/>
  <c r="X272" i="32" s="1"/>
  <c r="X280" i="32" s="1"/>
  <c r="X278" i="32" s="1"/>
  <c r="AL276" i="32"/>
  <c r="AL275" i="32" s="1"/>
  <c r="AL272" i="32" s="1"/>
  <c r="AL280" i="32" s="1"/>
  <c r="AL278" i="32" s="1"/>
  <c r="U276" i="32"/>
  <c r="U275" i="32" s="1"/>
  <c r="U272" i="32" s="1"/>
  <c r="U280" i="32" s="1"/>
  <c r="U278" i="32" s="1"/>
  <c r="W276" i="32"/>
  <c r="W275" i="32" s="1"/>
  <c r="W272" i="32" s="1"/>
  <c r="W280" i="32" s="1"/>
  <c r="W278" i="32" s="1"/>
  <c r="AA276" i="32"/>
  <c r="AA275" i="32" s="1"/>
  <c r="AA272" i="32" s="1"/>
  <c r="AA280" i="32" s="1"/>
  <c r="AA278" i="32" s="1"/>
  <c r="V276" i="32"/>
  <c r="V275" i="32" s="1"/>
  <c r="V272" i="32" s="1"/>
  <c r="V280" i="32" s="1"/>
  <c r="V278" i="32" s="1"/>
  <c r="AE276" i="32"/>
  <c r="AE275" i="32" s="1"/>
  <c r="AE272" i="32" s="1"/>
  <c r="AE280" i="32" s="1"/>
  <c r="AE278" i="32" s="1"/>
  <c r="T276" i="32"/>
  <c r="T275" i="32" s="1"/>
  <c r="T272" i="32" s="1"/>
  <c r="T280" i="32" s="1"/>
  <c r="T278" i="32" s="1"/>
  <c r="S276" i="32"/>
  <c r="S275" i="32" s="1"/>
  <c r="S272" i="32" s="1"/>
  <c r="S280" i="32" s="1"/>
  <c r="S278" i="32" s="1"/>
  <c r="AB276" i="32"/>
  <c r="AB275" i="32" s="1"/>
  <c r="AB272" i="32" s="1"/>
  <c r="AB280" i="32" s="1"/>
  <c r="AB278" i="32" s="1"/>
  <c r="P276" i="32"/>
  <c r="P275" i="32" s="1"/>
  <c r="P272" i="32" s="1"/>
  <c r="P280" i="32" s="1"/>
  <c r="P278" i="32" s="1"/>
  <c r="AK276" i="32"/>
  <c r="AK275" i="32" s="1"/>
  <c r="AK272" i="32" s="1"/>
  <c r="AK280" i="32" s="1"/>
  <c r="AK278" i="32" s="1"/>
  <c r="AG276" i="32"/>
  <c r="AG275" i="32" s="1"/>
  <c r="AG272" i="32" s="1"/>
  <c r="AG280" i="32" s="1"/>
  <c r="AG278" i="32" s="1"/>
  <c r="AM276" i="32"/>
  <c r="AM275" i="32" s="1"/>
  <c r="AM272" i="32" s="1"/>
  <c r="AM280" i="32" s="1"/>
  <c r="AM278" i="32" s="1"/>
  <c r="AI276" i="32"/>
  <c r="AI275" i="32" s="1"/>
  <c r="AI272" i="32" s="1"/>
  <c r="AI280" i="32" s="1"/>
  <c r="AI278" i="32" s="1"/>
  <c r="Y245" i="27"/>
  <c r="AD275" i="20"/>
  <c r="Q275" i="20"/>
  <c r="R108" i="20"/>
  <c r="R108" i="33" s="1"/>
  <c r="Q245" i="32"/>
  <c r="AI245" i="27"/>
  <c r="W245" i="27"/>
  <c r="P153" i="20"/>
  <c r="P168" i="20" s="1"/>
  <c r="P149" i="20"/>
  <c r="P172" i="20"/>
  <c r="AG275" i="20"/>
  <c r="AA275" i="20"/>
  <c r="P245" i="32"/>
  <c r="AC245" i="20"/>
  <c r="AF245" i="27"/>
  <c r="AG245" i="32"/>
  <c r="AB245" i="31"/>
  <c r="W245" i="20"/>
  <c r="AM245" i="20"/>
  <c r="AI153" i="20"/>
  <c r="AI168" i="20" s="1"/>
  <c r="AI149" i="20"/>
  <c r="W245" i="32"/>
  <c r="AC245" i="27"/>
  <c r="T245" i="31"/>
  <c r="O330" i="33"/>
  <c r="D321" i="33" s="1"/>
  <c r="D324" i="33" s="1"/>
  <c r="AJ245" i="24"/>
  <c r="AJ108" i="20"/>
  <c r="AJ108" i="33" s="1"/>
  <c r="X245" i="24"/>
  <c r="AH153" i="20"/>
  <c r="AH168" i="20" s="1"/>
  <c r="AH149" i="20"/>
  <c r="AM245" i="27"/>
  <c r="AL245" i="27"/>
  <c r="AF153" i="20"/>
  <c r="AF168" i="20" s="1"/>
  <c r="AF149" i="20"/>
  <c r="Z149" i="20"/>
  <c r="Z153" i="20"/>
  <c r="Z168" i="20" s="1"/>
  <c r="AD245" i="20"/>
  <c r="R245" i="31"/>
  <c r="P245" i="24"/>
  <c r="T245" i="32"/>
  <c r="AL275" i="20"/>
  <c r="Z275" i="20"/>
  <c r="X275" i="20"/>
  <c r="Q276" i="31"/>
  <c r="Q275" i="31" s="1"/>
  <c r="Q272" i="31" s="1"/>
  <c r="Q280" i="31" s="1"/>
  <c r="Q278" i="31" s="1"/>
  <c r="R276" i="31"/>
  <c r="R275" i="31" s="1"/>
  <c r="R272" i="31" s="1"/>
  <c r="R280" i="31" s="1"/>
  <c r="R278" i="31" s="1"/>
  <c r="W276" i="31"/>
  <c r="W275" i="31" s="1"/>
  <c r="W272" i="31" s="1"/>
  <c r="W280" i="31" s="1"/>
  <c r="W278" i="31" s="1"/>
  <c r="O276" i="31"/>
  <c r="O275" i="31" s="1"/>
  <c r="O272" i="31" s="1"/>
  <c r="O280" i="31" s="1"/>
  <c r="O278" i="31" s="1"/>
  <c r="AC276" i="31"/>
  <c r="AC275" i="31" s="1"/>
  <c r="AC272" i="31" s="1"/>
  <c r="AC280" i="31" s="1"/>
  <c r="AC278" i="31" s="1"/>
  <c r="AI276" i="31"/>
  <c r="AI275" i="31" s="1"/>
  <c r="AI272" i="31" s="1"/>
  <c r="AI280" i="31" s="1"/>
  <c r="AI278" i="31" s="1"/>
  <c r="AJ276" i="31"/>
  <c r="AJ275" i="31" s="1"/>
  <c r="AJ272" i="31" s="1"/>
  <c r="AJ280" i="31" s="1"/>
  <c r="AJ278" i="31" s="1"/>
  <c r="AD276" i="31"/>
  <c r="AD275" i="31" s="1"/>
  <c r="AD272" i="31" s="1"/>
  <c r="AD280" i="31" s="1"/>
  <c r="AD278" i="31" s="1"/>
  <c r="U276" i="31"/>
  <c r="U275" i="31" s="1"/>
  <c r="U272" i="31" s="1"/>
  <c r="U280" i="31" s="1"/>
  <c r="U278" i="31" s="1"/>
  <c r="AH276" i="31"/>
  <c r="AH275" i="31" s="1"/>
  <c r="AH272" i="31" s="1"/>
  <c r="AH280" i="31" s="1"/>
  <c r="AH278" i="31" s="1"/>
  <c r="AF276" i="31"/>
  <c r="AF275" i="31" s="1"/>
  <c r="AF272" i="31" s="1"/>
  <c r="AF280" i="31" s="1"/>
  <c r="AF278" i="31" s="1"/>
  <c r="AG276" i="31"/>
  <c r="AG275" i="31" s="1"/>
  <c r="AG272" i="31" s="1"/>
  <c r="AG280" i="31" s="1"/>
  <c r="AG278" i="31" s="1"/>
  <c r="T276" i="31"/>
  <c r="T275" i="31" s="1"/>
  <c r="T272" i="31" s="1"/>
  <c r="T280" i="31" s="1"/>
  <c r="T278" i="31" s="1"/>
  <c r="AE276" i="31"/>
  <c r="AE275" i="31" s="1"/>
  <c r="AE272" i="31" s="1"/>
  <c r="AE280" i="31" s="1"/>
  <c r="AE278" i="31" s="1"/>
  <c r="V276" i="31"/>
  <c r="V275" i="31" s="1"/>
  <c r="V272" i="31" s="1"/>
  <c r="V280" i="31" s="1"/>
  <c r="V278" i="31" s="1"/>
  <c r="AA276" i="31"/>
  <c r="AA275" i="31" s="1"/>
  <c r="AA272" i="31" s="1"/>
  <c r="AA280" i="31" s="1"/>
  <c r="AA278" i="31" s="1"/>
  <c r="AL276" i="31"/>
  <c r="AL275" i="31" s="1"/>
  <c r="AL272" i="31" s="1"/>
  <c r="AL280" i="31" s="1"/>
  <c r="AL278" i="31" s="1"/>
  <c r="P276" i="31"/>
  <c r="P275" i="31" s="1"/>
  <c r="P272" i="31" s="1"/>
  <c r="P280" i="31" s="1"/>
  <c r="P278" i="31" s="1"/>
  <c r="AB276" i="31"/>
  <c r="AB275" i="31" s="1"/>
  <c r="AB272" i="31" s="1"/>
  <c r="AB280" i="31" s="1"/>
  <c r="AB278" i="31" s="1"/>
  <c r="S276" i="31"/>
  <c r="S275" i="31" s="1"/>
  <c r="S272" i="31" s="1"/>
  <c r="S280" i="31" s="1"/>
  <c r="S278" i="31" s="1"/>
  <c r="Z276" i="31"/>
  <c r="Z275" i="31" s="1"/>
  <c r="Z272" i="31" s="1"/>
  <c r="Z280" i="31" s="1"/>
  <c r="Z278" i="31" s="1"/>
  <c r="AK276" i="31"/>
  <c r="AK275" i="31" s="1"/>
  <c r="AK272" i="31" s="1"/>
  <c r="AK280" i="31" s="1"/>
  <c r="AK278" i="31" s="1"/>
  <c r="AM276" i="31"/>
  <c r="AM275" i="31" s="1"/>
  <c r="AM272" i="31" s="1"/>
  <c r="AM280" i="31" s="1"/>
  <c r="AM278" i="31" s="1"/>
  <c r="Y276" i="31"/>
  <c r="Y275" i="31" s="1"/>
  <c r="Y272" i="31" s="1"/>
  <c r="Y280" i="31" s="1"/>
  <c r="Y278" i="31" s="1"/>
  <c r="X276" i="31"/>
  <c r="X275" i="31" s="1"/>
  <c r="X272" i="31" s="1"/>
  <c r="X280" i="31" s="1"/>
  <c r="X278" i="31" s="1"/>
  <c r="AG245" i="27"/>
  <c r="U108" i="20"/>
  <c r="U108" i="33" s="1"/>
  <c r="AA108" i="20"/>
  <c r="AA108" i="33" s="1"/>
  <c r="AH245" i="27"/>
  <c r="L65" i="31"/>
  <c r="R245" i="32"/>
  <c r="P113" i="32"/>
  <c r="P115" i="32"/>
  <c r="R245" i="20"/>
  <c r="AI245" i="24"/>
  <c r="AM153" i="20"/>
  <c r="AM168" i="20" s="1"/>
  <c r="AM149" i="20"/>
  <c r="AF108" i="20"/>
  <c r="AF108" i="33" s="1"/>
  <c r="X245" i="32"/>
  <c r="AB108" i="20"/>
  <c r="AB108" i="33" s="1"/>
  <c r="V245" i="32"/>
  <c r="AK245" i="24"/>
  <c r="Y245" i="31"/>
  <c r="L65" i="32"/>
  <c r="U153" i="20"/>
  <c r="U168" i="20" s="1"/>
  <c r="U149" i="20"/>
  <c r="AD245" i="32"/>
  <c r="O245" i="32"/>
  <c r="AG108" i="20"/>
  <c r="AG108" i="33" s="1"/>
  <c r="AH245" i="24"/>
  <c r="AD245" i="31"/>
  <c r="Z245" i="27"/>
  <c r="AH245" i="20"/>
  <c r="AA245" i="27"/>
  <c r="V108" i="20"/>
  <c r="V108" i="33" s="1"/>
  <c r="AI245" i="31"/>
  <c r="AM275" i="20"/>
  <c r="S275" i="20"/>
  <c r="S245" i="20"/>
  <c r="AH245" i="31"/>
  <c r="X108" i="20"/>
  <c r="X108" i="33" s="1"/>
  <c r="Q245" i="31"/>
  <c r="Y245" i="32"/>
  <c r="AF245" i="20"/>
  <c r="AF245" i="32"/>
  <c r="AE245" i="24"/>
  <c r="AK245" i="31"/>
  <c r="L151" i="33"/>
  <c r="L150" i="33" s="1"/>
  <c r="K151" i="33"/>
  <c r="K150" i="33" s="1"/>
  <c r="O150" i="33"/>
  <c r="AJ245" i="31"/>
  <c r="AL245" i="32"/>
  <c r="AM245" i="32"/>
  <c r="V275" i="20"/>
  <c r="AF275" i="20"/>
  <c r="AF245" i="31"/>
  <c r="Z108" i="20"/>
  <c r="Z108" i="33" s="1"/>
  <c r="W275" i="20"/>
  <c r="AC275" i="20"/>
  <c r="O252" i="31"/>
  <c r="O251" i="31" s="1"/>
  <c r="O248" i="31"/>
  <c r="O256" i="31"/>
  <c r="O255" i="31" s="1"/>
  <c r="T245" i="27"/>
  <c r="S245" i="31"/>
  <c r="Q245" i="27"/>
  <c r="V245" i="27"/>
  <c r="AM108" i="20"/>
  <c r="AM108" i="33" s="1"/>
  <c r="P113" i="31"/>
  <c r="P115" i="31"/>
  <c r="S245" i="27"/>
  <c r="AJ245" i="32"/>
  <c r="AI108" i="20"/>
  <c r="AI108" i="33" s="1"/>
  <c r="O242" i="27"/>
  <c r="O241" i="27"/>
  <c r="O236" i="27"/>
  <c r="P275" i="20"/>
  <c r="U275" i="20"/>
  <c r="Y108" i="20"/>
  <c r="Y108" i="33" s="1"/>
  <c r="AA245" i="32"/>
  <c r="X245" i="27"/>
  <c r="Z245" i="20"/>
  <c r="AG245" i="24"/>
  <c r="AB245" i="32"/>
  <c r="AD108" i="20"/>
  <c r="AD108" i="33" s="1"/>
  <c r="AK245" i="27"/>
  <c r="AC245" i="32"/>
  <c r="T108" i="20"/>
  <c r="T108" i="33" s="1"/>
  <c r="AG245" i="31"/>
  <c r="L145" i="27"/>
  <c r="K145" i="27"/>
  <c r="AB275" i="20"/>
  <c r="AJ275" i="20"/>
  <c r="AK149" i="20"/>
  <c r="AK153" i="20"/>
  <c r="AK168" i="20" s="1"/>
  <c r="Z245" i="32"/>
  <c r="AC108" i="20"/>
  <c r="AC108" i="33" s="1"/>
  <c r="Y245" i="20"/>
  <c r="V245" i="31"/>
  <c r="AM245" i="24"/>
  <c r="U245" i="32"/>
  <c r="U245" i="20"/>
  <c r="P108" i="20"/>
  <c r="P108" i="33" s="1"/>
  <c r="AE275" i="20"/>
  <c r="R275" i="20"/>
  <c r="X245" i="20"/>
  <c r="Q245" i="24"/>
  <c r="P245" i="20"/>
  <c r="O147" i="32"/>
  <c r="O61" i="32"/>
  <c r="AM245" i="31"/>
  <c r="Z245" i="31"/>
  <c r="AA245" i="20"/>
  <c r="AH109" i="20" l="1"/>
  <c r="S275" i="33"/>
  <c r="AJ275" i="33"/>
  <c r="AE275" i="33"/>
  <c r="AB275" i="33"/>
  <c r="AF275" i="33"/>
  <c r="V275" i="33"/>
  <c r="AM275" i="33"/>
  <c r="W275" i="33"/>
  <c r="AD275" i="33"/>
  <c r="AK275" i="33"/>
  <c r="R275" i="33"/>
  <c r="AK109" i="20"/>
  <c r="AC276" i="33"/>
  <c r="X275" i="33"/>
  <c r="S276" i="33"/>
  <c r="Q276" i="33"/>
  <c r="Z275" i="33"/>
  <c r="O275" i="33"/>
  <c r="AM276" i="33"/>
  <c r="AD276" i="33"/>
  <c r="U275" i="33"/>
  <c r="P275" i="33"/>
  <c r="AL275" i="33"/>
  <c r="AH275" i="33"/>
  <c r="AI276" i="33"/>
  <c r="AK276" i="33"/>
  <c r="X276" i="33"/>
  <c r="O276" i="33"/>
  <c r="Z276" i="33"/>
  <c r="AH276" i="33"/>
  <c r="AC275" i="33"/>
  <c r="Q275" i="33"/>
  <c r="AL276" i="33"/>
  <c r="AJ276" i="33"/>
  <c r="Y275" i="33"/>
  <c r="AF276" i="33"/>
  <c r="Y276" i="33"/>
  <c r="T275" i="33"/>
  <c r="V276" i="33"/>
  <c r="T276" i="33"/>
  <c r="AA275" i="33"/>
  <c r="AI275" i="33"/>
  <c r="U276" i="33"/>
  <c r="AA276" i="33"/>
  <c r="R276" i="33"/>
  <c r="AG275" i="33"/>
  <c r="P276" i="33"/>
  <c r="AG276" i="33"/>
  <c r="AE276" i="33"/>
  <c r="W276" i="33"/>
  <c r="AB276" i="33"/>
  <c r="O147" i="20"/>
  <c r="O61" i="24"/>
  <c r="K99" i="33"/>
  <c r="O147" i="24"/>
  <c r="K147" i="24" s="1"/>
  <c r="P118" i="24"/>
  <c r="P119" i="24" s="1"/>
  <c r="P116" i="24"/>
  <c r="O147" i="27"/>
  <c r="K147" i="27" s="1"/>
  <c r="O147" i="31"/>
  <c r="K147" i="31" s="1"/>
  <c r="O61" i="20"/>
  <c r="O61" i="33" s="1"/>
  <c r="P243" i="32"/>
  <c r="Q240" i="32" s="1"/>
  <c r="Q242" i="32" s="1"/>
  <c r="Q243" i="32" s="1"/>
  <c r="R240" i="32" s="1"/>
  <c r="Q243" i="20"/>
  <c r="R240" i="20" s="1"/>
  <c r="R242" i="20" s="1"/>
  <c r="R243" i="20" s="1"/>
  <c r="S240" i="20" s="1"/>
  <c r="O243" i="27"/>
  <c r="P240" i="27" s="1"/>
  <c r="P242" i="27" s="1"/>
  <c r="P243" i="27" s="1"/>
  <c r="Q240" i="27" s="1"/>
  <c r="AG248" i="24"/>
  <c r="AG247" i="24" s="1"/>
  <c r="AG256" i="24"/>
  <c r="AG255" i="24" s="1"/>
  <c r="AG252" i="24"/>
  <c r="AG251" i="24" s="1"/>
  <c r="AM109" i="20"/>
  <c r="O247" i="31"/>
  <c r="O234" i="31" s="1"/>
  <c r="O204" i="31"/>
  <c r="Q272" i="20"/>
  <c r="AE252" i="32"/>
  <c r="AE251" i="32" s="1"/>
  <c r="AE248" i="32"/>
  <c r="AE247" i="32" s="1"/>
  <c r="AE256" i="32"/>
  <c r="AE255" i="32" s="1"/>
  <c r="O247" i="24"/>
  <c r="O234" i="24" s="1"/>
  <c r="O204" i="24"/>
  <c r="AK272" i="20"/>
  <c r="AJ256" i="27"/>
  <c r="AJ255" i="27" s="1"/>
  <c r="AJ252" i="27"/>
  <c r="AJ251" i="27" s="1"/>
  <c r="AJ248" i="27"/>
  <c r="AJ247" i="27" s="1"/>
  <c r="Q248" i="20"/>
  <c r="Q247" i="20" s="1"/>
  <c r="Q256" i="20"/>
  <c r="Q255" i="20" s="1"/>
  <c r="Q252" i="20"/>
  <c r="Q251" i="20" s="1"/>
  <c r="P248" i="27"/>
  <c r="P247" i="27" s="1"/>
  <c r="P252" i="27"/>
  <c r="P251" i="27" s="1"/>
  <c r="P256" i="27"/>
  <c r="P255" i="27" s="1"/>
  <c r="Z256" i="20"/>
  <c r="Z255" i="20" s="1"/>
  <c r="Z252" i="20"/>
  <c r="Z251" i="20" s="1"/>
  <c r="Z248" i="20"/>
  <c r="Z247" i="20" s="1"/>
  <c r="O245" i="27"/>
  <c r="AG256" i="27"/>
  <c r="AG255" i="27" s="1"/>
  <c r="AG252" i="27"/>
  <c r="AG251" i="27" s="1"/>
  <c r="AG248" i="27"/>
  <c r="AG247" i="27" s="1"/>
  <c r="AC248" i="32"/>
  <c r="AC247" i="32" s="1"/>
  <c r="AC252" i="32"/>
  <c r="AC251" i="32" s="1"/>
  <c r="AC256" i="32"/>
  <c r="AC255" i="32" s="1"/>
  <c r="AF272" i="20"/>
  <c r="P248" i="24"/>
  <c r="P247" i="24" s="1"/>
  <c r="P256" i="24"/>
  <c r="P255" i="24" s="1"/>
  <c r="P252" i="24"/>
  <c r="P251" i="24" s="1"/>
  <c r="AJ109" i="20"/>
  <c r="AC248" i="20"/>
  <c r="AC247" i="20" s="1"/>
  <c r="AC256" i="20"/>
  <c r="AC255" i="20" s="1"/>
  <c r="AC252" i="20"/>
  <c r="AC251" i="20" s="1"/>
  <c r="W248" i="27"/>
  <c r="W247" i="27" s="1"/>
  <c r="W256" i="27"/>
  <c r="W255" i="27" s="1"/>
  <c r="W252" i="27"/>
  <c r="W251" i="27" s="1"/>
  <c r="V252" i="24"/>
  <c r="V251" i="24" s="1"/>
  <c r="V256" i="24"/>
  <c r="V255" i="24" s="1"/>
  <c r="V248" i="24"/>
  <c r="V247" i="24" s="1"/>
  <c r="P118" i="27"/>
  <c r="P119" i="27" s="1"/>
  <c r="P116" i="27"/>
  <c r="P132" i="27"/>
  <c r="AC256" i="31"/>
  <c r="AC255" i="31" s="1"/>
  <c r="AC252" i="31"/>
  <c r="AC251" i="31" s="1"/>
  <c r="AC248" i="31"/>
  <c r="AC247" i="31" s="1"/>
  <c r="S256" i="24"/>
  <c r="S255" i="24" s="1"/>
  <c r="S248" i="24"/>
  <c r="S247" i="24" s="1"/>
  <c r="S252" i="24"/>
  <c r="S251" i="24" s="1"/>
  <c r="AB256" i="20"/>
  <c r="AB255" i="20" s="1"/>
  <c r="AB252" i="20"/>
  <c r="AB251" i="20" s="1"/>
  <c r="AB248" i="20"/>
  <c r="AB247" i="20" s="1"/>
  <c r="R256" i="24"/>
  <c r="R255" i="24" s="1"/>
  <c r="R252" i="24"/>
  <c r="R251" i="24" s="1"/>
  <c r="R248" i="24"/>
  <c r="R247" i="24" s="1"/>
  <c r="AM248" i="31"/>
  <c r="AM247" i="31" s="1"/>
  <c r="AM256" i="31"/>
  <c r="AM255" i="31" s="1"/>
  <c r="AM252" i="31"/>
  <c r="AM251" i="31" s="1"/>
  <c r="AJ272" i="20"/>
  <c r="O66" i="32"/>
  <c r="L61" i="32"/>
  <c r="P109" i="20"/>
  <c r="P112" i="20"/>
  <c r="P112" i="33" s="1"/>
  <c r="V248" i="31"/>
  <c r="V247" i="31" s="1"/>
  <c r="V252" i="31"/>
  <c r="V251" i="31" s="1"/>
  <c r="V256" i="31"/>
  <c r="V255" i="31" s="1"/>
  <c r="X248" i="27"/>
  <c r="X247" i="27" s="1"/>
  <c r="X252" i="27"/>
  <c r="X251" i="27" s="1"/>
  <c r="X256" i="27"/>
  <c r="X255" i="27" s="1"/>
  <c r="V256" i="27"/>
  <c r="V255" i="27" s="1"/>
  <c r="V252" i="27"/>
  <c r="V251" i="27" s="1"/>
  <c r="V248" i="27"/>
  <c r="V247" i="27" s="1"/>
  <c r="Q248" i="31"/>
  <c r="Q247" i="31" s="1"/>
  <c r="Q256" i="31"/>
  <c r="Q255" i="31" s="1"/>
  <c r="Q252" i="31"/>
  <c r="Q251" i="31" s="1"/>
  <c r="AI248" i="31"/>
  <c r="AI247" i="31" s="1"/>
  <c r="AI256" i="31"/>
  <c r="AI255" i="31" s="1"/>
  <c r="AI252" i="31"/>
  <c r="AI251" i="31" s="1"/>
  <c r="AH256" i="24"/>
  <c r="AH255" i="24" s="1"/>
  <c r="AH248" i="24"/>
  <c r="AH247" i="24" s="1"/>
  <c r="AH252" i="24"/>
  <c r="AH251" i="24" s="1"/>
  <c r="Y252" i="31"/>
  <c r="Y251" i="31" s="1"/>
  <c r="Y248" i="31"/>
  <c r="Y247" i="31" s="1"/>
  <c r="Y256" i="31"/>
  <c r="Y255" i="31" s="1"/>
  <c r="X248" i="32"/>
  <c r="X247" i="32" s="1"/>
  <c r="X256" i="32"/>
  <c r="X255" i="32" s="1"/>
  <c r="X252" i="32"/>
  <c r="X251" i="32" s="1"/>
  <c r="R248" i="32"/>
  <c r="R247" i="32" s="1"/>
  <c r="R256" i="32"/>
  <c r="R255" i="32" s="1"/>
  <c r="R252" i="32"/>
  <c r="R251" i="32" s="1"/>
  <c r="AM256" i="20"/>
  <c r="AM255" i="20" s="1"/>
  <c r="AM248" i="20"/>
  <c r="AM247" i="20" s="1"/>
  <c r="AM252" i="20"/>
  <c r="AM251" i="20" s="1"/>
  <c r="L245" i="24"/>
  <c r="AF252" i="24"/>
  <c r="AF251" i="24" s="1"/>
  <c r="AF256" i="24"/>
  <c r="AF255" i="24" s="1"/>
  <c r="AF248" i="24"/>
  <c r="AF247" i="24" s="1"/>
  <c r="Q242" i="24"/>
  <c r="Q243" i="24" s="1"/>
  <c r="R240" i="24" s="1"/>
  <c r="O247" i="20"/>
  <c r="O234" i="20" s="1"/>
  <c r="O204" i="20"/>
  <c r="AM272" i="20"/>
  <c r="P118" i="32"/>
  <c r="P119" i="32" s="1"/>
  <c r="P116" i="32"/>
  <c r="P132" i="32"/>
  <c r="L147" i="32"/>
  <c r="K147" i="32"/>
  <c r="AB272" i="20"/>
  <c r="AK256" i="27"/>
  <c r="AK255" i="27" s="1"/>
  <c r="AK248" i="27"/>
  <c r="AK247" i="27" s="1"/>
  <c r="AK252" i="27"/>
  <c r="AK251" i="27" s="1"/>
  <c r="AI109" i="20"/>
  <c r="AC272" i="20"/>
  <c r="V272" i="20"/>
  <c r="X109" i="20"/>
  <c r="V109" i="20"/>
  <c r="AG109" i="20"/>
  <c r="X272" i="20"/>
  <c r="R256" i="31"/>
  <c r="R255" i="31" s="1"/>
  <c r="R248" i="31"/>
  <c r="R247" i="31" s="1"/>
  <c r="R252" i="31"/>
  <c r="R251" i="31" s="1"/>
  <c r="AL248" i="27"/>
  <c r="AL247" i="27" s="1"/>
  <c r="AL256" i="27"/>
  <c r="AL255" i="27" s="1"/>
  <c r="AL252" i="27"/>
  <c r="AL251" i="27" s="1"/>
  <c r="AJ256" i="24"/>
  <c r="AJ255" i="24" s="1"/>
  <c r="AJ248" i="24"/>
  <c r="AJ247" i="24" s="1"/>
  <c r="AJ252" i="24"/>
  <c r="AJ251" i="24" s="1"/>
  <c r="P252" i="32"/>
  <c r="P251" i="32" s="1"/>
  <c r="P248" i="32"/>
  <c r="P247" i="32" s="1"/>
  <c r="P256" i="32"/>
  <c r="P255" i="32" s="1"/>
  <c r="AI252" i="27"/>
  <c r="AI251" i="27" s="1"/>
  <c r="AI248" i="27"/>
  <c r="AI247" i="27" s="1"/>
  <c r="AI256" i="27"/>
  <c r="AI255" i="27" s="1"/>
  <c r="AD272" i="20"/>
  <c r="AI256" i="20"/>
  <c r="AI255" i="20" s="1"/>
  <c r="AI252" i="20"/>
  <c r="AI251" i="20" s="1"/>
  <c r="AI248" i="20"/>
  <c r="AI247" i="20" s="1"/>
  <c r="AI272" i="20"/>
  <c r="T252" i="20"/>
  <c r="T251" i="20" s="1"/>
  <c r="T248" i="20"/>
  <c r="T247" i="20" s="1"/>
  <c r="T256" i="20"/>
  <c r="T255" i="20" s="1"/>
  <c r="Y252" i="24"/>
  <c r="Y251" i="24" s="1"/>
  <c r="Y248" i="24"/>
  <c r="Y247" i="24" s="1"/>
  <c r="Y256" i="24"/>
  <c r="Y255" i="24" s="1"/>
  <c r="V248" i="20"/>
  <c r="V247" i="20" s="1"/>
  <c r="V256" i="20"/>
  <c r="V255" i="20" s="1"/>
  <c r="V252" i="20"/>
  <c r="V251" i="20" s="1"/>
  <c r="P252" i="20"/>
  <c r="P251" i="20" s="1"/>
  <c r="P248" i="20"/>
  <c r="P247" i="20" s="1"/>
  <c r="P256" i="20"/>
  <c r="P255" i="20" s="1"/>
  <c r="U256" i="20"/>
  <c r="U255" i="20" s="1"/>
  <c r="U252" i="20"/>
  <c r="U251" i="20" s="1"/>
  <c r="U248" i="20"/>
  <c r="U247" i="20" s="1"/>
  <c r="Y256" i="20"/>
  <c r="Y255" i="20" s="1"/>
  <c r="Y248" i="20"/>
  <c r="Y247" i="20" s="1"/>
  <c r="Y252" i="20"/>
  <c r="Y251" i="20" s="1"/>
  <c r="AA248" i="32"/>
  <c r="AA247" i="32" s="1"/>
  <c r="AA252" i="32"/>
  <c r="AA251" i="32" s="1"/>
  <c r="AA256" i="32"/>
  <c r="AA255" i="32" s="1"/>
  <c r="Q256" i="27"/>
  <c r="Q255" i="27" s="1"/>
  <c r="Q248" i="27"/>
  <c r="Q247" i="27" s="1"/>
  <c r="Q252" i="27"/>
  <c r="Q251" i="27" s="1"/>
  <c r="W272" i="20"/>
  <c r="AK252" i="31"/>
  <c r="AK251" i="31" s="1"/>
  <c r="AK248" i="31"/>
  <c r="AK247" i="31" s="1"/>
  <c r="AK256" i="31"/>
  <c r="AK255" i="31" s="1"/>
  <c r="AK252" i="24"/>
  <c r="AK251" i="24" s="1"/>
  <c r="AK256" i="24"/>
  <c r="AK255" i="24" s="1"/>
  <c r="AK248" i="24"/>
  <c r="AK247" i="24" s="1"/>
  <c r="AF109" i="20"/>
  <c r="AM256" i="27"/>
  <c r="AM255" i="27" s="1"/>
  <c r="AM248" i="27"/>
  <c r="AM247" i="27" s="1"/>
  <c r="AM252" i="27"/>
  <c r="AM251" i="27" s="1"/>
  <c r="Y256" i="27"/>
  <c r="Y255" i="27" s="1"/>
  <c r="Y248" i="27"/>
  <c r="Y247" i="27" s="1"/>
  <c r="Y252" i="27"/>
  <c r="Y251" i="27" s="1"/>
  <c r="AE248" i="27"/>
  <c r="AE247" i="27" s="1"/>
  <c r="AE252" i="27"/>
  <c r="AE251" i="27" s="1"/>
  <c r="AE256" i="27"/>
  <c r="AE255" i="27" s="1"/>
  <c r="U256" i="24"/>
  <c r="U255" i="24" s="1"/>
  <c r="U252" i="24"/>
  <c r="U251" i="24" s="1"/>
  <c r="U248" i="24"/>
  <c r="U247" i="24" s="1"/>
  <c r="AE109" i="20"/>
  <c r="Q109" i="20"/>
  <c r="O66" i="27"/>
  <c r="L61" i="27"/>
  <c r="AE248" i="31"/>
  <c r="AE247" i="31" s="1"/>
  <c r="AE252" i="31"/>
  <c r="AE251" i="31" s="1"/>
  <c r="AE256" i="31"/>
  <c r="AE255" i="31" s="1"/>
  <c r="P256" i="31"/>
  <c r="P255" i="31" s="1"/>
  <c r="P248" i="31"/>
  <c r="P247" i="31" s="1"/>
  <c r="P252" i="31"/>
  <c r="P251" i="31" s="1"/>
  <c r="Z272" i="20"/>
  <c r="AD248" i="20"/>
  <c r="AD247" i="20" s="1"/>
  <c r="AD256" i="20"/>
  <c r="AD255" i="20" s="1"/>
  <c r="AD252" i="20"/>
  <c r="AD251" i="20" s="1"/>
  <c r="W248" i="20"/>
  <c r="W247" i="20" s="1"/>
  <c r="W256" i="20"/>
  <c r="W255" i="20" s="1"/>
  <c r="W252" i="20"/>
  <c r="W251" i="20" s="1"/>
  <c r="Q248" i="32"/>
  <c r="Q247" i="32" s="1"/>
  <c r="Q256" i="32"/>
  <c r="Q255" i="32" s="1"/>
  <c r="Q252" i="32"/>
  <c r="Q251" i="32" s="1"/>
  <c r="AA256" i="24"/>
  <c r="AA255" i="24" s="1"/>
  <c r="AA252" i="24"/>
  <c r="AA251" i="24" s="1"/>
  <c r="AA248" i="24"/>
  <c r="AA247" i="24" s="1"/>
  <c r="CN11" i="4"/>
  <c r="CN8" i="4" s="1"/>
  <c r="EM11" i="4"/>
  <c r="EM8" i="4" s="1"/>
  <c r="AW11" i="4"/>
  <c r="AW8" i="4" s="1"/>
  <c r="CG11" i="4"/>
  <c r="CG8" i="4" s="1"/>
  <c r="BY11" i="4"/>
  <c r="BY8" i="4" s="1"/>
  <c r="AZ11" i="4"/>
  <c r="AZ8" i="4" s="1"/>
  <c r="HP11" i="4"/>
  <c r="HP8" i="4" s="1"/>
  <c r="IC11" i="4"/>
  <c r="IC8" i="4" s="1"/>
  <c r="BV11" i="4"/>
  <c r="BV8" i="4" s="1"/>
  <c r="GR11" i="4"/>
  <c r="GR8" i="4" s="1"/>
  <c r="AA11" i="4"/>
  <c r="AA8" i="4" s="1"/>
  <c r="AM11" i="4"/>
  <c r="AM8" i="4" s="1"/>
  <c r="HW11" i="4"/>
  <c r="HW8" i="4" s="1"/>
  <c r="HL11" i="4"/>
  <c r="HL8" i="4" s="1"/>
  <c r="IF11" i="4"/>
  <c r="IF8" i="4" s="1"/>
  <c r="AO11" i="4"/>
  <c r="AO8" i="4" s="1"/>
  <c r="KG11" i="4"/>
  <c r="KG8" i="4" s="1"/>
  <c r="KM11" i="4"/>
  <c r="KM8" i="4" s="1"/>
  <c r="HD11" i="4"/>
  <c r="HD8" i="4" s="1"/>
  <c r="IN11" i="4"/>
  <c r="IN8" i="4" s="1"/>
  <c r="HG11" i="4"/>
  <c r="HG8" i="4" s="1"/>
  <c r="FE11" i="4"/>
  <c r="FE8" i="4" s="1"/>
  <c r="ER11" i="4"/>
  <c r="ER8" i="4" s="1"/>
  <c r="GN11" i="4"/>
  <c r="GN8" i="4" s="1"/>
  <c r="DD11" i="4"/>
  <c r="DD8" i="4" s="1"/>
  <c r="JA11" i="4"/>
  <c r="JA8" i="4" s="1"/>
  <c r="ET11" i="4"/>
  <c r="ET8" i="4" s="1"/>
  <c r="HH11" i="4"/>
  <c r="HH8" i="4" s="1"/>
  <c r="DS11" i="4"/>
  <c r="DS8" i="4" s="1"/>
  <c r="FW11" i="4"/>
  <c r="FW8" i="4" s="1"/>
  <c r="CQ11" i="4"/>
  <c r="CQ8" i="4" s="1"/>
  <c r="HZ11" i="4"/>
  <c r="HZ8" i="4" s="1"/>
  <c r="FV11" i="4"/>
  <c r="FV8" i="4" s="1"/>
  <c r="EP11" i="4"/>
  <c r="EP8" i="4" s="1"/>
  <c r="IQ11" i="4"/>
  <c r="IQ8" i="4" s="1"/>
  <c r="BN11" i="4"/>
  <c r="BN8" i="4" s="1"/>
  <c r="CD11" i="4"/>
  <c r="CD8" i="4" s="1"/>
  <c r="BK11" i="4"/>
  <c r="BK8" i="4" s="1"/>
  <c r="JN11" i="4"/>
  <c r="JN8" i="4" s="1"/>
  <c r="IM11" i="4"/>
  <c r="IM8" i="4" s="1"/>
  <c r="EL11" i="4"/>
  <c r="EL8" i="4" s="1"/>
  <c r="ID11" i="4"/>
  <c r="ID8" i="4" s="1"/>
  <c r="GJ11" i="4"/>
  <c r="GJ8" i="4" s="1"/>
  <c r="EB11" i="4"/>
  <c r="EB8" i="4" s="1"/>
  <c r="GI11" i="4"/>
  <c r="GI8" i="4" s="1"/>
  <c r="EZ11" i="4"/>
  <c r="EZ8" i="4" s="1"/>
  <c r="HS11" i="4"/>
  <c r="HS8" i="4" s="1"/>
  <c r="JF11" i="4"/>
  <c r="JF8" i="4" s="1"/>
  <c r="AE11" i="4"/>
  <c r="AE8" i="4" s="1"/>
  <c r="CP11" i="4"/>
  <c r="CP8" i="4" s="1"/>
  <c r="FY11" i="4"/>
  <c r="FY8" i="4" s="1"/>
  <c r="FN11" i="4"/>
  <c r="FN8" i="4" s="1"/>
  <c r="FF11" i="4"/>
  <c r="FF8" i="4" s="1"/>
  <c r="GV11" i="4"/>
  <c r="GV8" i="4" s="1"/>
  <c r="DX11" i="4"/>
  <c r="DX8" i="4" s="1"/>
  <c r="JE11" i="4"/>
  <c r="JE8" i="4" s="1"/>
  <c r="IT11" i="4"/>
  <c r="IT8" i="4" s="1"/>
  <c r="BE11" i="4"/>
  <c r="BE8" i="4" s="1"/>
  <c r="HO11" i="4"/>
  <c r="HO8" i="4" s="1"/>
  <c r="EE11" i="4"/>
  <c r="EE8" i="4" s="1"/>
  <c r="CY11" i="4"/>
  <c r="CY8" i="4" s="1"/>
  <c r="AT11" i="4"/>
  <c r="AT8" i="4" s="1"/>
  <c r="DV11" i="4"/>
  <c r="DV8" i="4" s="1"/>
  <c r="HC11" i="4"/>
  <c r="HC8" i="4" s="1"/>
  <c r="HR11" i="4"/>
  <c r="HR8" i="4" s="1"/>
  <c r="IW11" i="4"/>
  <c r="IW8" i="4" s="1"/>
  <c r="KE11" i="4"/>
  <c r="KE8" i="4" s="1"/>
  <c r="DI11" i="4"/>
  <c r="DI8" i="4" s="1"/>
  <c r="CE11" i="4"/>
  <c r="CE8" i="4" s="1"/>
  <c r="AY11" i="4"/>
  <c r="AY8" i="4" s="1"/>
  <c r="FH11" i="4"/>
  <c r="FH8" i="4" s="1"/>
  <c r="EU11" i="4"/>
  <c r="EU8" i="4" s="1"/>
  <c r="ES11" i="4"/>
  <c r="ES8" i="4" s="1"/>
  <c r="IP11" i="4"/>
  <c r="IP8" i="4" s="1"/>
  <c r="BM11" i="4"/>
  <c r="BM8" i="4" s="1"/>
  <c r="I11" i="4"/>
  <c r="I8" i="4" s="1"/>
  <c r="DQ11" i="4"/>
  <c r="DQ8" i="4" s="1"/>
  <c r="FB11" i="4"/>
  <c r="FB8" i="4" s="1"/>
  <c r="CI11" i="4"/>
  <c r="CI8" i="4" s="1"/>
  <c r="IJ11" i="4"/>
  <c r="IJ8" i="4" s="1"/>
  <c r="O11" i="4"/>
  <c r="O8" i="4" s="1"/>
  <c r="FP11" i="4"/>
  <c r="FP8" i="4" s="1"/>
  <c r="KP11" i="4"/>
  <c r="KP8" i="4" s="1"/>
  <c r="FK11" i="4"/>
  <c r="FK8" i="4" s="1"/>
  <c r="BA11" i="4"/>
  <c r="BA8" i="4" s="1"/>
  <c r="GO11" i="4"/>
  <c r="GO8" i="4" s="1"/>
  <c r="EK11" i="4"/>
  <c r="EK8" i="4" s="1"/>
  <c r="GZ11" i="4"/>
  <c r="GZ8" i="4" s="1"/>
  <c r="GM11" i="4"/>
  <c r="GM8" i="4" s="1"/>
  <c r="HQ11" i="4"/>
  <c r="HQ8" i="4" s="1"/>
  <c r="KB11" i="4"/>
  <c r="KB8" i="4" s="1"/>
  <c r="AN11" i="4"/>
  <c r="AN8" i="4" s="1"/>
  <c r="EW11" i="4"/>
  <c r="EW8" i="4" s="1"/>
  <c r="IL11" i="4"/>
  <c r="IL8" i="4" s="1"/>
  <c r="FM11" i="4"/>
  <c r="FM8" i="4" s="1"/>
  <c r="E9" i="4"/>
  <c r="AQ11" i="4"/>
  <c r="AQ8" i="4" s="1"/>
  <c r="HX11" i="4"/>
  <c r="HX8" i="4" s="1"/>
  <c r="JL11" i="4"/>
  <c r="JL8" i="4" s="1"/>
  <c r="AS11" i="4"/>
  <c r="AS8" i="4" s="1"/>
  <c r="IO11" i="4"/>
  <c r="IO8" i="4" s="1"/>
  <c r="BS11" i="4"/>
  <c r="BS8" i="4" s="1"/>
  <c r="J11" i="4"/>
  <c r="J8" i="4" s="1"/>
  <c r="IB11" i="4"/>
  <c r="IB8" i="4" s="1"/>
  <c r="HA11" i="4"/>
  <c r="HA8" i="4" s="1"/>
  <c r="FQ11" i="4"/>
  <c r="FQ8" i="4" s="1"/>
  <c r="IK11" i="4"/>
  <c r="IK8" i="4" s="1"/>
  <c r="EF11" i="4"/>
  <c r="EF8" i="4" s="1"/>
  <c r="HU11" i="4"/>
  <c r="HU8" i="4" s="1"/>
  <c r="S11" i="4"/>
  <c r="S8" i="4" s="1"/>
  <c r="GT11" i="4"/>
  <c r="GT8" i="4" s="1"/>
  <c r="IE11" i="4"/>
  <c r="IE8" i="4" s="1"/>
  <c r="AH11" i="4"/>
  <c r="AH8" i="4" s="1"/>
  <c r="JW11" i="4"/>
  <c r="JW8" i="4" s="1"/>
  <c r="GF11" i="4"/>
  <c r="GF8" i="4" s="1"/>
  <c r="EG11" i="4"/>
  <c r="EG8" i="4" s="1"/>
  <c r="HJ11" i="4"/>
  <c r="HJ8" i="4" s="1"/>
  <c r="HB11" i="4"/>
  <c r="HB8" i="4" s="1"/>
  <c r="AK11" i="4"/>
  <c r="AK8" i="4" s="1"/>
  <c r="JD11" i="4"/>
  <c r="JD8" i="4" s="1"/>
  <c r="KF11" i="4"/>
  <c r="KF8" i="4" s="1"/>
  <c r="JY11" i="4"/>
  <c r="JY8" i="4" s="1"/>
  <c r="DN11" i="4"/>
  <c r="DN8" i="4" s="1"/>
  <c r="DJ11" i="4"/>
  <c r="DJ8" i="4" s="1"/>
  <c r="BG11" i="4"/>
  <c r="BG8" i="4" s="1"/>
  <c r="CZ11" i="4"/>
  <c r="CZ8" i="4" s="1"/>
  <c r="EQ11" i="4"/>
  <c r="EQ8" i="4" s="1"/>
  <c r="CC11" i="4"/>
  <c r="CC8" i="4" s="1"/>
  <c r="FG11" i="4"/>
  <c r="FG8" i="4" s="1"/>
  <c r="CK11" i="4"/>
  <c r="CK8" i="4" s="1"/>
  <c r="F11" i="4"/>
  <c r="F8" i="4" s="1"/>
  <c r="GW11" i="4"/>
  <c r="GW8" i="4" s="1"/>
  <c r="IH11" i="4"/>
  <c r="IH8" i="4" s="1"/>
  <c r="KI11" i="4"/>
  <c r="KI8" i="4" s="1"/>
  <c r="JX11" i="4"/>
  <c r="JX8" i="4" s="1"/>
  <c r="GB11" i="4"/>
  <c r="GB8" i="4" s="1"/>
  <c r="K11" i="4"/>
  <c r="K8" i="4" s="1"/>
  <c r="DK11" i="4"/>
  <c r="DK8" i="4" s="1"/>
  <c r="IX11" i="4"/>
  <c r="IX8" i="4" s="1"/>
  <c r="AU11" i="4"/>
  <c r="AU8" i="4" s="1"/>
  <c r="BJ11" i="4"/>
  <c r="BJ8" i="4" s="1"/>
  <c r="EV11" i="4"/>
  <c r="EV8" i="4" s="1"/>
  <c r="FO11" i="4"/>
  <c r="FO8" i="4" s="1"/>
  <c r="JM11" i="4"/>
  <c r="JM8" i="4" s="1"/>
  <c r="CF11" i="4"/>
  <c r="CF8" i="4" s="1"/>
  <c r="GQ11" i="4"/>
  <c r="GQ8" i="4" s="1"/>
  <c r="BI11" i="4"/>
  <c r="BI8" i="4" s="1"/>
  <c r="BQ11" i="4"/>
  <c r="BQ8" i="4" s="1"/>
  <c r="DT11" i="4"/>
  <c r="DT8" i="4" s="1"/>
  <c r="CL11" i="4"/>
  <c r="CL8" i="4" s="1"/>
  <c r="JI11" i="4"/>
  <c r="JI8" i="4" s="1"/>
  <c r="BD11" i="4"/>
  <c r="BD8" i="4" s="1"/>
  <c r="IR11" i="4"/>
  <c r="IR8" i="4" s="1"/>
  <c r="KA11" i="4"/>
  <c r="KA8" i="4" s="1"/>
  <c r="JV11" i="4"/>
  <c r="JV8" i="4" s="1"/>
  <c r="E11" i="4"/>
  <c r="FS11" i="4"/>
  <c r="FS8" i="4" s="1"/>
  <c r="AF11" i="4"/>
  <c r="AF8" i="4" s="1"/>
  <c r="JR11" i="4"/>
  <c r="JR8" i="4" s="1"/>
  <c r="JQ11" i="4"/>
  <c r="JQ8" i="4" s="1"/>
  <c r="M11" i="4"/>
  <c r="M8" i="4" s="1"/>
  <c r="HK11" i="4"/>
  <c r="HK8" i="4" s="1"/>
  <c r="FR11" i="4"/>
  <c r="FR8" i="4" s="1"/>
  <c r="JT11" i="4"/>
  <c r="JT8" i="4" s="1"/>
  <c r="HV11" i="4"/>
  <c r="HV8" i="4" s="1"/>
  <c r="KJ11" i="4"/>
  <c r="KJ8" i="4" s="1"/>
  <c r="DO11" i="4"/>
  <c r="DO8" i="4" s="1"/>
  <c r="CH11" i="4"/>
  <c r="CH8" i="4" s="1"/>
  <c r="FI11" i="4"/>
  <c r="FI8" i="4" s="1"/>
  <c r="FX11" i="4"/>
  <c r="FX8" i="4" s="1"/>
  <c r="BT11" i="4"/>
  <c r="BT8" i="4" s="1"/>
  <c r="N11" i="4"/>
  <c r="N8" i="4" s="1"/>
  <c r="HM11" i="4"/>
  <c r="HM8" i="4" s="1"/>
  <c r="AI11" i="4"/>
  <c r="AI8" i="4" s="1"/>
  <c r="ED11" i="4"/>
  <c r="ED8" i="4" s="1"/>
  <c r="FU11" i="4"/>
  <c r="FU8" i="4" s="1"/>
  <c r="GD11" i="4"/>
  <c r="GD8" i="4" s="1"/>
  <c r="JJ11" i="4"/>
  <c r="JJ8" i="4" s="1"/>
  <c r="AB11" i="4"/>
  <c r="AB8" i="4" s="1"/>
  <c r="CU11" i="4"/>
  <c r="CU8" i="4" s="1"/>
  <c r="FC11" i="4"/>
  <c r="FC8" i="4" s="1"/>
  <c r="HN11" i="4"/>
  <c r="HN8" i="4" s="1"/>
  <c r="U11" i="4"/>
  <c r="U8" i="4" s="1"/>
  <c r="JP11" i="4"/>
  <c r="JP8" i="4" s="1"/>
  <c r="CO11" i="4"/>
  <c r="CO8" i="4" s="1"/>
  <c r="T11" i="4"/>
  <c r="T8" i="4" s="1"/>
  <c r="GA11" i="4"/>
  <c r="GA8" i="4" s="1"/>
  <c r="DW11" i="4"/>
  <c r="DW8" i="4" s="1"/>
  <c r="DM11" i="4"/>
  <c r="DM8" i="4" s="1"/>
  <c r="GY11" i="4"/>
  <c r="GY8" i="4" s="1"/>
  <c r="Z11" i="4"/>
  <c r="Z8" i="4" s="1"/>
  <c r="L11" i="4"/>
  <c r="L8" i="4" s="1"/>
  <c r="IA11" i="4"/>
  <c r="IA8" i="4" s="1"/>
  <c r="DL11" i="4"/>
  <c r="DL8" i="4" s="1"/>
  <c r="CB11" i="4"/>
  <c r="CB8" i="4" s="1"/>
  <c r="R11" i="4"/>
  <c r="R8" i="4" s="1"/>
  <c r="AG11" i="4"/>
  <c r="AG8" i="4" s="1"/>
  <c r="DB11" i="4"/>
  <c r="DB8" i="4" s="1"/>
  <c r="JU11" i="4"/>
  <c r="JU8" i="4" s="1"/>
  <c r="JB11" i="4"/>
  <c r="JB8" i="4" s="1"/>
  <c r="GU11" i="4"/>
  <c r="GU8" i="4" s="1"/>
  <c r="AD11" i="4"/>
  <c r="AD8" i="4" s="1"/>
  <c r="GK11" i="4"/>
  <c r="GK8" i="4" s="1"/>
  <c r="CV11" i="4"/>
  <c r="CV8" i="4" s="1"/>
  <c r="JZ11" i="4"/>
  <c r="JZ8" i="4" s="1"/>
  <c r="CX11" i="4"/>
  <c r="CX8" i="4" s="1"/>
  <c r="HF11" i="4"/>
  <c r="HF8" i="4" s="1"/>
  <c r="AC11" i="4"/>
  <c r="CJ11" i="4"/>
  <c r="CJ8" i="4" s="1"/>
  <c r="EC11" i="4"/>
  <c r="EC8" i="4" s="1"/>
  <c r="CA11" i="4"/>
  <c r="CA8" i="4" s="1"/>
  <c r="EJ11" i="4"/>
  <c r="EJ8" i="4" s="1"/>
  <c r="AR11" i="4"/>
  <c r="AR8" i="4" s="1"/>
  <c r="KL11" i="4"/>
  <c r="KL8" i="4" s="1"/>
  <c r="FL11" i="4"/>
  <c r="FL8" i="4" s="1"/>
  <c r="IY11" i="4"/>
  <c r="IY8" i="4" s="1"/>
  <c r="JH11" i="4"/>
  <c r="JH8" i="4" s="1"/>
  <c r="CT11" i="4"/>
  <c r="CT8" i="4" s="1"/>
  <c r="KH11" i="4"/>
  <c r="KH8" i="4" s="1"/>
  <c r="V11" i="4"/>
  <c r="V8" i="4" s="1"/>
  <c r="CM11" i="4"/>
  <c r="CM8" i="4" s="1"/>
  <c r="X11" i="4"/>
  <c r="X8" i="4" s="1"/>
  <c r="BH11" i="4"/>
  <c r="BH8" i="4" s="1"/>
  <c r="JG11" i="4"/>
  <c r="JG8" i="4" s="1"/>
  <c r="BZ11" i="4"/>
  <c r="BZ8" i="4" s="1"/>
  <c r="BR11" i="4"/>
  <c r="BR8" i="4" s="1"/>
  <c r="AV11" i="4"/>
  <c r="AV8" i="4" s="1"/>
  <c r="FZ11" i="4"/>
  <c r="FZ8" i="4" s="1"/>
  <c r="JO11" i="4"/>
  <c r="JO8" i="4" s="1"/>
  <c r="BP11" i="4"/>
  <c r="BP8" i="4" s="1"/>
  <c r="BU11" i="4"/>
  <c r="BU8" i="4" s="1"/>
  <c r="IZ11" i="4"/>
  <c r="IZ8" i="4" s="1"/>
  <c r="BX11" i="4"/>
  <c r="BX8" i="4" s="1"/>
  <c r="HI11" i="4"/>
  <c r="HI8" i="4" s="1"/>
  <c r="EO11" i="4"/>
  <c r="EO8" i="4" s="1"/>
  <c r="H11" i="4"/>
  <c r="H8" i="4" s="1"/>
  <c r="CW11" i="4"/>
  <c r="CW8" i="4" s="1"/>
  <c r="KN11" i="4"/>
  <c r="KN8" i="4" s="1"/>
  <c r="GG11" i="4"/>
  <c r="GG8" i="4" s="1"/>
  <c r="Q11" i="4"/>
  <c r="HY11" i="4"/>
  <c r="HY8" i="4" s="1"/>
  <c r="HL9" i="4"/>
  <c r="JP9" i="4"/>
  <c r="IV11" i="4"/>
  <c r="IV8" i="4" s="1"/>
  <c r="W11" i="4"/>
  <c r="W8" i="4" s="1"/>
  <c r="P11" i="4"/>
  <c r="P8" i="4" s="1"/>
  <c r="EA11" i="4"/>
  <c r="EA8" i="4" s="1"/>
  <c r="IG11" i="4"/>
  <c r="IG8" i="4" s="1"/>
  <c r="DA11" i="4"/>
  <c r="DA8" i="4" s="1"/>
  <c r="BW11" i="4"/>
  <c r="BW8" i="4" s="1"/>
  <c r="HE11" i="4"/>
  <c r="HE8" i="4" s="1"/>
  <c r="GP11" i="4"/>
  <c r="GP8" i="4" s="1"/>
  <c r="DU11" i="4"/>
  <c r="DU8" i="4" s="1"/>
  <c r="KD11" i="4"/>
  <c r="KD8" i="4" s="1"/>
  <c r="JC11" i="4"/>
  <c r="JC8" i="4" s="1"/>
  <c r="W9" i="4"/>
  <c r="BF11" i="4"/>
  <c r="BF8" i="4" s="1"/>
  <c r="IU11" i="4"/>
  <c r="IU8" i="4" s="1"/>
  <c r="FA11" i="4"/>
  <c r="FA8" i="4" s="1"/>
  <c r="DZ11" i="4"/>
  <c r="DZ8" i="4" s="1"/>
  <c r="Y11" i="4"/>
  <c r="Y8" i="4" s="1"/>
  <c r="AP11" i="4"/>
  <c r="AP8" i="4" s="1"/>
  <c r="DC11" i="4"/>
  <c r="DC8" i="4" s="1"/>
  <c r="DP11" i="4"/>
  <c r="DP8" i="4" s="1"/>
  <c r="DF11" i="4"/>
  <c r="DF8" i="4" s="1"/>
  <c r="DG11" i="4"/>
  <c r="DG8" i="4" s="1"/>
  <c r="CR11" i="4"/>
  <c r="CR8" i="4" s="1"/>
  <c r="BO11" i="4"/>
  <c r="BO8" i="4" s="1"/>
  <c r="KC11" i="4"/>
  <c r="KC8" i="4" s="1"/>
  <c r="FJ11" i="4"/>
  <c r="FJ8" i="4" s="1"/>
  <c r="AX11" i="4"/>
  <c r="AX8" i="4" s="1"/>
  <c r="AJ11" i="4"/>
  <c r="AJ8" i="4" s="1"/>
  <c r="AL11" i="4"/>
  <c r="AL8" i="4" s="1"/>
  <c r="FD11" i="4"/>
  <c r="FD8" i="4" s="1"/>
  <c r="DR11" i="4"/>
  <c r="DR8" i="4" s="1"/>
  <c r="BL11" i="4"/>
  <c r="BL8" i="4" s="1"/>
  <c r="EF9" i="4"/>
  <c r="IP9" i="4"/>
  <c r="EH11" i="4"/>
  <c r="EH8" i="4" s="1"/>
  <c r="G11" i="4"/>
  <c r="G8" i="4" s="1"/>
  <c r="HT11" i="4"/>
  <c r="HT8" i="4" s="1"/>
  <c r="FT11" i="4"/>
  <c r="FT8" i="4" s="1"/>
  <c r="IS11" i="4"/>
  <c r="IS8" i="4" s="1"/>
  <c r="EI11" i="4"/>
  <c r="EI8" i="4" s="1"/>
  <c r="KO11" i="4"/>
  <c r="KO8" i="4" s="1"/>
  <c r="GC11" i="4"/>
  <c r="GC8" i="4" s="1"/>
  <c r="GL11" i="4"/>
  <c r="GL8" i="4" s="1"/>
  <c r="BB11" i="4"/>
  <c r="BB8" i="4" s="1"/>
  <c r="II11" i="4"/>
  <c r="II8" i="4" s="1"/>
  <c r="GH11" i="4"/>
  <c r="GH8" i="4" s="1"/>
  <c r="CS11" i="4"/>
  <c r="CS8" i="4" s="1"/>
  <c r="JS11" i="4"/>
  <c r="JS8" i="4" s="1"/>
  <c r="EX11" i="4"/>
  <c r="EX8" i="4" s="1"/>
  <c r="KQ11" i="4"/>
  <c r="KQ8" i="4" s="1"/>
  <c r="DE11" i="4"/>
  <c r="DE8" i="4" s="1"/>
  <c r="GS11" i="4"/>
  <c r="GS8" i="4" s="1"/>
  <c r="EY11" i="4"/>
  <c r="EY8" i="4" s="1"/>
  <c r="GM9" i="4"/>
  <c r="KD9" i="4"/>
  <c r="AE9" i="4"/>
  <c r="BS9" i="4"/>
  <c r="BC9" i="4"/>
  <c r="GT9" i="4"/>
  <c r="DD9" i="4"/>
  <c r="DJ9" i="4"/>
  <c r="KB9" i="4"/>
  <c r="F9" i="4"/>
  <c r="M9" i="4"/>
  <c r="AH9" i="4"/>
  <c r="DC9" i="4"/>
  <c r="FY9" i="4"/>
  <c r="ET9" i="4"/>
  <c r="EM9" i="4"/>
  <c r="AK9" i="4"/>
  <c r="GV9" i="4"/>
  <c r="CY9" i="4"/>
  <c r="X9" i="4"/>
  <c r="DH9" i="4"/>
  <c r="DK9" i="4"/>
  <c r="F17" i="4"/>
  <c r="DL9" i="4"/>
  <c r="DH11" i="4"/>
  <c r="DH8" i="4" s="1"/>
  <c r="V9" i="4"/>
  <c r="GA9" i="4"/>
  <c r="BK9" i="4"/>
  <c r="CM9" i="4"/>
  <c r="EU9" i="4"/>
  <c r="JH9" i="4"/>
  <c r="AX9" i="4"/>
  <c r="GJ9" i="4"/>
  <c r="AR9" i="4"/>
  <c r="JB9" i="4"/>
  <c r="BZ9" i="4"/>
  <c r="ES9" i="4"/>
  <c r="IG9" i="4"/>
  <c r="JY9" i="4"/>
  <c r="IH9" i="4"/>
  <c r="DS9" i="4"/>
  <c r="CO9" i="4"/>
  <c r="CQ9" i="4"/>
  <c r="HG9" i="4"/>
  <c r="FK9" i="4"/>
  <c r="GN9" i="4"/>
  <c r="AG9" i="4"/>
  <c r="IC9" i="4"/>
  <c r="II9" i="4"/>
  <c r="GO9" i="4"/>
  <c r="CT9" i="4"/>
  <c r="CA9" i="4"/>
  <c r="I9" i="4"/>
  <c r="HR9" i="4"/>
  <c r="AB9" i="4"/>
  <c r="JF9" i="4"/>
  <c r="DP9" i="4"/>
  <c r="KK9" i="4"/>
  <c r="EP9" i="4"/>
  <c r="BH9" i="4"/>
  <c r="GP9" i="4"/>
  <c r="CX9" i="4"/>
  <c r="DX9" i="4"/>
  <c r="S9" i="4"/>
  <c r="J9" i="4"/>
  <c r="DG9" i="4"/>
  <c r="IL9" i="4"/>
  <c r="GD9" i="4"/>
  <c r="IQ9" i="4"/>
  <c r="DY9" i="4"/>
  <c r="FD9" i="4"/>
  <c r="JE9" i="4"/>
  <c r="DI9" i="4"/>
  <c r="KR11" i="4"/>
  <c r="KR8" i="4" s="1"/>
  <c r="CR9" i="4"/>
  <c r="AY9" i="4"/>
  <c r="IT9" i="4"/>
  <c r="EE9" i="4"/>
  <c r="JV9" i="4"/>
  <c r="BY9" i="4"/>
  <c r="CN9" i="4"/>
  <c r="FQ9" i="4"/>
  <c r="BJ9" i="4"/>
  <c r="HS9" i="4"/>
  <c r="IJ9" i="4"/>
  <c r="FJ9" i="4"/>
  <c r="EX9" i="4"/>
  <c r="JA9" i="4"/>
  <c r="EC9" i="4"/>
  <c r="IO9" i="4"/>
  <c r="AQ9" i="4"/>
  <c r="IS9" i="4"/>
  <c r="HW9" i="4"/>
  <c r="FO9" i="4"/>
  <c r="FC9" i="4"/>
  <c r="IW9" i="4"/>
  <c r="FU9" i="4"/>
  <c r="KA9" i="4"/>
  <c r="BQ9" i="4"/>
  <c r="BC11" i="4"/>
  <c r="BC8" i="4" s="1"/>
  <c r="CW9" i="4"/>
  <c r="CG9" i="4"/>
  <c r="EZ9" i="4"/>
  <c r="AM9" i="4"/>
  <c r="GU9" i="4"/>
  <c r="Z9" i="4"/>
  <c r="BB9" i="4"/>
  <c r="DQ9" i="4"/>
  <c r="EA9" i="4"/>
  <c r="JQ9" i="4"/>
  <c r="JG9" i="4"/>
  <c r="AO9" i="4"/>
  <c r="EN9" i="4"/>
  <c r="FR9" i="4"/>
  <c r="CD9" i="4"/>
  <c r="GB9" i="4"/>
  <c r="BU9" i="4"/>
  <c r="IR9" i="4"/>
  <c r="BO9" i="4"/>
  <c r="EV9" i="4"/>
  <c r="GY9" i="4"/>
  <c r="EI9" i="4"/>
  <c r="GI9" i="4"/>
  <c r="CB9" i="4"/>
  <c r="AT9" i="4"/>
  <c r="HI9" i="4"/>
  <c r="AU9" i="4"/>
  <c r="EQ9" i="4"/>
  <c r="IZ9" i="4"/>
  <c r="O9" i="4"/>
  <c r="GR9" i="4"/>
  <c r="AD9" i="4"/>
  <c r="JS9" i="4"/>
  <c r="Q9" i="4"/>
  <c r="BG9" i="4"/>
  <c r="AN9" i="4"/>
  <c r="KF9" i="4"/>
  <c r="HX9" i="4"/>
  <c r="CI9" i="4"/>
  <c r="HY9" i="4"/>
  <c r="EG9" i="4"/>
  <c r="IB9" i="4"/>
  <c r="IY9" i="4"/>
  <c r="CF9" i="4"/>
  <c r="GZ9" i="4"/>
  <c r="G9" i="4"/>
  <c r="BR9" i="4"/>
  <c r="JW9" i="4"/>
  <c r="AS9" i="4"/>
  <c r="FP9" i="4"/>
  <c r="KK11" i="4"/>
  <c r="KK8" i="4" s="1"/>
  <c r="KE9" i="4"/>
  <c r="GE9" i="4"/>
  <c r="HV9" i="4"/>
  <c r="ED9" i="4"/>
  <c r="FI9" i="4"/>
  <c r="U9" i="4"/>
  <c r="CJ9" i="4"/>
  <c r="L9" i="4"/>
  <c r="BT9" i="4"/>
  <c r="CP9" i="4"/>
  <c r="R9" i="4"/>
  <c r="EL9" i="4"/>
  <c r="T9" i="4"/>
  <c r="IX9" i="4"/>
  <c r="BM9" i="4"/>
  <c r="KQ9" i="4"/>
  <c r="AV9" i="4"/>
  <c r="BV9" i="4"/>
  <c r="IF9" i="4"/>
  <c r="HJ9" i="4"/>
  <c r="GH9" i="4"/>
  <c r="BI9" i="4"/>
  <c r="JO9" i="4"/>
  <c r="KM9" i="4"/>
  <c r="FW9" i="4"/>
  <c r="GE11" i="4"/>
  <c r="GE8" i="4" s="1"/>
  <c r="JK11" i="4"/>
  <c r="JK8" i="4" s="1"/>
  <c r="HT9" i="4"/>
  <c r="AP9" i="4"/>
  <c r="GC9" i="4"/>
  <c r="DN9" i="4"/>
  <c r="DM9" i="4"/>
  <c r="FE9" i="4"/>
  <c r="FX9" i="4"/>
  <c r="DU9" i="4"/>
  <c r="AJ9" i="4"/>
  <c r="KH9" i="4"/>
  <c r="CH9" i="4"/>
  <c r="IU9" i="4"/>
  <c r="JI9" i="4"/>
  <c r="DO9" i="4"/>
  <c r="CS9" i="4"/>
  <c r="BE9" i="4"/>
  <c r="ER9" i="4"/>
  <c r="CZ9" i="4"/>
  <c r="AF9" i="4"/>
  <c r="FM9" i="4"/>
  <c r="GW9" i="4"/>
  <c r="CL9" i="4"/>
  <c r="FF9" i="4"/>
  <c r="CV9" i="4"/>
  <c r="JC9" i="4"/>
  <c r="DY11" i="4"/>
  <c r="DY8" i="4" s="1"/>
  <c r="EJ9" i="4"/>
  <c r="BP9" i="4"/>
  <c r="JZ9" i="4"/>
  <c r="H9" i="4"/>
  <c r="HP9" i="4"/>
  <c r="HK9" i="4"/>
  <c r="KR9" i="4"/>
  <c r="CU9" i="4"/>
  <c r="GL9" i="4"/>
  <c r="K9" i="4"/>
  <c r="EB9" i="4"/>
  <c r="Y9" i="4"/>
  <c r="AW9" i="4"/>
  <c r="EH9" i="4"/>
  <c r="HB9" i="4"/>
  <c r="GG9" i="4"/>
  <c r="HF9" i="4"/>
  <c r="IK9" i="4"/>
  <c r="HD9" i="4"/>
  <c r="DR9" i="4"/>
  <c r="HZ9" i="4"/>
  <c r="IV9" i="4"/>
  <c r="AA9" i="4"/>
  <c r="BW9" i="4"/>
  <c r="HU9" i="4"/>
  <c r="GX11" i="4"/>
  <c r="GX8" i="4" s="1"/>
  <c r="EN11" i="4"/>
  <c r="EN8" i="4" s="1"/>
  <c r="EO9" i="4"/>
  <c r="JX9" i="4"/>
  <c r="FG9" i="4"/>
  <c r="DT9" i="4"/>
  <c r="HO9" i="4"/>
  <c r="N9" i="4"/>
  <c r="HM9" i="4"/>
  <c r="AL9" i="4"/>
  <c r="JR9" i="4"/>
  <c r="BL9" i="4"/>
  <c r="DB9" i="4"/>
  <c r="DV9" i="4"/>
  <c r="FB9" i="4"/>
  <c r="FH9" i="4"/>
  <c r="DZ9" i="4"/>
  <c r="ID9" i="4"/>
  <c r="GK9" i="4"/>
  <c r="FN9" i="4"/>
  <c r="JU9" i="4"/>
  <c r="HC9" i="4"/>
  <c r="EY9" i="4"/>
  <c r="BD9" i="4"/>
  <c r="JL9" i="4"/>
  <c r="P9" i="4"/>
  <c r="DF9" i="4"/>
  <c r="IM9" i="4"/>
  <c r="HH9" i="4"/>
  <c r="IA9" i="4"/>
  <c r="IE9" i="4"/>
  <c r="EW9" i="4"/>
  <c r="KG9" i="4"/>
  <c r="HQ9" i="4"/>
  <c r="AI9" i="4"/>
  <c r="HE9" i="4"/>
  <c r="KC9" i="4"/>
  <c r="BF9" i="4"/>
  <c r="KO9" i="4"/>
  <c r="JM9" i="4"/>
  <c r="FZ9" i="4"/>
  <c r="IN9" i="4"/>
  <c r="GX9" i="4"/>
  <c r="FV9" i="4"/>
  <c r="KJ9" i="4"/>
  <c r="FA9" i="4"/>
  <c r="HA9" i="4"/>
  <c r="BA9" i="4"/>
  <c r="KL9" i="4"/>
  <c r="KI9" i="4"/>
  <c r="DE9" i="4"/>
  <c r="FS9" i="4"/>
  <c r="FL9" i="4"/>
  <c r="KP9" i="4"/>
  <c r="DA9" i="4"/>
  <c r="JJ9" i="4"/>
  <c r="JT9" i="4"/>
  <c r="DW9" i="4"/>
  <c r="CK9" i="4"/>
  <c r="FT9" i="4"/>
  <c r="BX9" i="4"/>
  <c r="GQ9" i="4"/>
  <c r="HN9" i="4"/>
  <c r="CE9" i="4"/>
  <c r="BN9" i="4"/>
  <c r="GS9" i="4"/>
  <c r="KN9" i="4"/>
  <c r="AZ9" i="4"/>
  <c r="CC9" i="4"/>
  <c r="AC9" i="4"/>
  <c r="EK9" i="4"/>
  <c r="JK9" i="4"/>
  <c r="GF9" i="4"/>
  <c r="JN9" i="4"/>
  <c r="JD9" i="4"/>
  <c r="U256" i="31"/>
  <c r="U255" i="31" s="1"/>
  <c r="U252" i="31"/>
  <c r="U251" i="31" s="1"/>
  <c r="U248" i="31"/>
  <c r="U247" i="31" s="1"/>
  <c r="AJ256" i="20"/>
  <c r="AJ255" i="20" s="1"/>
  <c r="AJ252" i="20"/>
  <c r="AJ251" i="20" s="1"/>
  <c r="AJ248" i="20"/>
  <c r="AJ247" i="20" s="1"/>
  <c r="AK252" i="32"/>
  <c r="AK251" i="32" s="1"/>
  <c r="AK248" i="32"/>
  <c r="AK247" i="32" s="1"/>
  <c r="AK256" i="32"/>
  <c r="AK255" i="32" s="1"/>
  <c r="T109" i="20"/>
  <c r="AL252" i="20"/>
  <c r="AL251" i="20" s="1"/>
  <c r="AL248" i="20"/>
  <c r="AL247" i="20" s="1"/>
  <c r="AL256" i="20"/>
  <c r="AL255" i="20" s="1"/>
  <c r="R256" i="27"/>
  <c r="R255" i="27" s="1"/>
  <c r="R248" i="27"/>
  <c r="R247" i="27" s="1"/>
  <c r="R252" i="27"/>
  <c r="R251" i="27" s="1"/>
  <c r="Y109" i="20"/>
  <c r="AA248" i="27"/>
  <c r="AA247" i="27" s="1"/>
  <c r="AA252" i="27"/>
  <c r="AA251" i="27" s="1"/>
  <c r="AA256" i="27"/>
  <c r="AA255" i="27" s="1"/>
  <c r="V252" i="32"/>
  <c r="V251" i="32" s="1"/>
  <c r="V256" i="32"/>
  <c r="V255" i="32" s="1"/>
  <c r="V248" i="32"/>
  <c r="V247" i="32" s="1"/>
  <c r="T256" i="31"/>
  <c r="T255" i="31" s="1"/>
  <c r="T252" i="31"/>
  <c r="T251" i="31" s="1"/>
  <c r="T248" i="31"/>
  <c r="T247" i="31" s="1"/>
  <c r="AA272" i="20"/>
  <c r="Z252" i="32"/>
  <c r="Z251" i="32" s="1"/>
  <c r="Z256" i="32"/>
  <c r="Z255" i="32" s="1"/>
  <c r="Z248" i="32"/>
  <c r="Z247" i="32" s="1"/>
  <c r="AM256" i="32"/>
  <c r="AM255" i="32" s="1"/>
  <c r="AM252" i="32"/>
  <c r="AM251" i="32" s="1"/>
  <c r="AM248" i="32"/>
  <c r="AM247" i="32" s="1"/>
  <c r="AH256" i="20"/>
  <c r="AH255" i="20" s="1"/>
  <c r="AH248" i="20"/>
  <c r="AH247" i="20" s="1"/>
  <c r="AH252" i="20"/>
  <c r="AH251" i="20" s="1"/>
  <c r="O248" i="32"/>
  <c r="O256" i="32"/>
  <c r="O255" i="32" s="1"/>
  <c r="L245" i="32"/>
  <c r="O252" i="32"/>
  <c r="O251" i="32" s="1"/>
  <c r="AL272" i="20"/>
  <c r="P133" i="24"/>
  <c r="P131" i="24"/>
  <c r="P135" i="24"/>
  <c r="AI252" i="32"/>
  <c r="AI251" i="32" s="1"/>
  <c r="AI248" i="32"/>
  <c r="AI247" i="32" s="1"/>
  <c r="AI256" i="32"/>
  <c r="AI255" i="32" s="1"/>
  <c r="AL248" i="31"/>
  <c r="AL247" i="31" s="1"/>
  <c r="AL256" i="31"/>
  <c r="AL255" i="31" s="1"/>
  <c r="AL252" i="31"/>
  <c r="AL251" i="31" s="1"/>
  <c r="AL252" i="24"/>
  <c r="AL251" i="24" s="1"/>
  <c r="AL248" i="24"/>
  <c r="AL247" i="24" s="1"/>
  <c r="AL256" i="24"/>
  <c r="AL255" i="24" s="1"/>
  <c r="S256" i="32"/>
  <c r="S255" i="32" s="1"/>
  <c r="S252" i="32"/>
  <c r="S251" i="32" s="1"/>
  <c r="S248" i="32"/>
  <c r="S247" i="32" s="1"/>
  <c r="AG256" i="20"/>
  <c r="AG255" i="20" s="1"/>
  <c r="AG248" i="20"/>
  <c r="AG247" i="20" s="1"/>
  <c r="AG252" i="20"/>
  <c r="AG251" i="20" s="1"/>
  <c r="Y272" i="20"/>
  <c r="AE272" i="20"/>
  <c r="L61" i="24"/>
  <c r="O66" i="24"/>
  <c r="AC109" i="20"/>
  <c r="AG272" i="20"/>
  <c r="W248" i="24"/>
  <c r="W247" i="24" s="1"/>
  <c r="W256" i="24"/>
  <c r="W255" i="24" s="1"/>
  <c r="W252" i="24"/>
  <c r="W251" i="24" s="1"/>
  <c r="Z256" i="24"/>
  <c r="Z255" i="24" s="1"/>
  <c r="Z248" i="24"/>
  <c r="Z247" i="24" s="1"/>
  <c r="Z252" i="24"/>
  <c r="Z251" i="24" s="1"/>
  <c r="AK252" i="20"/>
  <c r="AK251" i="20" s="1"/>
  <c r="AK256" i="20"/>
  <c r="AK255" i="20" s="1"/>
  <c r="AK248" i="20"/>
  <c r="AK247" i="20" s="1"/>
  <c r="S109" i="20"/>
  <c r="U256" i="27"/>
  <c r="U255" i="27" s="1"/>
  <c r="U252" i="27"/>
  <c r="U251" i="27" s="1"/>
  <c r="U248" i="27"/>
  <c r="U247" i="27" s="1"/>
  <c r="AE252" i="24"/>
  <c r="AE251" i="24" s="1"/>
  <c r="AE256" i="24"/>
  <c r="AE255" i="24" s="1"/>
  <c r="AE248" i="24"/>
  <c r="AE247" i="24" s="1"/>
  <c r="U256" i="32"/>
  <c r="U255" i="32" s="1"/>
  <c r="U252" i="32"/>
  <c r="U251" i="32" s="1"/>
  <c r="U248" i="32"/>
  <c r="U247" i="32" s="1"/>
  <c r="AB252" i="32"/>
  <c r="AB251" i="32" s="1"/>
  <c r="AB256" i="32"/>
  <c r="AB255" i="32" s="1"/>
  <c r="AB248" i="32"/>
  <c r="AB247" i="32" s="1"/>
  <c r="T248" i="27"/>
  <c r="T247" i="27" s="1"/>
  <c r="T256" i="27"/>
  <c r="T255" i="27" s="1"/>
  <c r="T252" i="27"/>
  <c r="T251" i="27" s="1"/>
  <c r="AB109" i="20"/>
  <c r="X248" i="24"/>
  <c r="X247" i="24" s="1"/>
  <c r="X256" i="24"/>
  <c r="X255" i="24" s="1"/>
  <c r="X252" i="24"/>
  <c r="X251" i="24" s="1"/>
  <c r="AB256" i="31"/>
  <c r="AB255" i="31" s="1"/>
  <c r="AB252" i="31"/>
  <c r="AB251" i="31" s="1"/>
  <c r="AB248" i="31"/>
  <c r="AB247" i="31" s="1"/>
  <c r="AM248" i="24"/>
  <c r="AM247" i="24" s="1"/>
  <c r="AM256" i="24"/>
  <c r="AM255" i="24" s="1"/>
  <c r="AM252" i="24"/>
  <c r="AM251" i="24" s="1"/>
  <c r="AC248" i="27"/>
  <c r="AC247" i="27" s="1"/>
  <c r="AC252" i="27"/>
  <c r="AC251" i="27" s="1"/>
  <c r="AC256" i="27"/>
  <c r="AC255" i="27" s="1"/>
  <c r="AG252" i="32"/>
  <c r="AG251" i="32" s="1"/>
  <c r="AG256" i="32"/>
  <c r="AG255" i="32" s="1"/>
  <c r="AG248" i="32"/>
  <c r="AG247" i="32" s="1"/>
  <c r="T252" i="24"/>
  <c r="T251" i="24" s="1"/>
  <c r="T256" i="24"/>
  <c r="T255" i="24" s="1"/>
  <c r="T248" i="24"/>
  <c r="T247" i="24" s="1"/>
  <c r="W256" i="31"/>
  <c r="W255" i="31" s="1"/>
  <c r="W252" i="31"/>
  <c r="W251" i="31" s="1"/>
  <c r="W248" i="31"/>
  <c r="W247" i="31" s="1"/>
  <c r="O272" i="20"/>
  <c r="AB252" i="24"/>
  <c r="AB251" i="24" s="1"/>
  <c r="AB256" i="24"/>
  <c r="AB255" i="24" s="1"/>
  <c r="AB248" i="24"/>
  <c r="AB247" i="24" s="1"/>
  <c r="W109" i="20"/>
  <c r="T272" i="20"/>
  <c r="L245" i="31"/>
  <c r="AH248" i="31"/>
  <c r="AH247" i="31" s="1"/>
  <c r="AH256" i="31"/>
  <c r="AH255" i="31" s="1"/>
  <c r="AH252" i="31"/>
  <c r="AH251" i="31" s="1"/>
  <c r="Q248" i="24"/>
  <c r="Q247" i="24" s="1"/>
  <c r="Q256" i="24"/>
  <c r="Q255" i="24" s="1"/>
  <c r="Q252" i="24"/>
  <c r="Q251" i="24" s="1"/>
  <c r="AD109" i="20"/>
  <c r="AJ248" i="32"/>
  <c r="AJ247" i="32" s="1"/>
  <c r="AJ252" i="32"/>
  <c r="AJ251" i="32" s="1"/>
  <c r="AJ256" i="32"/>
  <c r="AJ255" i="32" s="1"/>
  <c r="S248" i="31"/>
  <c r="S247" i="31" s="1"/>
  <c r="S252" i="31"/>
  <c r="S251" i="31" s="1"/>
  <c r="S256" i="31"/>
  <c r="S255" i="31" s="1"/>
  <c r="AH248" i="27"/>
  <c r="AH247" i="27" s="1"/>
  <c r="AH252" i="27"/>
  <c r="AH251" i="27" s="1"/>
  <c r="AH256" i="27"/>
  <c r="AH255" i="27" s="1"/>
  <c r="AA252" i="20"/>
  <c r="AA251" i="20" s="1"/>
  <c r="AA256" i="20"/>
  <c r="AA255" i="20" s="1"/>
  <c r="AA248" i="20"/>
  <c r="AA247" i="20" s="1"/>
  <c r="X252" i="20"/>
  <c r="X251" i="20" s="1"/>
  <c r="X256" i="20"/>
  <c r="X255" i="20" s="1"/>
  <c r="X248" i="20"/>
  <c r="X247" i="20" s="1"/>
  <c r="AG248" i="31"/>
  <c r="AG247" i="31" s="1"/>
  <c r="AG256" i="31"/>
  <c r="AG255" i="31" s="1"/>
  <c r="AG252" i="31"/>
  <c r="AG251" i="31" s="1"/>
  <c r="U272" i="20"/>
  <c r="S248" i="27"/>
  <c r="S247" i="27" s="1"/>
  <c r="S252" i="27"/>
  <c r="S251" i="27" s="1"/>
  <c r="S256" i="27"/>
  <c r="S255" i="27" s="1"/>
  <c r="Z109" i="20"/>
  <c r="AF248" i="32"/>
  <c r="AF247" i="32" s="1"/>
  <c r="AF256" i="32"/>
  <c r="AF255" i="32" s="1"/>
  <c r="AF252" i="32"/>
  <c r="AF251" i="32" s="1"/>
  <c r="S248" i="20"/>
  <c r="S247" i="20" s="1"/>
  <c r="S252" i="20"/>
  <c r="S251" i="20" s="1"/>
  <c r="S256" i="20"/>
  <c r="S255" i="20" s="1"/>
  <c r="AD248" i="32"/>
  <c r="AD247" i="32" s="1"/>
  <c r="AD252" i="32"/>
  <c r="AD251" i="32" s="1"/>
  <c r="AD256" i="32"/>
  <c r="AD255" i="32" s="1"/>
  <c r="AI252" i="24"/>
  <c r="AI251" i="24" s="1"/>
  <c r="AI248" i="24"/>
  <c r="AI247" i="24" s="1"/>
  <c r="AI256" i="24"/>
  <c r="AI255" i="24" s="1"/>
  <c r="AA109" i="20"/>
  <c r="AL252" i="32"/>
  <c r="AL251" i="32" s="1"/>
  <c r="AL248" i="32"/>
  <c r="AL247" i="32" s="1"/>
  <c r="AL256" i="32"/>
  <c r="AL255" i="32" s="1"/>
  <c r="Z248" i="27"/>
  <c r="Z247" i="27" s="1"/>
  <c r="Z252" i="27"/>
  <c r="Z251" i="27" s="1"/>
  <c r="Z256" i="27"/>
  <c r="Z255" i="27" s="1"/>
  <c r="Z248" i="31"/>
  <c r="Z247" i="31" s="1"/>
  <c r="Z256" i="31"/>
  <c r="Z255" i="31" s="1"/>
  <c r="Z252" i="31"/>
  <c r="Z251" i="31" s="1"/>
  <c r="R272" i="20"/>
  <c r="P272" i="20"/>
  <c r="P118" i="31"/>
  <c r="P119" i="31" s="1"/>
  <c r="P116" i="31"/>
  <c r="P132" i="31"/>
  <c r="AF256" i="31"/>
  <c r="AF255" i="31" s="1"/>
  <c r="AF248" i="31"/>
  <c r="AF247" i="31" s="1"/>
  <c r="AF252" i="31"/>
  <c r="AF251" i="31" s="1"/>
  <c r="AJ248" i="31"/>
  <c r="AJ247" i="31" s="1"/>
  <c r="AJ252" i="31"/>
  <c r="AJ251" i="31" s="1"/>
  <c r="AJ256" i="31"/>
  <c r="AJ255" i="31" s="1"/>
  <c r="AF256" i="20"/>
  <c r="AF255" i="20" s="1"/>
  <c r="AF252" i="20"/>
  <c r="AF251" i="20" s="1"/>
  <c r="AF248" i="20"/>
  <c r="AF247" i="20" s="1"/>
  <c r="S272" i="20"/>
  <c r="R252" i="20"/>
  <c r="R251" i="20" s="1"/>
  <c r="R248" i="20"/>
  <c r="R247" i="20" s="1"/>
  <c r="R256" i="20"/>
  <c r="R255" i="20" s="1"/>
  <c r="L61" i="31"/>
  <c r="O66" i="31"/>
  <c r="L61" i="33"/>
  <c r="W256" i="32"/>
  <c r="W255" i="32" s="1"/>
  <c r="W248" i="32"/>
  <c r="W247" i="32" s="1"/>
  <c r="W252" i="32"/>
  <c r="W251" i="32" s="1"/>
  <c r="R109" i="20"/>
  <c r="AE252" i="20"/>
  <c r="AE251" i="20" s="1"/>
  <c r="AE248" i="20"/>
  <c r="AE247" i="20" s="1"/>
  <c r="AE256" i="20"/>
  <c r="AE255" i="20" s="1"/>
  <c r="AD252" i="27"/>
  <c r="AD251" i="27" s="1"/>
  <c r="AD256" i="27"/>
  <c r="AD255" i="27" s="1"/>
  <c r="AD248" i="27"/>
  <c r="AD247" i="27" s="1"/>
  <c r="X248" i="31"/>
  <c r="X247" i="31" s="1"/>
  <c r="X256" i="31"/>
  <c r="X255" i="31" s="1"/>
  <c r="X252" i="31"/>
  <c r="X251" i="31" s="1"/>
  <c r="AH256" i="32"/>
  <c r="AH255" i="32" s="1"/>
  <c r="AH248" i="32"/>
  <c r="AH247" i="32" s="1"/>
  <c r="AH252" i="32"/>
  <c r="AH251" i="32" s="1"/>
  <c r="Y252" i="32"/>
  <c r="Y251" i="32" s="1"/>
  <c r="Y256" i="32"/>
  <c r="Y255" i="32" s="1"/>
  <c r="Y248" i="32"/>
  <c r="Y247" i="32" s="1"/>
  <c r="AD252" i="31"/>
  <c r="AD251" i="31" s="1"/>
  <c r="AD248" i="31"/>
  <c r="AD247" i="31" s="1"/>
  <c r="AD256" i="31"/>
  <c r="AD255" i="31" s="1"/>
  <c r="U109" i="20"/>
  <c r="T248" i="32"/>
  <c r="T247" i="32" s="1"/>
  <c r="T256" i="32"/>
  <c r="T255" i="32" s="1"/>
  <c r="T252" i="32"/>
  <c r="T251" i="32" s="1"/>
  <c r="K147" i="20"/>
  <c r="L147" i="20"/>
  <c r="AF248" i="27"/>
  <c r="AF247" i="27" s="1"/>
  <c r="AF256" i="27"/>
  <c r="AF255" i="27" s="1"/>
  <c r="AF252" i="27"/>
  <c r="AF251" i="27" s="1"/>
  <c r="AC256" i="24"/>
  <c r="AC255" i="24" s="1"/>
  <c r="AC252" i="24"/>
  <c r="AC251" i="24" s="1"/>
  <c r="AC248" i="24"/>
  <c r="AC247" i="24" s="1"/>
  <c r="AB256" i="27"/>
  <c r="AB255" i="27" s="1"/>
  <c r="AB248" i="27"/>
  <c r="AB247" i="27" s="1"/>
  <c r="AB252" i="27"/>
  <c r="AB251" i="27" s="1"/>
  <c r="AA252" i="31"/>
  <c r="AA251" i="31" s="1"/>
  <c r="AA256" i="31"/>
  <c r="AA255" i="31" s="1"/>
  <c r="AA248" i="31"/>
  <c r="AA247" i="31" s="1"/>
  <c r="AH272" i="20"/>
  <c r="AD252" i="24"/>
  <c r="AD251" i="24" s="1"/>
  <c r="AD248" i="24"/>
  <c r="AD247" i="24" s="1"/>
  <c r="AD256" i="24"/>
  <c r="AD255" i="24" s="1"/>
  <c r="AL109" i="20"/>
  <c r="L245" i="20"/>
  <c r="R242" i="31"/>
  <c r="R243" i="31" s="1"/>
  <c r="S240" i="31" s="1"/>
  <c r="O147" i="33" l="1"/>
  <c r="L147" i="24"/>
  <c r="L147" i="27"/>
  <c r="L147" i="31"/>
  <c r="O66" i="20"/>
  <c r="O66" i="33" s="1"/>
  <c r="L62" i="33"/>
  <c r="L61" i="20"/>
  <c r="T234" i="24"/>
  <c r="U234" i="27"/>
  <c r="S234" i="32"/>
  <c r="AD234" i="27"/>
  <c r="Y234" i="24"/>
  <c r="AA234" i="24"/>
  <c r="AJ234" i="20"/>
  <c r="R234" i="32"/>
  <c r="AL234" i="31"/>
  <c r="AE234" i="20"/>
  <c r="AJ234" i="32"/>
  <c r="U234" i="32"/>
  <c r="AL234" i="24"/>
  <c r="AL234" i="32"/>
  <c r="Y234" i="32"/>
  <c r="AC234" i="32"/>
  <c r="AB234" i="32"/>
  <c r="AA234" i="32"/>
  <c r="X234" i="32"/>
  <c r="Z234" i="32"/>
  <c r="AG234" i="31"/>
  <c r="S234" i="31"/>
  <c r="AM234" i="31"/>
  <c r="AI234" i="31"/>
  <c r="V234" i="31"/>
  <c r="AB234" i="31"/>
  <c r="U234" i="31"/>
  <c r="Q234" i="31"/>
  <c r="AA234" i="31"/>
  <c r="AJ234" i="31"/>
  <c r="AJ234" i="27"/>
  <c r="Q234" i="27"/>
  <c r="X234" i="27"/>
  <c r="R234" i="27"/>
  <c r="AD234" i="24"/>
  <c r="Z234" i="24"/>
  <c r="W234" i="24"/>
  <c r="AG234" i="24"/>
  <c r="AH234" i="20"/>
  <c r="Y234" i="20"/>
  <c r="AD234" i="20"/>
  <c r="T234" i="20"/>
  <c r="P234" i="20"/>
  <c r="S242" i="31"/>
  <c r="S243" i="31" s="1"/>
  <c r="T240" i="31" s="1"/>
  <c r="S242" i="20"/>
  <c r="S243" i="20" s="1"/>
  <c r="T240" i="20" s="1"/>
  <c r="AE234" i="32"/>
  <c r="D20" i="4"/>
  <c r="AC8" i="4"/>
  <c r="AL272" i="33"/>
  <c r="AL280" i="20"/>
  <c r="AL280" i="33" s="1"/>
  <c r="W234" i="20"/>
  <c r="AE234" i="31"/>
  <c r="AH272" i="33"/>
  <c r="AH280" i="20"/>
  <c r="AH280" i="33" s="1"/>
  <c r="AD234" i="31"/>
  <c r="W234" i="32"/>
  <c r="AF234" i="20"/>
  <c r="P272" i="33"/>
  <c r="P280" i="20"/>
  <c r="P280" i="33" s="1"/>
  <c r="AD234" i="32"/>
  <c r="S234" i="27"/>
  <c r="Y272" i="33"/>
  <c r="Y280" i="20"/>
  <c r="Y280" i="33" s="1"/>
  <c r="AA234" i="27"/>
  <c r="AK234" i="24"/>
  <c r="AI234" i="20"/>
  <c r="AJ234" i="24"/>
  <c r="AM280" i="20"/>
  <c r="AM280" i="33" s="1"/>
  <c r="AM272" i="33"/>
  <c r="P234" i="24"/>
  <c r="X234" i="31"/>
  <c r="AM234" i="24"/>
  <c r="T234" i="27"/>
  <c r="L66" i="27"/>
  <c r="O69" i="27"/>
  <c r="P64" i="27" s="1"/>
  <c r="P69" i="27" s="1"/>
  <c r="Q64" i="27" s="1"/>
  <c r="AE234" i="27"/>
  <c r="AM234" i="20"/>
  <c r="AH234" i="24"/>
  <c r="AJ280" i="20"/>
  <c r="AJ280" i="33" s="1"/>
  <c r="AJ272" i="33"/>
  <c r="S234" i="24"/>
  <c r="O252" i="27"/>
  <c r="O251" i="27" s="1"/>
  <c r="O248" i="27"/>
  <c r="L245" i="27"/>
  <c r="O256" i="27"/>
  <c r="O255" i="27" s="1"/>
  <c r="Q234" i="20"/>
  <c r="Q272" i="33"/>
  <c r="Q280" i="20"/>
  <c r="Q280" i="33" s="1"/>
  <c r="Z234" i="27"/>
  <c r="AA272" i="33"/>
  <c r="AA280" i="20"/>
  <c r="AA280" i="33" s="1"/>
  <c r="Q8" i="4"/>
  <c r="D19" i="4"/>
  <c r="E19" i="4" s="1"/>
  <c r="O207" i="20"/>
  <c r="O205" i="20"/>
  <c r="U272" i="33"/>
  <c r="U280" i="20"/>
  <c r="U280" i="33" s="1"/>
  <c r="C9" i="4"/>
  <c r="R272" i="33"/>
  <c r="R280" i="20"/>
  <c r="R280" i="33" s="1"/>
  <c r="S234" i="20"/>
  <c r="Q234" i="24"/>
  <c r="AG234" i="20"/>
  <c r="O247" i="32"/>
  <c r="O234" i="32" s="1"/>
  <c r="O204" i="32"/>
  <c r="AK234" i="32"/>
  <c r="Y234" i="27"/>
  <c r="V234" i="20"/>
  <c r="AK234" i="27"/>
  <c r="AC234" i="31"/>
  <c r="W234" i="27"/>
  <c r="AF280" i="20"/>
  <c r="AF280" i="33" s="1"/>
  <c r="AF272" i="33"/>
  <c r="Z234" i="20"/>
  <c r="O207" i="31"/>
  <c r="O117" i="31" s="1"/>
  <c r="O205" i="31"/>
  <c r="O103" i="31" s="1"/>
  <c r="C11" i="4"/>
  <c r="D18" i="4"/>
  <c r="E8" i="4"/>
  <c r="AB234" i="24"/>
  <c r="AG234" i="32"/>
  <c r="AG280" i="20"/>
  <c r="AG280" i="33" s="1"/>
  <c r="AG272" i="33"/>
  <c r="AI234" i="32"/>
  <c r="T234" i="31"/>
  <c r="Z280" i="20"/>
  <c r="Z280" i="33" s="1"/>
  <c r="Z272" i="33"/>
  <c r="AK234" i="31"/>
  <c r="AD272" i="33"/>
  <c r="AD280" i="20"/>
  <c r="AD280" i="33" s="1"/>
  <c r="AL234" i="27"/>
  <c r="T280" i="20"/>
  <c r="T280" i="33" s="1"/>
  <c r="T272" i="33"/>
  <c r="R242" i="24"/>
  <c r="R243" i="24" s="1"/>
  <c r="S240" i="24" s="1"/>
  <c r="Z234" i="31"/>
  <c r="AF234" i="32"/>
  <c r="X234" i="20"/>
  <c r="AK234" i="20"/>
  <c r="P136" i="24"/>
  <c r="P138" i="24"/>
  <c r="AM234" i="27"/>
  <c r="AI234" i="27"/>
  <c r="R234" i="31"/>
  <c r="AB272" i="33"/>
  <c r="AB280" i="20"/>
  <c r="AB280" i="33" s="1"/>
  <c r="AF234" i="24"/>
  <c r="P113" i="20"/>
  <c r="P115" i="20"/>
  <c r="P115" i="33" s="1"/>
  <c r="R234" i="24"/>
  <c r="AC234" i="20"/>
  <c r="AK280" i="20"/>
  <c r="AK280" i="33" s="1"/>
  <c r="AK272" i="33"/>
  <c r="Q242" i="27"/>
  <c r="Q243" i="27" s="1"/>
  <c r="R240" i="27" s="1"/>
  <c r="AB234" i="27"/>
  <c r="T234" i="32"/>
  <c r="AH234" i="32"/>
  <c r="AF234" i="31"/>
  <c r="AH234" i="31"/>
  <c r="O272" i="33"/>
  <c r="O280" i="20"/>
  <c r="O280" i="33" s="1"/>
  <c r="X234" i="24"/>
  <c r="AM234" i="32"/>
  <c r="V234" i="32"/>
  <c r="Q234" i="32"/>
  <c r="P234" i="31"/>
  <c r="W280" i="20"/>
  <c r="W280" i="33" s="1"/>
  <c r="W272" i="33"/>
  <c r="U234" i="20"/>
  <c r="V272" i="33"/>
  <c r="V280" i="20"/>
  <c r="V280" i="33" s="1"/>
  <c r="P131" i="27"/>
  <c r="P133" i="27"/>
  <c r="P135" i="27"/>
  <c r="AE272" i="33"/>
  <c r="AE280" i="20"/>
  <c r="AE280" i="33" s="1"/>
  <c r="S280" i="20"/>
  <c r="S280" i="33" s="1"/>
  <c r="S272" i="33"/>
  <c r="L66" i="33"/>
  <c r="AH234" i="27"/>
  <c r="AC234" i="24"/>
  <c r="R234" i="20"/>
  <c r="AI234" i="24"/>
  <c r="AE234" i="24"/>
  <c r="L66" i="24"/>
  <c r="O69" i="24"/>
  <c r="P64" i="24" s="1"/>
  <c r="P69" i="24" s="1"/>
  <c r="Q64" i="24" s="1"/>
  <c r="U234" i="24"/>
  <c r="O207" i="24"/>
  <c r="O117" i="24" s="1"/>
  <c r="O205" i="24"/>
  <c r="O103" i="24" s="1"/>
  <c r="AF234" i="27"/>
  <c r="L66" i="31"/>
  <c r="O69" i="31"/>
  <c r="P64" i="31" s="1"/>
  <c r="P69" i="31" s="1"/>
  <c r="Q64" i="31" s="1"/>
  <c r="P131" i="31"/>
  <c r="P133" i="31"/>
  <c r="P135" i="31"/>
  <c r="AA234" i="20"/>
  <c r="R242" i="32"/>
  <c r="R243" i="32" s="1"/>
  <c r="S240" i="32" s="1"/>
  <c r="W234" i="31"/>
  <c r="AC234" i="27"/>
  <c r="AL234" i="20"/>
  <c r="P234" i="32"/>
  <c r="X272" i="33"/>
  <c r="X280" i="20"/>
  <c r="X280" i="33" s="1"/>
  <c r="AC280" i="20"/>
  <c r="AC280" i="33" s="1"/>
  <c r="AC272" i="33"/>
  <c r="P131" i="32"/>
  <c r="P135" i="32"/>
  <c r="P133" i="32"/>
  <c r="V234" i="27"/>
  <c r="AB234" i="20"/>
  <c r="AG234" i="27"/>
  <c r="AI280" i="20"/>
  <c r="AI280" i="33" s="1"/>
  <c r="AI272" i="33"/>
  <c r="Y234" i="31"/>
  <c r="L66" i="32"/>
  <c r="O69" i="32"/>
  <c r="P64" i="32" s="1"/>
  <c r="P69" i="32" s="1"/>
  <c r="Q64" i="32" s="1"/>
  <c r="V234" i="24"/>
  <c r="P234" i="27"/>
  <c r="L66" i="20" l="1"/>
  <c r="O69" i="20"/>
  <c r="O69" i="33" s="1"/>
  <c r="T242" i="31"/>
  <c r="T243" i="31" s="1"/>
  <c r="U240" i="31" s="1"/>
  <c r="S242" i="24"/>
  <c r="S243" i="24" s="1"/>
  <c r="T240" i="24" s="1"/>
  <c r="S242" i="32"/>
  <c r="S243" i="32" s="1"/>
  <c r="T240" i="32" s="1"/>
  <c r="R242" i="27"/>
  <c r="R243" i="27" s="1"/>
  <c r="S240" i="27" s="1"/>
  <c r="T242" i="20"/>
  <c r="T243" i="20" s="1"/>
  <c r="U240" i="20" s="1"/>
  <c r="O137" i="24"/>
  <c r="L117" i="24"/>
  <c r="K117" i="24"/>
  <c r="O146" i="24"/>
  <c r="O102" i="31"/>
  <c r="L103" i="31"/>
  <c r="L102" i="31" s="1"/>
  <c r="K103" i="31"/>
  <c r="O125" i="31"/>
  <c r="V278" i="20"/>
  <c r="V278" i="33" s="1"/>
  <c r="AF278" i="20"/>
  <c r="AF278" i="33" s="1"/>
  <c r="R278" i="20"/>
  <c r="R278" i="33" s="1"/>
  <c r="Q278" i="20"/>
  <c r="Q278" i="33" s="1"/>
  <c r="Q67" i="27"/>
  <c r="Q69" i="27" s="1"/>
  <c r="R64" i="27" s="1"/>
  <c r="Y278" i="20"/>
  <c r="Y278" i="33" s="1"/>
  <c r="AI278" i="20"/>
  <c r="AI278" i="33" s="1"/>
  <c r="AB278" i="20"/>
  <c r="AB278" i="33" s="1"/>
  <c r="AG278" i="20"/>
  <c r="AG278" i="33" s="1"/>
  <c r="AL278" i="20"/>
  <c r="AL278" i="33" s="1"/>
  <c r="P136" i="27"/>
  <c r="P138" i="27"/>
  <c r="L103" i="24"/>
  <c r="L102" i="24" s="1"/>
  <c r="K103" i="24"/>
  <c r="O102" i="24"/>
  <c r="O125" i="24"/>
  <c r="W278" i="20"/>
  <c r="W278" i="33" s="1"/>
  <c r="U278" i="20"/>
  <c r="U278" i="33" s="1"/>
  <c r="S278" i="20"/>
  <c r="S278" i="33" s="1"/>
  <c r="E21" i="4"/>
  <c r="E20" i="4"/>
  <c r="O247" i="27"/>
  <c r="O234" i="27" s="1"/>
  <c r="O204" i="27"/>
  <c r="Q67" i="24"/>
  <c r="Q69" i="24" s="1"/>
  <c r="R64" i="24" s="1"/>
  <c r="AE278" i="20"/>
  <c r="AE278" i="33" s="1"/>
  <c r="AD278" i="20"/>
  <c r="AD278" i="33" s="1"/>
  <c r="D22" i="4"/>
  <c r="E18" i="4"/>
  <c r="O117" i="20"/>
  <c r="T278" i="20"/>
  <c r="T278" i="33" s="1"/>
  <c r="O103" i="20"/>
  <c r="P278" i="20"/>
  <c r="P278" i="33" s="1"/>
  <c r="P138" i="32"/>
  <c r="P136" i="32"/>
  <c r="P136" i="31"/>
  <c r="P138" i="31"/>
  <c r="AK278" i="20"/>
  <c r="AK278" i="33" s="1"/>
  <c r="P139" i="24"/>
  <c r="P287" i="24"/>
  <c r="O207" i="32"/>
  <c r="O117" i="32" s="1"/>
  <c r="O205" i="32"/>
  <c r="O103" i="32" s="1"/>
  <c r="AM278" i="20"/>
  <c r="AM278" i="33" s="1"/>
  <c r="AC278" i="20"/>
  <c r="AC278" i="33" s="1"/>
  <c r="O278" i="20"/>
  <c r="O278" i="33" s="1"/>
  <c r="K117" i="31"/>
  <c r="L117" i="31"/>
  <c r="O146" i="31"/>
  <c r="O137" i="31"/>
  <c r="AA278" i="20"/>
  <c r="AA278" i="33" s="1"/>
  <c r="AJ278" i="20"/>
  <c r="AJ278" i="33" s="1"/>
  <c r="Q67" i="32"/>
  <c r="Q69" i="32" s="1"/>
  <c r="R64" i="32" s="1"/>
  <c r="X278" i="20"/>
  <c r="X278" i="33" s="1"/>
  <c r="Q67" i="31"/>
  <c r="P118" i="20"/>
  <c r="P118" i="33" s="1"/>
  <c r="P116" i="20"/>
  <c r="P132" i="20"/>
  <c r="P132" i="33" s="1"/>
  <c r="Z278" i="20"/>
  <c r="Z278" i="33" s="1"/>
  <c r="AH278" i="20"/>
  <c r="AH278" i="33" s="1"/>
  <c r="P64" i="20" l="1"/>
  <c r="P64" i="33" s="1"/>
  <c r="T242" i="32"/>
  <c r="T243" i="32" s="1"/>
  <c r="U240" i="32" s="1"/>
  <c r="R67" i="24"/>
  <c r="R69" i="24" s="1"/>
  <c r="S64" i="24" s="1"/>
  <c r="T242" i="24"/>
  <c r="T243" i="24" s="1"/>
  <c r="U240" i="24" s="1"/>
  <c r="S242" i="27"/>
  <c r="S243" i="27" s="1"/>
  <c r="T240" i="27" s="1"/>
  <c r="O207" i="27"/>
  <c r="O207" i="33" s="1"/>
  <c r="O205" i="27"/>
  <c r="O205" i="33" s="1"/>
  <c r="K102" i="24"/>
  <c r="O105" i="24"/>
  <c r="O108" i="24" s="1"/>
  <c r="L137" i="24"/>
  <c r="K137" i="24"/>
  <c r="U242" i="20"/>
  <c r="U243" i="20" s="1"/>
  <c r="V240" i="20" s="1"/>
  <c r="Q101" i="31"/>
  <c r="Q70" i="31"/>
  <c r="L146" i="31"/>
  <c r="L148" i="31" s="1"/>
  <c r="K146" i="31"/>
  <c r="K148" i="31" s="1"/>
  <c r="O148" i="31"/>
  <c r="Q69" i="31"/>
  <c r="R64" i="31" s="1"/>
  <c r="P287" i="31"/>
  <c r="P139" i="31"/>
  <c r="P287" i="27"/>
  <c r="P139" i="27"/>
  <c r="R67" i="32"/>
  <c r="R69" i="32" s="1"/>
  <c r="S64" i="32" s="1"/>
  <c r="O124" i="31"/>
  <c r="O127" i="31" s="1"/>
  <c r="O129" i="31" s="1"/>
  <c r="O130" i="31" s="1"/>
  <c r="K125" i="31"/>
  <c r="K124" i="31" s="1"/>
  <c r="K127" i="31" s="1"/>
  <c r="K129" i="31" s="1"/>
  <c r="L125" i="31"/>
  <c r="L124" i="31" s="1"/>
  <c r="L127" i="31" s="1"/>
  <c r="L129" i="31" s="1"/>
  <c r="K117" i="20"/>
  <c r="O146" i="20"/>
  <c r="O137" i="20"/>
  <c r="L117" i="20"/>
  <c r="P287" i="32"/>
  <c r="P139" i="32"/>
  <c r="R67" i="27"/>
  <c r="R69" i="27" s="1"/>
  <c r="S64" i="27" s="1"/>
  <c r="Q101" i="32"/>
  <c r="Q70" i="32"/>
  <c r="Q101" i="27"/>
  <c r="Q70" i="27"/>
  <c r="P131" i="20"/>
  <c r="P131" i="33" s="1"/>
  <c r="P133" i="20"/>
  <c r="P135" i="20"/>
  <c r="P135" i="33" s="1"/>
  <c r="L103" i="32"/>
  <c r="L102" i="32" s="1"/>
  <c r="O102" i="32"/>
  <c r="K103" i="32"/>
  <c r="O125" i="32"/>
  <c r="K102" i="31"/>
  <c r="O105" i="31"/>
  <c r="O108" i="31" s="1"/>
  <c r="O137" i="32"/>
  <c r="L117" i="32"/>
  <c r="K117" i="32"/>
  <c r="O146" i="32"/>
  <c r="K103" i="20"/>
  <c r="O102" i="20"/>
  <c r="L103" i="20"/>
  <c r="L102" i="20" s="1"/>
  <c r="O125" i="20"/>
  <c r="K146" i="24"/>
  <c r="K148" i="24" s="1"/>
  <c r="L146" i="24"/>
  <c r="L148" i="24" s="1"/>
  <c r="O148" i="24"/>
  <c r="P119" i="20"/>
  <c r="K137" i="31"/>
  <c r="L137" i="31"/>
  <c r="Q70" i="24"/>
  <c r="Q101" i="24"/>
  <c r="O124" i="24"/>
  <c r="O127" i="24" s="1"/>
  <c r="O129" i="24" s="1"/>
  <c r="O130" i="24" s="1"/>
  <c r="K125" i="24"/>
  <c r="K124" i="24" s="1"/>
  <c r="K127" i="24" s="1"/>
  <c r="K129" i="24" s="1"/>
  <c r="L125" i="24"/>
  <c r="L124" i="24" s="1"/>
  <c r="L127" i="24" s="1"/>
  <c r="L129" i="24" s="1"/>
  <c r="U242" i="31"/>
  <c r="U243" i="31" s="1"/>
  <c r="V240" i="31" s="1"/>
  <c r="P69" i="20" l="1"/>
  <c r="P69" i="33" s="1"/>
  <c r="V242" i="20"/>
  <c r="V243" i="20" s="1"/>
  <c r="W240" i="20" s="1"/>
  <c r="T242" i="27"/>
  <c r="T243" i="27" s="1"/>
  <c r="U240" i="27" s="1"/>
  <c r="U242" i="24"/>
  <c r="U243" i="24" s="1"/>
  <c r="V240" i="24" s="1"/>
  <c r="L137" i="32"/>
  <c r="K137" i="32"/>
  <c r="L137" i="20"/>
  <c r="K137" i="20"/>
  <c r="O109" i="24"/>
  <c r="O112" i="24"/>
  <c r="O109" i="31"/>
  <c r="O112" i="31"/>
  <c r="K146" i="20"/>
  <c r="K148" i="20" s="1"/>
  <c r="L146" i="20"/>
  <c r="L148" i="20" s="1"/>
  <c r="O148" i="20"/>
  <c r="R67" i="31"/>
  <c r="R69" i="31" s="1"/>
  <c r="S64" i="31" s="1"/>
  <c r="O103" i="27"/>
  <c r="O103" i="33" s="1"/>
  <c r="K149" i="31"/>
  <c r="K153" i="31"/>
  <c r="O117" i="27"/>
  <c r="O117" i="33" s="1"/>
  <c r="O149" i="31"/>
  <c r="O153" i="31"/>
  <c r="Q111" i="32"/>
  <c r="L149" i="31"/>
  <c r="L153" i="31"/>
  <c r="L168" i="31" s="1"/>
  <c r="K102" i="32"/>
  <c r="O105" i="32"/>
  <c r="O108" i="32" s="1"/>
  <c r="Q111" i="31"/>
  <c r="Q111" i="27"/>
  <c r="K153" i="24"/>
  <c r="K149" i="24"/>
  <c r="K102" i="20"/>
  <c r="O105" i="20"/>
  <c r="S67" i="27"/>
  <c r="S69" i="27" s="1"/>
  <c r="T64" i="27" s="1"/>
  <c r="S67" i="32"/>
  <c r="Q111" i="24"/>
  <c r="P136" i="20"/>
  <c r="P138" i="20"/>
  <c r="P138" i="33" s="1"/>
  <c r="R70" i="27"/>
  <c r="R111" i="27" s="1"/>
  <c r="R112" i="27" s="1"/>
  <c r="R101" i="27"/>
  <c r="R70" i="32"/>
  <c r="R111" i="32" s="1"/>
  <c r="R112" i="32" s="1"/>
  <c r="R101" i="32"/>
  <c r="S67" i="24"/>
  <c r="S69" i="24" s="1"/>
  <c r="T64" i="24" s="1"/>
  <c r="O149" i="24"/>
  <c r="O153" i="24"/>
  <c r="O124" i="32"/>
  <c r="O127" i="32" s="1"/>
  <c r="O129" i="32" s="1"/>
  <c r="O130" i="32" s="1"/>
  <c r="K125" i="32"/>
  <c r="K124" i="32" s="1"/>
  <c r="K127" i="32" s="1"/>
  <c r="K129" i="32" s="1"/>
  <c r="L125" i="32"/>
  <c r="L124" i="32" s="1"/>
  <c r="L127" i="32" s="1"/>
  <c r="L129" i="32" s="1"/>
  <c r="O124" i="20"/>
  <c r="L125" i="20"/>
  <c r="L124" i="20" s="1"/>
  <c r="L127" i="20" s="1"/>
  <c r="L129" i="20" s="1"/>
  <c r="K125" i="20"/>
  <c r="K124" i="20" s="1"/>
  <c r="K127" i="20" s="1"/>
  <c r="K129" i="20" s="1"/>
  <c r="L146" i="32"/>
  <c r="L148" i="32" s="1"/>
  <c r="K146" i="32"/>
  <c r="K148" i="32" s="1"/>
  <c r="O148" i="32"/>
  <c r="R101" i="24"/>
  <c r="R70" i="24"/>
  <c r="R111" i="24" s="1"/>
  <c r="R112" i="24" s="1"/>
  <c r="V242" i="31"/>
  <c r="V243" i="31" s="1"/>
  <c r="W240" i="31" s="1"/>
  <c r="L153" i="24"/>
  <c r="L168" i="24" s="1"/>
  <c r="L149" i="24"/>
  <c r="U242" i="32"/>
  <c r="U243" i="32" s="1"/>
  <c r="V240" i="32" s="1"/>
  <c r="K104" i="33" l="1"/>
  <c r="L104" i="33"/>
  <c r="Q64" i="20"/>
  <c r="Q64" i="33" s="1"/>
  <c r="V242" i="24"/>
  <c r="V243" i="24" s="1"/>
  <c r="W240" i="24" s="1"/>
  <c r="W242" i="31"/>
  <c r="W243" i="31" s="1"/>
  <c r="X240" i="31" s="1"/>
  <c r="U242" i="27"/>
  <c r="U243" i="27" s="1"/>
  <c r="V240" i="27" s="1"/>
  <c r="S70" i="32"/>
  <c r="S111" i="32" s="1"/>
  <c r="S112" i="32" s="1"/>
  <c r="S101" i="32"/>
  <c r="T67" i="27"/>
  <c r="T69" i="27" s="1"/>
  <c r="U64" i="27" s="1"/>
  <c r="S67" i="31"/>
  <c r="S69" i="31" s="1"/>
  <c r="T64" i="31" s="1"/>
  <c r="O127" i="20"/>
  <c r="V242" i="32"/>
  <c r="V243" i="32" s="1"/>
  <c r="W240" i="32" s="1"/>
  <c r="R113" i="32"/>
  <c r="R115" i="32"/>
  <c r="Q112" i="27"/>
  <c r="S70" i="27"/>
  <c r="S111" i="27" s="1"/>
  <c r="S112" i="27" s="1"/>
  <c r="S101" i="27"/>
  <c r="R101" i="31"/>
  <c r="R70" i="31"/>
  <c r="O149" i="20"/>
  <c r="O153" i="20"/>
  <c r="O108" i="20"/>
  <c r="P139" i="20"/>
  <c r="P287" i="20"/>
  <c r="P287" i="33" s="1"/>
  <c r="AK154" i="31"/>
  <c r="AK160" i="31" s="1"/>
  <c r="X154" i="31"/>
  <c r="X160" i="31" s="1"/>
  <c r="AI154" i="31"/>
  <c r="AI160" i="31" s="1"/>
  <c r="Q154" i="31"/>
  <c r="Q160" i="31" s="1"/>
  <c r="W154" i="31"/>
  <c r="W160" i="31" s="1"/>
  <c r="AM154" i="31"/>
  <c r="AM160" i="31" s="1"/>
  <c r="AB154" i="31"/>
  <c r="AB160" i="31" s="1"/>
  <c r="Y154" i="31"/>
  <c r="Y160" i="31" s="1"/>
  <c r="AG154" i="31"/>
  <c r="AG160" i="31" s="1"/>
  <c r="AF154" i="31"/>
  <c r="AF160" i="31" s="1"/>
  <c r="S154" i="31"/>
  <c r="S160" i="31" s="1"/>
  <c r="U154" i="31"/>
  <c r="U160" i="31" s="1"/>
  <c r="AA154" i="31"/>
  <c r="AA160" i="31" s="1"/>
  <c r="AJ154" i="31"/>
  <c r="AJ160" i="31" s="1"/>
  <c r="AE154" i="31"/>
  <c r="AE160" i="31" s="1"/>
  <c r="Z154" i="31"/>
  <c r="Z160" i="31" s="1"/>
  <c r="AL154" i="31"/>
  <c r="AL160" i="31" s="1"/>
  <c r="AH154" i="31"/>
  <c r="AH160" i="31" s="1"/>
  <c r="O168" i="31"/>
  <c r="O154" i="31"/>
  <c r="T154" i="31"/>
  <c r="T160" i="31" s="1"/>
  <c r="R154" i="31"/>
  <c r="R160" i="31" s="1"/>
  <c r="L157" i="31"/>
  <c r="C331" i="31" s="1"/>
  <c r="C334" i="31" s="1"/>
  <c r="AD154" i="31"/>
  <c r="AD160" i="31" s="1"/>
  <c r="V154" i="31"/>
  <c r="V160" i="31" s="1"/>
  <c r="AC154" i="31"/>
  <c r="AC160" i="31" s="1"/>
  <c r="L158" i="31"/>
  <c r="P154" i="31"/>
  <c r="P160" i="31" s="1"/>
  <c r="K149" i="20"/>
  <c r="K153" i="20"/>
  <c r="Q112" i="31"/>
  <c r="L172" i="31"/>
  <c r="L153" i="20"/>
  <c r="L168" i="20" s="1"/>
  <c r="L149" i="20"/>
  <c r="Q112" i="24"/>
  <c r="O113" i="31"/>
  <c r="O115" i="31"/>
  <c r="L172" i="24"/>
  <c r="O149" i="32"/>
  <c r="O153" i="32"/>
  <c r="O113" i="24"/>
  <c r="O115" i="24"/>
  <c r="T67" i="24"/>
  <c r="T69" i="24" s="1"/>
  <c r="U64" i="24" s="1"/>
  <c r="R113" i="27"/>
  <c r="R115" i="27"/>
  <c r="R113" i="24"/>
  <c r="R115" i="24"/>
  <c r="Z154" i="24"/>
  <c r="Z160" i="24" s="1"/>
  <c r="Q154" i="24"/>
  <c r="Q160" i="24" s="1"/>
  <c r="AJ154" i="24"/>
  <c r="AJ160" i="24" s="1"/>
  <c r="V154" i="24"/>
  <c r="V160" i="24" s="1"/>
  <c r="AG154" i="24"/>
  <c r="AG160" i="24" s="1"/>
  <c r="AF154" i="24"/>
  <c r="AF160" i="24" s="1"/>
  <c r="L157" i="24"/>
  <c r="C331" i="24" s="1"/>
  <c r="C334" i="24" s="1"/>
  <c r="O168" i="24"/>
  <c r="AL154" i="24"/>
  <c r="AL160" i="24" s="1"/>
  <c r="X154" i="24"/>
  <c r="X160" i="24" s="1"/>
  <c r="AC154" i="24"/>
  <c r="AC160" i="24" s="1"/>
  <c r="AD154" i="24"/>
  <c r="AD160" i="24" s="1"/>
  <c r="AH154" i="24"/>
  <c r="AH160" i="24" s="1"/>
  <c r="O154" i="24"/>
  <c r="AE154" i="24"/>
  <c r="AE160" i="24" s="1"/>
  <c r="AA154" i="24"/>
  <c r="AA160" i="24" s="1"/>
  <c r="AK154" i="24"/>
  <c r="AK160" i="24" s="1"/>
  <c r="Y154" i="24"/>
  <c r="Y160" i="24" s="1"/>
  <c r="AM154" i="24"/>
  <c r="AM160" i="24" s="1"/>
  <c r="S154" i="24"/>
  <c r="S160" i="24" s="1"/>
  <c r="AB154" i="24"/>
  <c r="AB160" i="24" s="1"/>
  <c r="W154" i="24"/>
  <c r="W160" i="24" s="1"/>
  <c r="AI154" i="24"/>
  <c r="AI160" i="24" s="1"/>
  <c r="R154" i="24"/>
  <c r="R160" i="24" s="1"/>
  <c r="L158" i="24"/>
  <c r="U154" i="24"/>
  <c r="U160" i="24" s="1"/>
  <c r="P154" i="24"/>
  <c r="P160" i="24" s="1"/>
  <c r="T154" i="24"/>
  <c r="T160" i="24" s="1"/>
  <c r="O109" i="32"/>
  <c r="O112" i="32"/>
  <c r="O146" i="27"/>
  <c r="O146" i="33" s="1"/>
  <c r="O137" i="27"/>
  <c r="O137" i="33" s="1"/>
  <c r="K117" i="27"/>
  <c r="L117" i="27"/>
  <c r="K153" i="32"/>
  <c r="K149" i="32"/>
  <c r="L153" i="32"/>
  <c r="L168" i="32" s="1"/>
  <c r="L149" i="32"/>
  <c r="S70" i="24"/>
  <c r="S111" i="24" s="1"/>
  <c r="S112" i="24" s="1"/>
  <c r="S101" i="24"/>
  <c r="S69" i="32"/>
  <c r="T64" i="32" s="1"/>
  <c r="Q112" i="32"/>
  <c r="L103" i="27"/>
  <c r="L102" i="27" s="1"/>
  <c r="K103" i="27"/>
  <c r="O102" i="27"/>
  <c r="O102" i="33" s="1"/>
  <c r="O125" i="27"/>
  <c r="O125" i="33" s="1"/>
  <c r="W242" i="20"/>
  <c r="W243" i="20" s="1"/>
  <c r="X240" i="20" s="1"/>
  <c r="L126" i="33" l="1"/>
  <c r="K147" i="33"/>
  <c r="K103" i="33"/>
  <c r="K126" i="33"/>
  <c r="Q67" i="20"/>
  <c r="Q67" i="33" s="1"/>
  <c r="W242" i="32"/>
  <c r="W243" i="32" s="1"/>
  <c r="X240" i="32" s="1"/>
  <c r="W242" i="24"/>
  <c r="W243" i="24" s="1"/>
  <c r="X240" i="24" s="1"/>
  <c r="X242" i="20"/>
  <c r="X243" i="20" s="1"/>
  <c r="Y240" i="20" s="1"/>
  <c r="V242" i="27"/>
  <c r="V243" i="27" s="1"/>
  <c r="W240" i="27" s="1"/>
  <c r="X242" i="31"/>
  <c r="X243" i="31" s="1"/>
  <c r="Y240" i="31" s="1"/>
  <c r="O124" i="27"/>
  <c r="O124" i="33" s="1"/>
  <c r="L125" i="27"/>
  <c r="L124" i="27" s="1"/>
  <c r="L127" i="27" s="1"/>
  <c r="L129" i="27" s="1"/>
  <c r="K125" i="27"/>
  <c r="K124" i="27" s="1"/>
  <c r="K127" i="27" s="1"/>
  <c r="K129" i="27" s="1"/>
  <c r="O160" i="24"/>
  <c r="L160" i="24" s="1"/>
  <c r="L159" i="24"/>
  <c r="R111" i="31"/>
  <c r="S113" i="32"/>
  <c r="S115" i="32"/>
  <c r="R118" i="24"/>
  <c r="R119" i="24" s="1"/>
  <c r="R116" i="24"/>
  <c r="R132" i="24"/>
  <c r="Q113" i="31"/>
  <c r="Q115" i="31"/>
  <c r="Q113" i="32"/>
  <c r="Q115" i="32"/>
  <c r="O129" i="20"/>
  <c r="L137" i="27"/>
  <c r="K137" i="27"/>
  <c r="X169" i="24"/>
  <c r="W169" i="24"/>
  <c r="U169" i="24"/>
  <c r="AH169" i="24"/>
  <c r="AI169" i="24"/>
  <c r="AK169" i="24"/>
  <c r="S169" i="24"/>
  <c r="AE169" i="24"/>
  <c r="AC169" i="24"/>
  <c r="AG169" i="24"/>
  <c r="Q169" i="24"/>
  <c r="T169" i="24"/>
  <c r="V169" i="24"/>
  <c r="P169" i="24"/>
  <c r="Z169" i="24"/>
  <c r="AB169" i="24"/>
  <c r="Y169" i="24"/>
  <c r="AM169" i="24"/>
  <c r="R169" i="24"/>
  <c r="O169" i="24"/>
  <c r="AF169" i="24"/>
  <c r="AL169" i="24"/>
  <c r="AJ169" i="24"/>
  <c r="AA169" i="24"/>
  <c r="AD169" i="24"/>
  <c r="U67" i="24"/>
  <c r="U69" i="24" s="1"/>
  <c r="V64" i="24" s="1"/>
  <c r="T67" i="31"/>
  <c r="T69" i="31" s="1"/>
  <c r="U64" i="31" s="1"/>
  <c r="K146" i="27"/>
  <c r="K148" i="27" s="1"/>
  <c r="L146" i="27"/>
  <c r="L148" i="27" s="1"/>
  <c r="O148" i="27"/>
  <c r="T70" i="24"/>
  <c r="T101" i="24"/>
  <c r="Q113" i="24"/>
  <c r="Q115" i="24"/>
  <c r="L159" i="31"/>
  <c r="O160" i="31"/>
  <c r="L160" i="31" s="1"/>
  <c r="O109" i="20"/>
  <c r="O112" i="20"/>
  <c r="S113" i="27"/>
  <c r="S115" i="27"/>
  <c r="S70" i="31"/>
  <c r="S111" i="31" s="1"/>
  <c r="S112" i="31" s="1"/>
  <c r="S101" i="31"/>
  <c r="R116" i="27"/>
  <c r="R118" i="27"/>
  <c r="R119" i="27" s="1"/>
  <c r="R132" i="27"/>
  <c r="O113" i="32"/>
  <c r="O115" i="32"/>
  <c r="O118" i="24"/>
  <c r="O119" i="24" s="1"/>
  <c r="O116" i="24"/>
  <c r="O132" i="24"/>
  <c r="U169" i="31"/>
  <c r="X169" i="31"/>
  <c r="AI169" i="31"/>
  <c r="Z169" i="31"/>
  <c r="AJ169" i="31"/>
  <c r="AH169" i="31"/>
  <c r="O169" i="31"/>
  <c r="T169" i="31"/>
  <c r="AE169" i="31"/>
  <c r="AB169" i="31"/>
  <c r="AA169" i="31"/>
  <c r="R169" i="31"/>
  <c r="AC169" i="31"/>
  <c r="AL169" i="31"/>
  <c r="AF169" i="31"/>
  <c r="P169" i="31"/>
  <c r="W169" i="31"/>
  <c r="AD169" i="31"/>
  <c r="AM169" i="31"/>
  <c r="AG169" i="31"/>
  <c r="Y169" i="31"/>
  <c r="V169" i="31"/>
  <c r="AK169" i="31"/>
  <c r="S169" i="31"/>
  <c r="Q169" i="31"/>
  <c r="Q113" i="27"/>
  <c r="Q115" i="27"/>
  <c r="U154" i="20"/>
  <c r="U160" i="20" s="1"/>
  <c r="AG154" i="20"/>
  <c r="AG160" i="20" s="1"/>
  <c r="W154" i="20"/>
  <c r="W160" i="20" s="1"/>
  <c r="AJ154" i="20"/>
  <c r="AJ160" i="20" s="1"/>
  <c r="AH154" i="20"/>
  <c r="AH160" i="20" s="1"/>
  <c r="X154" i="20"/>
  <c r="X160" i="20" s="1"/>
  <c r="AB154" i="20"/>
  <c r="AB160" i="20" s="1"/>
  <c r="AI154" i="20"/>
  <c r="AI160" i="20" s="1"/>
  <c r="AF154" i="20"/>
  <c r="AF160" i="20" s="1"/>
  <c r="AE154" i="20"/>
  <c r="AE160" i="20" s="1"/>
  <c r="AD154" i="20"/>
  <c r="AD160" i="20" s="1"/>
  <c r="AA154" i="20"/>
  <c r="AA160" i="20" s="1"/>
  <c r="Q154" i="20"/>
  <c r="Q160" i="20" s="1"/>
  <c r="Z154" i="20"/>
  <c r="Z160" i="20" s="1"/>
  <c r="P154" i="20"/>
  <c r="P160" i="20" s="1"/>
  <c r="AM154" i="20"/>
  <c r="AM160" i="20" s="1"/>
  <c r="AL154" i="20"/>
  <c r="AL160" i="20" s="1"/>
  <c r="T154" i="20"/>
  <c r="T160" i="20" s="1"/>
  <c r="AK154" i="20"/>
  <c r="AK160" i="20" s="1"/>
  <c r="L157" i="20"/>
  <c r="L158" i="20"/>
  <c r="Y154" i="20"/>
  <c r="Y160" i="20" s="1"/>
  <c r="R154" i="20"/>
  <c r="R160" i="20" s="1"/>
  <c r="S154" i="20"/>
  <c r="S160" i="20" s="1"/>
  <c r="O154" i="20"/>
  <c r="O168" i="20"/>
  <c r="AC154" i="20"/>
  <c r="AC160" i="20" s="1"/>
  <c r="V154" i="20"/>
  <c r="V160" i="20" s="1"/>
  <c r="U67" i="27"/>
  <c r="U69" i="27" s="1"/>
  <c r="V64" i="27" s="1"/>
  <c r="T67" i="32"/>
  <c r="T69" i="32" s="1"/>
  <c r="U64" i="32" s="1"/>
  <c r="S113" i="24"/>
  <c r="S115" i="24"/>
  <c r="AE154" i="32"/>
  <c r="AE160" i="32" s="1"/>
  <c r="U154" i="32"/>
  <c r="U160" i="32" s="1"/>
  <c r="AA154" i="32"/>
  <c r="AA160" i="32" s="1"/>
  <c r="AB154" i="32"/>
  <c r="AB160" i="32" s="1"/>
  <c r="P154" i="32"/>
  <c r="P160" i="32" s="1"/>
  <c r="AG154" i="32"/>
  <c r="AG160" i="32" s="1"/>
  <c r="X154" i="32"/>
  <c r="X160" i="32" s="1"/>
  <c r="AH154" i="32"/>
  <c r="AH160" i="32" s="1"/>
  <c r="Y154" i="32"/>
  <c r="Y160" i="32" s="1"/>
  <c r="W154" i="32"/>
  <c r="W160" i="32" s="1"/>
  <c r="AJ154" i="32"/>
  <c r="AJ160" i="32" s="1"/>
  <c r="T154" i="32"/>
  <c r="T160" i="32" s="1"/>
  <c r="Q154" i="32"/>
  <c r="Q160" i="32" s="1"/>
  <c r="R154" i="32"/>
  <c r="R160" i="32" s="1"/>
  <c r="AD154" i="32"/>
  <c r="AD160" i="32" s="1"/>
  <c r="AM154" i="32"/>
  <c r="AM160" i="32" s="1"/>
  <c r="AF154" i="32"/>
  <c r="AF160" i="32" s="1"/>
  <c r="V154" i="32"/>
  <c r="V160" i="32" s="1"/>
  <c r="AL154" i="32"/>
  <c r="AL160" i="32" s="1"/>
  <c r="AC154" i="32"/>
  <c r="AC160" i="32" s="1"/>
  <c r="AI154" i="32"/>
  <c r="AI160" i="32" s="1"/>
  <c r="O168" i="32"/>
  <c r="S154" i="32"/>
  <c r="S160" i="32" s="1"/>
  <c r="O154" i="32"/>
  <c r="L157" i="32"/>
  <c r="C331" i="32" s="1"/>
  <c r="C334" i="32" s="1"/>
  <c r="AK154" i="32"/>
  <c r="AK160" i="32" s="1"/>
  <c r="L158" i="32"/>
  <c r="Z154" i="32"/>
  <c r="Z160" i="32" s="1"/>
  <c r="L172" i="20"/>
  <c r="T70" i="27"/>
  <c r="T101" i="27"/>
  <c r="K102" i="27"/>
  <c r="O105" i="27"/>
  <c r="O105" i="33" s="1"/>
  <c r="O116" i="31"/>
  <c r="O118" i="31"/>
  <c r="O119" i="31" s="1"/>
  <c r="O132" i="31"/>
  <c r="L172" i="32"/>
  <c r="R118" i="32"/>
  <c r="R119" i="32" s="1"/>
  <c r="R116" i="32"/>
  <c r="R132" i="32"/>
  <c r="C331" i="20" l="1"/>
  <c r="C334" i="20" s="1"/>
  <c r="L147" i="33"/>
  <c r="L103" i="33"/>
  <c r="L102" i="33" s="1"/>
  <c r="L106" i="33"/>
  <c r="K106" i="33"/>
  <c r="Q70" i="20"/>
  <c r="Q70" i="33" s="1"/>
  <c r="Q101" i="20"/>
  <c r="Q101" i="33" s="1"/>
  <c r="Q69" i="20"/>
  <c r="Q69" i="33" s="1"/>
  <c r="W242" i="27"/>
  <c r="W243" i="27" s="1"/>
  <c r="X240" i="27" s="1"/>
  <c r="Y242" i="20"/>
  <c r="Y243" i="20" s="1"/>
  <c r="Z240" i="20" s="1"/>
  <c r="X242" i="24"/>
  <c r="X243" i="24" s="1"/>
  <c r="Y240" i="24" s="1"/>
  <c r="V67" i="24"/>
  <c r="V69" i="24" s="1"/>
  <c r="W64" i="24" s="1"/>
  <c r="U67" i="31"/>
  <c r="U69" i="31" s="1"/>
  <c r="V64" i="31" s="1"/>
  <c r="O160" i="20"/>
  <c r="L160" i="20" s="1"/>
  <c r="L159" i="20"/>
  <c r="Y242" i="31"/>
  <c r="Y243" i="31" s="1"/>
  <c r="Z240" i="31" s="1"/>
  <c r="O135" i="31"/>
  <c r="O131" i="31"/>
  <c r="O133" i="31"/>
  <c r="Q118" i="24"/>
  <c r="Q119" i="24" s="1"/>
  <c r="Q116" i="24"/>
  <c r="Q132" i="24"/>
  <c r="U101" i="24"/>
  <c r="U70" i="24"/>
  <c r="U111" i="24" s="1"/>
  <c r="U112" i="24" s="1"/>
  <c r="L125" i="33"/>
  <c r="L124" i="33" s="1"/>
  <c r="L127" i="33" s="1"/>
  <c r="K125" i="33"/>
  <c r="K124" i="33" s="1"/>
  <c r="K127" i="33" s="1"/>
  <c r="Q118" i="31"/>
  <c r="Q119" i="31" s="1"/>
  <c r="Q116" i="31"/>
  <c r="Q132" i="31"/>
  <c r="O108" i="27"/>
  <c r="O108" i="33" s="1"/>
  <c r="S116" i="27"/>
  <c r="S118" i="27"/>
  <c r="S119" i="27" s="1"/>
  <c r="S132" i="27"/>
  <c r="K146" i="33"/>
  <c r="K148" i="33" s="1"/>
  <c r="K153" i="33" s="1"/>
  <c r="L146" i="33"/>
  <c r="L148" i="33" s="1"/>
  <c r="L153" i="33" s="1"/>
  <c r="O148" i="33"/>
  <c r="O153" i="33" s="1"/>
  <c r="AH169" i="20"/>
  <c r="X169" i="20"/>
  <c r="P169" i="20"/>
  <c r="O169" i="20"/>
  <c r="Q169" i="20"/>
  <c r="AJ169" i="20"/>
  <c r="AM169" i="20"/>
  <c r="AF169" i="20"/>
  <c r="T169" i="20"/>
  <c r="AE169" i="20"/>
  <c r="AL169" i="20"/>
  <c r="S169" i="20"/>
  <c r="Y169" i="20"/>
  <c r="Z169" i="20"/>
  <c r="U169" i="20"/>
  <c r="R169" i="20"/>
  <c r="AI169" i="20"/>
  <c r="W169" i="20"/>
  <c r="V169" i="20"/>
  <c r="AG169" i="20"/>
  <c r="AD169" i="20"/>
  <c r="AA169" i="20"/>
  <c r="AB169" i="20"/>
  <c r="AC169" i="20"/>
  <c r="AK169" i="20"/>
  <c r="Q116" i="27"/>
  <c r="Q118" i="27"/>
  <c r="Q119" i="27" s="1"/>
  <c r="Q132" i="27"/>
  <c r="S113" i="31"/>
  <c r="S115" i="31"/>
  <c r="T111" i="24"/>
  <c r="X169" i="32"/>
  <c r="AF169" i="32"/>
  <c r="Y169" i="32"/>
  <c r="AD169" i="32"/>
  <c r="Z169" i="32"/>
  <c r="AC169" i="32"/>
  <c r="P169" i="32"/>
  <c r="AB169" i="32"/>
  <c r="U169" i="32"/>
  <c r="AJ169" i="32"/>
  <c r="O169" i="32"/>
  <c r="AM169" i="32"/>
  <c r="AH169" i="32"/>
  <c r="W169" i="32"/>
  <c r="AL169" i="32"/>
  <c r="AI169" i="32"/>
  <c r="V169" i="32"/>
  <c r="Q169" i="32"/>
  <c r="S169" i="32"/>
  <c r="R169" i="32"/>
  <c r="T169" i="32"/>
  <c r="AE169" i="32"/>
  <c r="AA169" i="32"/>
  <c r="AK169" i="32"/>
  <c r="AG169" i="32"/>
  <c r="U67" i="32"/>
  <c r="U69" i="32" s="1"/>
  <c r="V64" i="32" s="1"/>
  <c r="O149" i="27"/>
  <c r="O153" i="27"/>
  <c r="R133" i="24"/>
  <c r="R135" i="24"/>
  <c r="R131" i="24"/>
  <c r="O160" i="32"/>
  <c r="L160" i="32" s="1"/>
  <c r="L159" i="32"/>
  <c r="S118" i="24"/>
  <c r="S119" i="24" s="1"/>
  <c r="S116" i="24"/>
  <c r="S132" i="24"/>
  <c r="T70" i="32"/>
  <c r="T101" i="32"/>
  <c r="O135" i="24"/>
  <c r="O133" i="24"/>
  <c r="O131" i="24"/>
  <c r="O113" i="20"/>
  <c r="O115" i="20"/>
  <c r="L153" i="27"/>
  <c r="L168" i="27" s="1"/>
  <c r="L149" i="27"/>
  <c r="O127" i="27"/>
  <c r="O127" i="33" s="1"/>
  <c r="K153" i="27"/>
  <c r="K149" i="27"/>
  <c r="R131" i="32"/>
  <c r="R133" i="32"/>
  <c r="R135" i="32"/>
  <c r="T111" i="27"/>
  <c r="V67" i="27"/>
  <c r="U70" i="27"/>
  <c r="U111" i="27" s="1"/>
  <c r="U112" i="27" s="1"/>
  <c r="U101" i="27"/>
  <c r="O130" i="20"/>
  <c r="S132" i="32"/>
  <c r="S116" i="32"/>
  <c r="S118" i="32"/>
  <c r="S119" i="32" s="1"/>
  <c r="O118" i="32"/>
  <c r="O119" i="32" s="1"/>
  <c r="O116" i="32"/>
  <c r="O132" i="32"/>
  <c r="T70" i="31"/>
  <c r="T101" i="31"/>
  <c r="Q118" i="32"/>
  <c r="Q119" i="32" s="1"/>
  <c r="Q116" i="32"/>
  <c r="Q132" i="32"/>
  <c r="R133" i="27"/>
  <c r="R131" i="27"/>
  <c r="R135" i="27"/>
  <c r="R112" i="31"/>
  <c r="X242" i="32"/>
  <c r="X243" i="32" s="1"/>
  <c r="Y240" i="32" s="1"/>
  <c r="L128" i="33" l="1"/>
  <c r="L129" i="33" s="1"/>
  <c r="R64" i="20"/>
  <c r="R64" i="33" s="1"/>
  <c r="Q111" i="20"/>
  <c r="Q111" i="33" s="1"/>
  <c r="Z242" i="31"/>
  <c r="Z243" i="31" s="1"/>
  <c r="AA240" i="31" s="1"/>
  <c r="Y242" i="24"/>
  <c r="Y243" i="24" s="1"/>
  <c r="Z240" i="24" s="1"/>
  <c r="Z242" i="20"/>
  <c r="Z243" i="20" s="1"/>
  <c r="AA240" i="20" s="1"/>
  <c r="X242" i="27"/>
  <c r="X243" i="27" s="1"/>
  <c r="Y240" i="27" s="1"/>
  <c r="O135" i="32"/>
  <c r="O131" i="32"/>
  <c r="O133" i="32"/>
  <c r="V70" i="27"/>
  <c r="V101" i="27"/>
  <c r="Q131" i="27"/>
  <c r="Q133" i="27"/>
  <c r="Q135" i="27"/>
  <c r="O109" i="27"/>
  <c r="O112" i="27"/>
  <c r="O112" i="33" s="1"/>
  <c r="Q133" i="31"/>
  <c r="Q131" i="31"/>
  <c r="Q135" i="31"/>
  <c r="V67" i="31"/>
  <c r="V69" i="31" s="1"/>
  <c r="W64" i="31" s="1"/>
  <c r="R136" i="27"/>
  <c r="R138" i="27"/>
  <c r="O138" i="31"/>
  <c r="O136" i="31"/>
  <c r="U101" i="31"/>
  <c r="U70" i="31"/>
  <c r="U111" i="31" s="1"/>
  <c r="U112" i="31" s="1"/>
  <c r="AJ154" i="27"/>
  <c r="AJ160" i="27" s="1"/>
  <c r="AH154" i="27"/>
  <c r="AH160" i="27" s="1"/>
  <c r="AG154" i="27"/>
  <c r="AG160" i="27" s="1"/>
  <c r="AL154" i="27"/>
  <c r="AL160" i="27" s="1"/>
  <c r="AD154" i="27"/>
  <c r="AD160" i="27" s="1"/>
  <c r="T154" i="27"/>
  <c r="T160" i="27" s="1"/>
  <c r="AM154" i="27"/>
  <c r="AM160" i="27" s="1"/>
  <c r="S154" i="27"/>
  <c r="S160" i="27" s="1"/>
  <c r="R154" i="27"/>
  <c r="R160" i="27" s="1"/>
  <c r="P154" i="27"/>
  <c r="P160" i="27" s="1"/>
  <c r="AA154" i="27"/>
  <c r="AA160" i="27" s="1"/>
  <c r="AB154" i="27"/>
  <c r="AB160" i="27" s="1"/>
  <c r="AE154" i="27"/>
  <c r="AE160" i="27" s="1"/>
  <c r="L157" i="27"/>
  <c r="Z154" i="27"/>
  <c r="Z160" i="27" s="1"/>
  <c r="X154" i="27"/>
  <c r="X160" i="27" s="1"/>
  <c r="AC154" i="27"/>
  <c r="AC160" i="27" s="1"/>
  <c r="Q154" i="27"/>
  <c r="Q160" i="27" s="1"/>
  <c r="V154" i="27"/>
  <c r="V160" i="27" s="1"/>
  <c r="AI154" i="27"/>
  <c r="AI160" i="27" s="1"/>
  <c r="O154" i="27"/>
  <c r="U154" i="27"/>
  <c r="U160" i="27" s="1"/>
  <c r="W154" i="27"/>
  <c r="W160" i="27" s="1"/>
  <c r="Y154" i="27"/>
  <c r="Y160" i="27" s="1"/>
  <c r="AK154" i="27"/>
  <c r="AK160" i="27" s="1"/>
  <c r="O168" i="27"/>
  <c r="AF154" i="27"/>
  <c r="AF160" i="27" s="1"/>
  <c r="L158" i="27"/>
  <c r="L172" i="27"/>
  <c r="L172" i="33" s="1"/>
  <c r="W67" i="24"/>
  <c r="W69" i="24" s="1"/>
  <c r="X64" i="24" s="1"/>
  <c r="O118" i="20"/>
  <c r="O116" i="20"/>
  <c r="O132" i="20"/>
  <c r="R138" i="32"/>
  <c r="R136" i="32"/>
  <c r="Q133" i="32"/>
  <c r="Q135" i="32"/>
  <c r="Q131" i="32"/>
  <c r="V101" i="24"/>
  <c r="V70" i="24"/>
  <c r="T112" i="27"/>
  <c r="S133" i="32"/>
  <c r="S131" i="32"/>
  <c r="S135" i="32"/>
  <c r="V67" i="32"/>
  <c r="V69" i="32" s="1"/>
  <c r="W64" i="32" s="1"/>
  <c r="AE154" i="33"/>
  <c r="AE160" i="33" s="1"/>
  <c r="V154" i="33"/>
  <c r="V160" i="33" s="1"/>
  <c r="AK154" i="33"/>
  <c r="AK160" i="33" s="1"/>
  <c r="Q154" i="33"/>
  <c r="Q160" i="33" s="1"/>
  <c r="AL154" i="33"/>
  <c r="AL160" i="33" s="1"/>
  <c r="AM154" i="33"/>
  <c r="AM160" i="33" s="1"/>
  <c r="AH154" i="33"/>
  <c r="AH160" i="33" s="1"/>
  <c r="P154" i="33"/>
  <c r="P160" i="33" s="1"/>
  <c r="AD154" i="33"/>
  <c r="AD160" i="33" s="1"/>
  <c r="AB154" i="33"/>
  <c r="AB160" i="33" s="1"/>
  <c r="Z154" i="33"/>
  <c r="Z160" i="33" s="1"/>
  <c r="AF154" i="33"/>
  <c r="AF160" i="33" s="1"/>
  <c r="T154" i="33"/>
  <c r="T160" i="33" s="1"/>
  <c r="AA154" i="33"/>
  <c r="AA160" i="33" s="1"/>
  <c r="AI154" i="33"/>
  <c r="AI160" i="33" s="1"/>
  <c r="AJ154" i="33"/>
  <c r="AJ160" i="33" s="1"/>
  <c r="O154" i="33"/>
  <c r="S154" i="33"/>
  <c r="S160" i="33" s="1"/>
  <c r="L157" i="33"/>
  <c r="C306" i="33" s="1"/>
  <c r="C309" i="33" s="1"/>
  <c r="W154" i="33"/>
  <c r="W160" i="33" s="1"/>
  <c r="Y154" i="33"/>
  <c r="Y160" i="33" s="1"/>
  <c r="R154" i="33"/>
  <c r="R160" i="33" s="1"/>
  <c r="U154" i="33"/>
  <c r="U160" i="33" s="1"/>
  <c r="X154" i="33"/>
  <c r="X160" i="33" s="1"/>
  <c r="AG154" i="33"/>
  <c r="AG160" i="33" s="1"/>
  <c r="AC154" i="33"/>
  <c r="AC160" i="33" s="1"/>
  <c r="L158" i="33"/>
  <c r="O136" i="24"/>
  <c r="O138" i="24"/>
  <c r="U70" i="32"/>
  <c r="U111" i="32" s="1"/>
  <c r="U112" i="32" s="1"/>
  <c r="U101" i="32"/>
  <c r="Y242" i="32"/>
  <c r="Y243" i="32" s="1"/>
  <c r="Z240" i="32" s="1"/>
  <c r="U113" i="24"/>
  <c r="U115" i="24"/>
  <c r="S135" i="27"/>
  <c r="S133" i="27"/>
  <c r="S131" i="27"/>
  <c r="T111" i="32"/>
  <c r="R138" i="24"/>
  <c r="R136" i="24"/>
  <c r="T112" i="24"/>
  <c r="Q133" i="24"/>
  <c r="Q131" i="24"/>
  <c r="Q135" i="24"/>
  <c r="S116" i="31"/>
  <c r="S118" i="31"/>
  <c r="S119" i="31" s="1"/>
  <c r="S132" i="31"/>
  <c r="R113" i="31"/>
  <c r="R115" i="31"/>
  <c r="U115" i="27"/>
  <c r="U113" i="27"/>
  <c r="O129" i="27"/>
  <c r="O129" i="33" s="1"/>
  <c r="T111" i="31"/>
  <c r="V69" i="27"/>
  <c r="W64" i="27" s="1"/>
  <c r="S133" i="24"/>
  <c r="S131" i="24"/>
  <c r="S135" i="24"/>
  <c r="C331" i="27" l="1"/>
  <c r="C334" i="27" s="1"/>
  <c r="D12" i="18"/>
  <c r="K128" i="33"/>
  <c r="K129" i="33" s="1"/>
  <c r="R67" i="20"/>
  <c r="R67" i="33" s="1"/>
  <c r="Q112" i="20"/>
  <c r="Q112" i="33" s="1"/>
  <c r="L110" i="33"/>
  <c r="K110" i="33"/>
  <c r="Y242" i="27"/>
  <c r="Y243" i="27" s="1"/>
  <c r="Z240" i="27" s="1"/>
  <c r="AA242" i="20"/>
  <c r="AA243" i="20" s="1"/>
  <c r="AB240" i="20" s="1"/>
  <c r="Z242" i="32"/>
  <c r="Z243" i="32" s="1"/>
  <c r="AA240" i="32" s="1"/>
  <c r="Z242" i="24"/>
  <c r="Z243" i="24" s="1"/>
  <c r="AA240" i="24" s="1"/>
  <c r="W67" i="32"/>
  <c r="W69" i="32" s="1"/>
  <c r="X64" i="32" s="1"/>
  <c r="AA242" i="31"/>
  <c r="AA243" i="31" s="1"/>
  <c r="AB240" i="31" s="1"/>
  <c r="Q136" i="31"/>
  <c r="Q138" i="31"/>
  <c r="U113" i="32"/>
  <c r="U115" i="32"/>
  <c r="R139" i="32"/>
  <c r="R287" i="32"/>
  <c r="O136" i="32"/>
  <c r="O138" i="32"/>
  <c r="AM169" i="27"/>
  <c r="AI169" i="27"/>
  <c r="W169" i="27"/>
  <c r="AE169" i="27"/>
  <c r="R169" i="27"/>
  <c r="AB169" i="27"/>
  <c r="AD169" i="27"/>
  <c r="AK169" i="27"/>
  <c r="Z169" i="27"/>
  <c r="AA169" i="27"/>
  <c r="S169" i="27"/>
  <c r="AG169" i="27"/>
  <c r="P169" i="27"/>
  <c r="Q169" i="27"/>
  <c r="T169" i="27"/>
  <c r="AJ169" i="27"/>
  <c r="U169" i="27"/>
  <c r="AC169" i="27"/>
  <c r="AH169" i="27"/>
  <c r="X169" i="27"/>
  <c r="Y169" i="27"/>
  <c r="AL169" i="27"/>
  <c r="V169" i="27"/>
  <c r="AF169" i="27"/>
  <c r="O169" i="27"/>
  <c r="O139" i="24"/>
  <c r="O287" i="24"/>
  <c r="O288" i="24" s="1"/>
  <c r="O160" i="33"/>
  <c r="L160" i="33" s="1"/>
  <c r="L159" i="33"/>
  <c r="T113" i="27"/>
  <c r="T115" i="27"/>
  <c r="O135" i="20"/>
  <c r="O133" i="20"/>
  <c r="O131" i="20"/>
  <c r="U113" i="31"/>
  <c r="U115" i="31"/>
  <c r="V111" i="24"/>
  <c r="O113" i="27"/>
  <c r="O115" i="27"/>
  <c r="O115" i="33" s="1"/>
  <c r="S136" i="24"/>
  <c r="S138" i="24"/>
  <c r="U116" i="27"/>
  <c r="U118" i="27"/>
  <c r="U119" i="27" s="1"/>
  <c r="U132" i="27"/>
  <c r="O119" i="20"/>
  <c r="O160" i="27"/>
  <c r="L160" i="27" s="1"/>
  <c r="D13" i="18" s="1"/>
  <c r="L159" i="27"/>
  <c r="O287" i="31"/>
  <c r="O288" i="31" s="1"/>
  <c r="O139" i="31"/>
  <c r="S136" i="27"/>
  <c r="S138" i="27"/>
  <c r="X67" i="24"/>
  <c r="X69" i="24" s="1"/>
  <c r="Y64" i="24" s="1"/>
  <c r="R139" i="27"/>
  <c r="R287" i="27"/>
  <c r="Q136" i="27"/>
  <c r="Q138" i="27"/>
  <c r="Q136" i="24"/>
  <c r="Q138" i="24"/>
  <c r="R118" i="31"/>
  <c r="R119" i="31" s="1"/>
  <c r="R116" i="31"/>
  <c r="R132" i="31"/>
  <c r="T113" i="24"/>
  <c r="T115" i="24"/>
  <c r="U116" i="24"/>
  <c r="U118" i="24"/>
  <c r="U119" i="24" s="1"/>
  <c r="U132" i="24"/>
  <c r="W101" i="24"/>
  <c r="W70" i="24"/>
  <c r="W111" i="24" s="1"/>
  <c r="W112" i="24" s="1"/>
  <c r="T112" i="32"/>
  <c r="W67" i="27"/>
  <c r="W69" i="27" s="1"/>
  <c r="X64" i="27" s="1"/>
  <c r="V70" i="32"/>
  <c r="V111" i="32" s="1"/>
  <c r="V112" i="32" s="1"/>
  <c r="V101" i="32"/>
  <c r="W67" i="31"/>
  <c r="W69" i="31" s="1"/>
  <c r="X64" i="31" s="1"/>
  <c r="V70" i="31"/>
  <c r="V101" i="31"/>
  <c r="O130" i="27"/>
  <c r="R139" i="24"/>
  <c r="R287" i="24"/>
  <c r="S136" i="32"/>
  <c r="S138" i="32"/>
  <c r="T112" i="31"/>
  <c r="S133" i="31"/>
  <c r="S131" i="31"/>
  <c r="S135" i="31"/>
  <c r="Q136" i="32"/>
  <c r="Q138" i="32"/>
  <c r="V111" i="27"/>
  <c r="R101" i="20" l="1"/>
  <c r="R101" i="33" s="1"/>
  <c r="R70" i="20"/>
  <c r="R70" i="33" s="1"/>
  <c r="R69" i="20"/>
  <c r="Q115" i="20"/>
  <c r="Q115" i="33" s="1"/>
  <c r="Q113" i="20"/>
  <c r="AB242" i="20"/>
  <c r="AB243" i="20" s="1"/>
  <c r="AC240" i="20" s="1"/>
  <c r="AB242" i="31"/>
  <c r="AB243" i="31" s="1"/>
  <c r="AC240" i="31" s="1"/>
  <c r="Y67" i="24"/>
  <c r="Y69" i="24" s="1"/>
  <c r="Z64" i="24" s="1"/>
  <c r="Z242" i="27"/>
  <c r="Z243" i="27" s="1"/>
  <c r="AA240" i="27" s="1"/>
  <c r="U116" i="32"/>
  <c r="U132" i="32"/>
  <c r="U118" i="32"/>
  <c r="U119" i="32" s="1"/>
  <c r="Q139" i="27"/>
  <c r="Q287" i="27"/>
  <c r="AA242" i="24"/>
  <c r="AA243" i="24" s="1"/>
  <c r="AB240" i="24" s="1"/>
  <c r="Q139" i="32"/>
  <c r="Q287" i="32"/>
  <c r="W101" i="27"/>
  <c r="W70" i="27"/>
  <c r="U118" i="31"/>
  <c r="U119" i="31" s="1"/>
  <c r="U116" i="31"/>
  <c r="U132" i="31"/>
  <c r="V112" i="24"/>
  <c r="U131" i="24"/>
  <c r="U133" i="24"/>
  <c r="U135" i="24"/>
  <c r="U135" i="27"/>
  <c r="U131" i="27"/>
  <c r="U133" i="27"/>
  <c r="AA242" i="32"/>
  <c r="AA243" i="32" s="1"/>
  <c r="AB240" i="32" s="1"/>
  <c r="O293" i="31"/>
  <c r="O296" i="31" s="1"/>
  <c r="P286" i="31"/>
  <c r="P288" i="31" s="1"/>
  <c r="S139" i="32"/>
  <c r="S287" i="32"/>
  <c r="W113" i="24"/>
  <c r="W115" i="24"/>
  <c r="X67" i="27"/>
  <c r="X69" i="27" s="1"/>
  <c r="Y64" i="27" s="1"/>
  <c r="S136" i="31"/>
  <c r="S138" i="31"/>
  <c r="Q139" i="31"/>
  <c r="Q287" i="31"/>
  <c r="V112" i="27"/>
  <c r="X70" i="24"/>
  <c r="X111" i="24" s="1"/>
  <c r="X112" i="24" s="1"/>
  <c r="X101" i="24"/>
  <c r="V111" i="31"/>
  <c r="S139" i="27"/>
  <c r="S287" i="27"/>
  <c r="O138" i="20"/>
  <c r="O136" i="20"/>
  <c r="O139" i="32"/>
  <c r="O287" i="32"/>
  <c r="O288" i="32" s="1"/>
  <c r="Q139" i="24"/>
  <c r="Q287" i="24"/>
  <c r="W70" i="32"/>
  <c r="W111" i="32" s="1"/>
  <c r="W112" i="32" s="1"/>
  <c r="W101" i="32"/>
  <c r="V113" i="32"/>
  <c r="V115" i="32"/>
  <c r="T118" i="24"/>
  <c r="T119" i="24" s="1"/>
  <c r="T132" i="24"/>
  <c r="T116" i="24"/>
  <c r="S139" i="24"/>
  <c r="S287" i="24"/>
  <c r="X67" i="31"/>
  <c r="X69" i="31" s="1"/>
  <c r="Y64" i="31" s="1"/>
  <c r="T113" i="32"/>
  <c r="T115" i="32"/>
  <c r="T118" i="27"/>
  <c r="T119" i="27" s="1"/>
  <c r="T116" i="27"/>
  <c r="T132" i="27"/>
  <c r="T113" i="31"/>
  <c r="T115" i="31"/>
  <c r="X67" i="32"/>
  <c r="X69" i="32" s="1"/>
  <c r="Y64" i="32" s="1"/>
  <c r="O293" i="24"/>
  <c r="O296" i="24" s="1"/>
  <c r="P286" i="24"/>
  <c r="P288" i="24" s="1"/>
  <c r="R133" i="31"/>
  <c r="R131" i="31"/>
  <c r="R135" i="31"/>
  <c r="W70" i="31"/>
  <c r="W111" i="31" s="1"/>
  <c r="W112" i="31" s="1"/>
  <c r="W101" i="31"/>
  <c r="O116" i="27"/>
  <c r="O118" i="27"/>
  <c r="O118" i="33" s="1"/>
  <c r="O132" i="27"/>
  <c r="O132" i="33" s="1"/>
  <c r="S64" i="20" l="1"/>
  <c r="S64" i="33" s="1"/>
  <c r="R69" i="33"/>
  <c r="R111" i="20"/>
  <c r="R111" i="33" s="1"/>
  <c r="Q132" i="20"/>
  <c r="Q132" i="33" s="1"/>
  <c r="Q118" i="20"/>
  <c r="Q118" i="33" s="1"/>
  <c r="Q116" i="20"/>
  <c r="O294" i="24"/>
  <c r="P291" i="24" s="1"/>
  <c r="O294" i="31"/>
  <c r="P291" i="31" s="1"/>
  <c r="Y67" i="32"/>
  <c r="Y69" i="32" s="1"/>
  <c r="Z64" i="32" s="1"/>
  <c r="AB242" i="24"/>
  <c r="AB243" i="24" s="1"/>
  <c r="AC240" i="24" s="1"/>
  <c r="AC242" i="31"/>
  <c r="AC243" i="31" s="1"/>
  <c r="AD240" i="31" s="1"/>
  <c r="AB242" i="32"/>
  <c r="AB243" i="32" s="1"/>
  <c r="AC240" i="32" s="1"/>
  <c r="AA242" i="27"/>
  <c r="AA243" i="27" s="1"/>
  <c r="AB240" i="27" s="1"/>
  <c r="AC242" i="20"/>
  <c r="AC243" i="20" s="1"/>
  <c r="AD240" i="20" s="1"/>
  <c r="U136" i="27"/>
  <c r="U138" i="27"/>
  <c r="T116" i="32"/>
  <c r="T118" i="32"/>
  <c r="T119" i="32" s="1"/>
  <c r="T132" i="32"/>
  <c r="U136" i="24"/>
  <c r="U138" i="24"/>
  <c r="U131" i="32"/>
  <c r="U133" i="32"/>
  <c r="U135" i="32"/>
  <c r="V112" i="31"/>
  <c r="W111" i="27"/>
  <c r="X70" i="32"/>
  <c r="X111" i="32" s="1"/>
  <c r="X112" i="32" s="1"/>
  <c r="X101" i="32"/>
  <c r="X113" i="24"/>
  <c r="X115" i="24"/>
  <c r="Q286" i="31"/>
  <c r="Q288" i="31" s="1"/>
  <c r="P293" i="31"/>
  <c r="P296" i="31" s="1"/>
  <c r="Z67" i="24"/>
  <c r="Z69" i="24" s="1"/>
  <c r="AA64" i="24" s="1"/>
  <c r="O135" i="27"/>
  <c r="O135" i="33" s="1"/>
  <c r="O131" i="27"/>
  <c r="O131" i="33" s="1"/>
  <c r="O133" i="27"/>
  <c r="X101" i="31"/>
  <c r="X70" i="31"/>
  <c r="W113" i="32"/>
  <c r="W115" i="32"/>
  <c r="T118" i="31"/>
  <c r="T119" i="31" s="1"/>
  <c r="T116" i="31"/>
  <c r="T132" i="31"/>
  <c r="Y70" i="24"/>
  <c r="Y111" i="24" s="1"/>
  <c r="Y112" i="24" s="1"/>
  <c r="Y101" i="24"/>
  <c r="W118" i="24"/>
  <c r="W119" i="24" s="1"/>
  <c r="W116" i="24"/>
  <c r="W132" i="24"/>
  <c r="P293" i="24"/>
  <c r="P296" i="24" s="1"/>
  <c r="Q286" i="24"/>
  <c r="Q288" i="24" s="1"/>
  <c r="O139" i="20"/>
  <c r="O287" i="20"/>
  <c r="T131" i="27"/>
  <c r="T133" i="27"/>
  <c r="T135" i="27"/>
  <c r="U133" i="31"/>
  <c r="U131" i="31"/>
  <c r="U135" i="31"/>
  <c r="Y67" i="31"/>
  <c r="V132" i="32"/>
  <c r="V116" i="32"/>
  <c r="V118" i="32"/>
  <c r="V119" i="32" s="1"/>
  <c r="O119" i="27"/>
  <c r="W113" i="31"/>
  <c r="W115" i="31"/>
  <c r="Y67" i="27"/>
  <c r="Y69" i="27" s="1"/>
  <c r="Z64" i="27" s="1"/>
  <c r="V115" i="27"/>
  <c r="V113" i="27"/>
  <c r="T131" i="24"/>
  <c r="T133" i="24"/>
  <c r="T135" i="24"/>
  <c r="P286" i="32"/>
  <c r="P288" i="32" s="1"/>
  <c r="O293" i="32"/>
  <c r="O296" i="32" s="1"/>
  <c r="S287" i="31"/>
  <c r="S139" i="31"/>
  <c r="R136" i="31"/>
  <c r="R138" i="31"/>
  <c r="X70" i="27"/>
  <c r="X111" i="27" s="1"/>
  <c r="X112" i="27" s="1"/>
  <c r="X101" i="27"/>
  <c r="V113" i="24"/>
  <c r="V115" i="24"/>
  <c r="S67" i="20" l="1"/>
  <c r="S67" i="33" s="1"/>
  <c r="Q131" i="20"/>
  <c r="Q131" i="33" s="1"/>
  <c r="R112" i="20"/>
  <c r="R112" i="33" s="1"/>
  <c r="Q119" i="20"/>
  <c r="Q135" i="20"/>
  <c r="Q135" i="33" s="1"/>
  <c r="Q133" i="20"/>
  <c r="O294" i="32"/>
  <c r="P291" i="32" s="1"/>
  <c r="P294" i="31"/>
  <c r="Q291" i="31" s="1"/>
  <c r="AD242" i="20"/>
  <c r="AD243" i="20" s="1"/>
  <c r="AE240" i="20" s="1"/>
  <c r="Q293" i="31"/>
  <c r="Q296" i="31" s="1"/>
  <c r="R286" i="31"/>
  <c r="AC242" i="24"/>
  <c r="AC243" i="24" s="1"/>
  <c r="AD240" i="24" s="1"/>
  <c r="AC242" i="32"/>
  <c r="AC243" i="32" s="1"/>
  <c r="AD240" i="32" s="1"/>
  <c r="AB242" i="27"/>
  <c r="AB243" i="27" s="1"/>
  <c r="AC240" i="27" s="1"/>
  <c r="AD242" i="31"/>
  <c r="AD243" i="31" s="1"/>
  <c r="AE240" i="31" s="1"/>
  <c r="W118" i="31"/>
  <c r="W119" i="31" s="1"/>
  <c r="W116" i="31"/>
  <c r="W132" i="31"/>
  <c r="X111" i="31"/>
  <c r="Y101" i="31"/>
  <c r="Y70" i="31"/>
  <c r="Y111" i="31" s="1"/>
  <c r="Y112" i="31" s="1"/>
  <c r="U136" i="32"/>
  <c r="U138" i="32"/>
  <c r="Y113" i="24"/>
  <c r="Y115" i="24"/>
  <c r="Z67" i="27"/>
  <c r="Z69" i="27" s="1"/>
  <c r="AA64" i="27" s="1"/>
  <c r="U136" i="31"/>
  <c r="U138" i="31"/>
  <c r="W118" i="32"/>
  <c r="W119" i="32" s="1"/>
  <c r="W116" i="32"/>
  <c r="W132" i="32"/>
  <c r="Y101" i="27"/>
  <c r="Y70" i="27"/>
  <c r="Y111" i="27" s="1"/>
  <c r="Y112" i="27" s="1"/>
  <c r="U139" i="24"/>
  <c r="U287" i="24"/>
  <c r="X116" i="24"/>
  <c r="X132" i="24"/>
  <c r="X118" i="24"/>
  <c r="X119" i="24" s="1"/>
  <c r="W112" i="27"/>
  <c r="T136" i="27"/>
  <c r="T138" i="27"/>
  <c r="T131" i="32"/>
  <c r="T133" i="32"/>
  <c r="T135" i="32"/>
  <c r="Q293" i="24"/>
  <c r="Q296" i="24" s="1"/>
  <c r="R286" i="24"/>
  <c r="R288" i="24" s="1"/>
  <c r="U139" i="27"/>
  <c r="U287" i="27"/>
  <c r="X113" i="27"/>
  <c r="X115" i="27"/>
  <c r="V118" i="27"/>
  <c r="V119" i="27" s="1"/>
  <c r="V132" i="27"/>
  <c r="V116" i="27"/>
  <c r="O136" i="27"/>
  <c r="O138" i="27"/>
  <c r="O138" i="33" s="1"/>
  <c r="X113" i="32"/>
  <c r="X115" i="32"/>
  <c r="V118" i="24"/>
  <c r="V119" i="24" s="1"/>
  <c r="V132" i="24"/>
  <c r="V116" i="24"/>
  <c r="P294" i="24"/>
  <c r="Q291" i="24" s="1"/>
  <c r="AA67" i="24"/>
  <c r="AA69" i="24" s="1"/>
  <c r="AB64" i="24" s="1"/>
  <c r="Z67" i="32"/>
  <c r="Z69" i="32" s="1"/>
  <c r="AA64" i="32" s="1"/>
  <c r="P293" i="32"/>
  <c r="P296" i="32" s="1"/>
  <c r="Q286" i="32"/>
  <c r="Q288" i="32" s="1"/>
  <c r="T131" i="31"/>
  <c r="T135" i="31"/>
  <c r="T133" i="31"/>
  <c r="T136" i="24"/>
  <c r="T138" i="24"/>
  <c r="W131" i="24"/>
  <c r="W133" i="24"/>
  <c r="W135" i="24"/>
  <c r="R139" i="31"/>
  <c r="R287" i="31"/>
  <c r="V133" i="32"/>
  <c r="V131" i="32"/>
  <c r="V135" i="32"/>
  <c r="Y69" i="31"/>
  <c r="Z64" i="31" s="1"/>
  <c r="O288" i="20"/>
  <c r="Z70" i="24"/>
  <c r="Z111" i="24" s="1"/>
  <c r="Z112" i="24" s="1"/>
  <c r="Z101" i="24"/>
  <c r="V113" i="31"/>
  <c r="V115" i="31"/>
  <c r="Y101" i="32"/>
  <c r="Y70" i="32"/>
  <c r="Y111" i="32" s="1"/>
  <c r="Q136" i="20" l="1"/>
  <c r="S70" i="20"/>
  <c r="S70" i="33" s="1"/>
  <c r="S69" i="20"/>
  <c r="S69" i="33" s="1"/>
  <c r="S101" i="20"/>
  <c r="S101" i="33" s="1"/>
  <c r="R115" i="20"/>
  <c r="R115" i="33" s="1"/>
  <c r="R113" i="20"/>
  <c r="Q138" i="20"/>
  <c r="Q138" i="33" s="1"/>
  <c r="T64" i="20"/>
  <c r="T64" i="33" s="1"/>
  <c r="R288" i="31"/>
  <c r="S286" i="31" s="1"/>
  <c r="S288" i="31" s="1"/>
  <c r="Q294" i="24"/>
  <c r="R291" i="24" s="1"/>
  <c r="AD242" i="24"/>
  <c r="AD243" i="24" s="1"/>
  <c r="AE240" i="24" s="1"/>
  <c r="AB67" i="24"/>
  <c r="AB69" i="24" s="1"/>
  <c r="AC64" i="24" s="1"/>
  <c r="AC242" i="27"/>
  <c r="AC243" i="27" s="1"/>
  <c r="AD240" i="27" s="1"/>
  <c r="AD242" i="32"/>
  <c r="AD243" i="32" s="1"/>
  <c r="AE240" i="32" s="1"/>
  <c r="AE242" i="20"/>
  <c r="AE243" i="20" s="1"/>
  <c r="AF240" i="20" s="1"/>
  <c r="V136" i="32"/>
  <c r="V138" i="32"/>
  <c r="X132" i="27"/>
  <c r="X118" i="27"/>
  <c r="X119" i="27" s="1"/>
  <c r="X116" i="27"/>
  <c r="P294" i="32"/>
  <c r="Q291" i="32" s="1"/>
  <c r="V135" i="24"/>
  <c r="V131" i="24"/>
  <c r="V133" i="24"/>
  <c r="W113" i="27"/>
  <c r="W115" i="27"/>
  <c r="U139" i="31"/>
  <c r="U287" i="31"/>
  <c r="Y115" i="31"/>
  <c r="Y113" i="31"/>
  <c r="AE242" i="31"/>
  <c r="AE243" i="31" s="1"/>
  <c r="AF240" i="31" s="1"/>
  <c r="R293" i="24"/>
  <c r="R296" i="24" s="1"/>
  <c r="S286" i="24"/>
  <c r="S288" i="24" s="1"/>
  <c r="X135" i="24"/>
  <c r="X131" i="24"/>
  <c r="X133" i="24"/>
  <c r="Q293" i="32"/>
  <c r="Q296" i="32" s="1"/>
  <c r="R286" i="32"/>
  <c r="R288" i="32" s="1"/>
  <c r="W136" i="24"/>
  <c r="W138" i="24"/>
  <c r="Z70" i="32"/>
  <c r="Z111" i="32" s="1"/>
  <c r="Z112" i="32" s="1"/>
  <c r="Z101" i="32"/>
  <c r="Z113" i="24"/>
  <c r="Z115" i="24"/>
  <c r="AA67" i="32"/>
  <c r="AA69" i="32" s="1"/>
  <c r="AB64" i="32" s="1"/>
  <c r="O139" i="27"/>
  <c r="O287" i="27"/>
  <c r="O287" i="33" s="1"/>
  <c r="T136" i="32"/>
  <c r="T138" i="32"/>
  <c r="AA67" i="27"/>
  <c r="AA69" i="27" s="1"/>
  <c r="AB64" i="27" s="1"/>
  <c r="P286" i="20"/>
  <c r="O293" i="20"/>
  <c r="Z101" i="27"/>
  <c r="Z70" i="27"/>
  <c r="Z111" i="27" s="1"/>
  <c r="Z112" i="27" s="1"/>
  <c r="X112" i="31"/>
  <c r="X116" i="32"/>
  <c r="X118" i="32"/>
  <c r="X119" i="32" s="1"/>
  <c r="X132" i="32"/>
  <c r="Z67" i="31"/>
  <c r="Z69" i="31" s="1"/>
  <c r="AA64" i="31" s="1"/>
  <c r="T139" i="24"/>
  <c r="T287" i="24"/>
  <c r="Y113" i="27"/>
  <c r="Y115" i="27"/>
  <c r="Y112" i="32"/>
  <c r="T139" i="27"/>
  <c r="T287" i="27"/>
  <c r="Y132" i="24"/>
  <c r="Y116" i="24"/>
  <c r="Y118" i="24"/>
  <c r="Y119" i="24" s="1"/>
  <c r="W131" i="31"/>
  <c r="W133" i="31"/>
  <c r="W135" i="31"/>
  <c r="Q294" i="31"/>
  <c r="R291" i="31" s="1"/>
  <c r="AA101" i="24"/>
  <c r="AA70" i="24"/>
  <c r="AA111" i="24" s="1"/>
  <c r="AA112" i="24" s="1"/>
  <c r="V131" i="27"/>
  <c r="V133" i="27"/>
  <c r="V135" i="27"/>
  <c r="W133" i="32"/>
  <c r="W131" i="32"/>
  <c r="W135" i="32"/>
  <c r="V118" i="31"/>
  <c r="V119" i="31" s="1"/>
  <c r="V116" i="31"/>
  <c r="V132" i="31"/>
  <c r="T136" i="31"/>
  <c r="T138" i="31"/>
  <c r="U139" i="32"/>
  <c r="U287" i="32"/>
  <c r="R116" i="20" l="1"/>
  <c r="R132" i="20"/>
  <c r="R132" i="33" s="1"/>
  <c r="R118" i="20"/>
  <c r="R118" i="33" s="1"/>
  <c r="S111" i="20"/>
  <c r="S111" i="33" s="1"/>
  <c r="Q139" i="20"/>
  <c r="Q287" i="20"/>
  <c r="Q287" i="33" s="1"/>
  <c r="S112" i="20"/>
  <c r="S112" i="33" s="1"/>
  <c r="T67" i="20"/>
  <c r="T67" i="33" s="1"/>
  <c r="O294" i="20"/>
  <c r="P291" i="20" s="1"/>
  <c r="R293" i="31"/>
  <c r="R296" i="31" s="1"/>
  <c r="Q294" i="32"/>
  <c r="R291" i="32" s="1"/>
  <c r="R294" i="24"/>
  <c r="S291" i="24" s="1"/>
  <c r="AF242" i="31"/>
  <c r="AF243" i="31" s="1"/>
  <c r="AG240" i="31" s="1"/>
  <c r="AD242" i="27"/>
  <c r="AD243" i="27" s="1"/>
  <c r="AE240" i="27" s="1"/>
  <c r="AF242" i="20"/>
  <c r="AF243" i="20" s="1"/>
  <c r="AG240" i="20" s="1"/>
  <c r="AE242" i="24"/>
  <c r="AE243" i="24" s="1"/>
  <c r="AF240" i="24" s="1"/>
  <c r="Y131" i="24"/>
  <c r="Y133" i="24"/>
  <c r="Y135" i="24"/>
  <c r="AB67" i="27"/>
  <c r="AB69" i="27" s="1"/>
  <c r="AC64" i="27" s="1"/>
  <c r="X136" i="24"/>
  <c r="X138" i="24"/>
  <c r="W116" i="27"/>
  <c r="W132" i="27"/>
  <c r="W118" i="27"/>
  <c r="W119" i="27" s="1"/>
  <c r="Z113" i="32"/>
  <c r="Z115" i="32"/>
  <c r="S293" i="24"/>
  <c r="S296" i="24" s="1"/>
  <c r="T286" i="24"/>
  <c r="T288" i="24" s="1"/>
  <c r="T139" i="32"/>
  <c r="T287" i="32"/>
  <c r="W139" i="24"/>
  <c r="W287" i="24"/>
  <c r="Y115" i="32"/>
  <c r="Y113" i="32"/>
  <c r="X113" i="31"/>
  <c r="X115" i="31"/>
  <c r="V136" i="24"/>
  <c r="V138" i="24"/>
  <c r="AE242" i="32"/>
  <c r="AE243" i="32" s="1"/>
  <c r="AF240" i="32" s="1"/>
  <c r="V133" i="31"/>
  <c r="V131" i="31"/>
  <c r="V135" i="31"/>
  <c r="Y118" i="27"/>
  <c r="Y119" i="27" s="1"/>
  <c r="Y116" i="27"/>
  <c r="Y132" i="27"/>
  <c r="Z113" i="27"/>
  <c r="Z115" i="27"/>
  <c r="O288" i="27"/>
  <c r="O288" i="33"/>
  <c r="W136" i="31"/>
  <c r="W138" i="31"/>
  <c r="S293" i="31"/>
  <c r="S296" i="31" s="1"/>
  <c r="T286" i="31"/>
  <c r="V287" i="32"/>
  <c r="V139" i="32"/>
  <c r="V136" i="27"/>
  <c r="V138" i="27"/>
  <c r="AB67" i="32"/>
  <c r="AB69" i="32" s="1"/>
  <c r="AC64" i="32" s="1"/>
  <c r="S286" i="32"/>
  <c r="S288" i="32" s="1"/>
  <c r="R293" i="32"/>
  <c r="R296" i="32" s="1"/>
  <c r="AC67" i="24"/>
  <c r="AC69" i="24" s="1"/>
  <c r="AD64" i="24" s="1"/>
  <c r="T287" i="31"/>
  <c r="T139" i="31"/>
  <c r="AA70" i="27"/>
  <c r="AA111" i="27" s="1"/>
  <c r="AA112" i="27" s="1"/>
  <c r="AA101" i="27"/>
  <c r="AA113" i="24"/>
  <c r="AA115" i="24"/>
  <c r="AA67" i="31"/>
  <c r="AA69" i="31" s="1"/>
  <c r="AB64" i="31" s="1"/>
  <c r="Z70" i="31"/>
  <c r="Z111" i="31" s="1"/>
  <c r="Z112" i="31" s="1"/>
  <c r="Z101" i="31"/>
  <c r="AA101" i="32"/>
  <c r="AA70" i="32"/>
  <c r="AA111" i="32" s="1"/>
  <c r="AA112" i="32" s="1"/>
  <c r="X131" i="27"/>
  <c r="X135" i="27"/>
  <c r="X133" i="27"/>
  <c r="AB70" i="24"/>
  <c r="AB111" i="24" s="1"/>
  <c r="AB112" i="24" s="1"/>
  <c r="AB101" i="24"/>
  <c r="X131" i="32"/>
  <c r="X133" i="32"/>
  <c r="X135" i="32"/>
  <c r="O296" i="20"/>
  <c r="Z118" i="24"/>
  <c r="Z119" i="24" s="1"/>
  <c r="Z116" i="24"/>
  <c r="Z132" i="24"/>
  <c r="Y118" i="31"/>
  <c r="Y119" i="31" s="1"/>
  <c r="Y116" i="31"/>
  <c r="Y132" i="31"/>
  <c r="W136" i="32"/>
  <c r="W138" i="32"/>
  <c r="P288" i="20"/>
  <c r="R135" i="20" l="1"/>
  <c r="R135" i="33" s="1"/>
  <c r="R133" i="20"/>
  <c r="R131" i="20"/>
  <c r="R131" i="33" s="1"/>
  <c r="R119" i="20"/>
  <c r="S113" i="20"/>
  <c r="S115" i="20"/>
  <c r="S115" i="33" s="1"/>
  <c r="T69" i="20"/>
  <c r="T69" i="33" s="1"/>
  <c r="T101" i="20"/>
  <c r="T101" i="33" s="1"/>
  <c r="T70" i="20"/>
  <c r="T70" i="33" s="1"/>
  <c r="R294" i="31"/>
  <c r="S291" i="31" s="1"/>
  <c r="S294" i="31"/>
  <c r="T291" i="31" s="1"/>
  <c r="R294" i="32"/>
  <c r="S291" i="32" s="1"/>
  <c r="T293" i="24"/>
  <c r="T296" i="24" s="1"/>
  <c r="U286" i="24"/>
  <c r="U288" i="24" s="1"/>
  <c r="AF242" i="24"/>
  <c r="AF243" i="24" s="1"/>
  <c r="AG240" i="24" s="1"/>
  <c r="AF242" i="32"/>
  <c r="AF243" i="32" s="1"/>
  <c r="AG240" i="32" s="1"/>
  <c r="AG242" i="20"/>
  <c r="AG243" i="20" s="1"/>
  <c r="AH240" i="20" s="1"/>
  <c r="AE242" i="27"/>
  <c r="AE243" i="27" s="1"/>
  <c r="AF240" i="27" s="1"/>
  <c r="AG242" i="31"/>
  <c r="AG243" i="31" s="1"/>
  <c r="AH240" i="31" s="1"/>
  <c r="Y136" i="24"/>
  <c r="Y138" i="24"/>
  <c r="Y133" i="31"/>
  <c r="Y131" i="31"/>
  <c r="Y135" i="31"/>
  <c r="AB113" i="24"/>
  <c r="AB115" i="24"/>
  <c r="AA101" i="31"/>
  <c r="AA70" i="31"/>
  <c r="AA111" i="31" s="1"/>
  <c r="AA112" i="31" s="1"/>
  <c r="AC70" i="24"/>
  <c r="AC111" i="24" s="1"/>
  <c r="AC112" i="24" s="1"/>
  <c r="AC101" i="24"/>
  <c r="Y118" i="32"/>
  <c r="Y119" i="32" s="1"/>
  <c r="Y132" i="32"/>
  <c r="Y116" i="32"/>
  <c r="S294" i="24"/>
  <c r="T291" i="24" s="1"/>
  <c r="AA118" i="24"/>
  <c r="AA119" i="24" s="1"/>
  <c r="AA116" i="24"/>
  <c r="AA132" i="24"/>
  <c r="V138" i="31"/>
  <c r="V136" i="31"/>
  <c r="X136" i="27"/>
  <c r="X138" i="27"/>
  <c r="T286" i="32"/>
  <c r="T288" i="32" s="1"/>
  <c r="S293" i="32"/>
  <c r="S296" i="32" s="1"/>
  <c r="Z116" i="32"/>
  <c r="Z118" i="32"/>
  <c r="Z119" i="32" s="1"/>
  <c r="Z132" i="32"/>
  <c r="AD67" i="24"/>
  <c r="AD69" i="24" s="1"/>
  <c r="AE64" i="24" s="1"/>
  <c r="Z131" i="24"/>
  <c r="Z133" i="24"/>
  <c r="Z135" i="24"/>
  <c r="AA113" i="32"/>
  <c r="AA115" i="32"/>
  <c r="Q286" i="20"/>
  <c r="P293" i="20"/>
  <c r="AB70" i="32"/>
  <c r="AB111" i="32" s="1"/>
  <c r="AB112" i="32" s="1"/>
  <c r="AB101" i="32"/>
  <c r="W131" i="27"/>
  <c r="W133" i="27"/>
  <c r="W135" i="27"/>
  <c r="V139" i="24"/>
  <c r="V287" i="24"/>
  <c r="O293" i="27"/>
  <c r="O293" i="33" s="1"/>
  <c r="P286" i="27"/>
  <c r="P286" i="33" s="1"/>
  <c r="X139" i="24"/>
  <c r="X287" i="24"/>
  <c r="AB67" i="31"/>
  <c r="AB69" i="31" s="1"/>
  <c r="AC64" i="31" s="1"/>
  <c r="V287" i="27"/>
  <c r="V139" i="27"/>
  <c r="AC67" i="32"/>
  <c r="AC69" i="32" s="1"/>
  <c r="AD64" i="32" s="1"/>
  <c r="W139" i="31"/>
  <c r="W287" i="31"/>
  <c r="X118" i="31"/>
  <c r="X119" i="31" s="1"/>
  <c r="X116" i="31"/>
  <c r="X132" i="31"/>
  <c r="AC67" i="27"/>
  <c r="AC69" i="27" s="1"/>
  <c r="AD64" i="27" s="1"/>
  <c r="AA113" i="27"/>
  <c r="AA115" i="27"/>
  <c r="X136" i="32"/>
  <c r="X138" i="32"/>
  <c r="Z118" i="27"/>
  <c r="Z119" i="27" s="1"/>
  <c r="Z116" i="27"/>
  <c r="Z132" i="27"/>
  <c r="W139" i="32"/>
  <c r="W287" i="32"/>
  <c r="Z113" i="31"/>
  <c r="Z115" i="31"/>
  <c r="T288" i="31"/>
  <c r="Y135" i="27"/>
  <c r="Y133" i="27"/>
  <c r="Y131" i="27"/>
  <c r="AB101" i="27"/>
  <c r="AB70" i="27"/>
  <c r="AB111" i="27" s="1"/>
  <c r="AB112" i="27" s="1"/>
  <c r="R138" i="20" l="1"/>
  <c r="R138" i="33" s="1"/>
  <c r="R136" i="20"/>
  <c r="S118" i="20"/>
  <c r="S118" i="33" s="1"/>
  <c r="P288" i="33"/>
  <c r="S132" i="20"/>
  <c r="S132" i="33" s="1"/>
  <c r="S116" i="20"/>
  <c r="T111" i="20"/>
  <c r="T111" i="33" s="1"/>
  <c r="U64" i="20"/>
  <c r="U64" i="33" s="1"/>
  <c r="T294" i="24"/>
  <c r="U291" i="24" s="1"/>
  <c r="AG242" i="24"/>
  <c r="AG243" i="24" s="1"/>
  <c r="AH240" i="24" s="1"/>
  <c r="AH242" i="20"/>
  <c r="AH243" i="20" s="1"/>
  <c r="AI240" i="20" s="1"/>
  <c r="AD67" i="27"/>
  <c r="AD69" i="27" s="1"/>
  <c r="AE64" i="27" s="1"/>
  <c r="AC67" i="31"/>
  <c r="AC69" i="31" s="1"/>
  <c r="AD64" i="31" s="1"/>
  <c r="AH242" i="31"/>
  <c r="AH243" i="31" s="1"/>
  <c r="AI240" i="31" s="1"/>
  <c r="AE67" i="24"/>
  <c r="AE69" i="24" s="1"/>
  <c r="AF64" i="24" s="1"/>
  <c r="AG242" i="32"/>
  <c r="AG243" i="32" s="1"/>
  <c r="AH240" i="32" s="1"/>
  <c r="T293" i="32"/>
  <c r="T296" i="32" s="1"/>
  <c r="U286" i="32"/>
  <c r="U288" i="32" s="1"/>
  <c r="O296" i="27"/>
  <c r="O295" i="33"/>
  <c r="Q288" i="20"/>
  <c r="O294" i="27"/>
  <c r="P291" i="27" s="1"/>
  <c r="P291" i="33" s="1"/>
  <c r="AA116" i="32"/>
  <c r="AA118" i="32"/>
  <c r="AA119" i="32" s="1"/>
  <c r="AA132" i="32"/>
  <c r="AB118" i="24"/>
  <c r="AB119" i="24" s="1"/>
  <c r="AB116" i="24"/>
  <c r="AB132" i="24"/>
  <c r="AD67" i="32"/>
  <c r="AD69" i="32" s="1"/>
  <c r="AE64" i="32" s="1"/>
  <c r="AF242" i="27"/>
  <c r="AF243" i="27" s="1"/>
  <c r="AG240" i="27" s="1"/>
  <c r="R139" i="20"/>
  <c r="R287" i="20"/>
  <c r="R287" i="33" s="1"/>
  <c r="Y136" i="31"/>
  <c r="Y138" i="31"/>
  <c r="T293" i="31"/>
  <c r="T296" i="31" s="1"/>
  <c r="U286" i="31"/>
  <c r="U288" i="31" s="1"/>
  <c r="Z116" i="31"/>
  <c r="Z118" i="31"/>
  <c r="Z119" i="31" s="1"/>
  <c r="Z132" i="31"/>
  <c r="AC101" i="32"/>
  <c r="AC70" i="32"/>
  <c r="AC111" i="32" s="1"/>
  <c r="AC112" i="32" s="1"/>
  <c r="X139" i="32"/>
  <c r="X287" i="32"/>
  <c r="W138" i="27"/>
  <c r="W136" i="27"/>
  <c r="S294" i="32"/>
  <c r="T291" i="32" s="1"/>
  <c r="Y139" i="24"/>
  <c r="Y287" i="24"/>
  <c r="Y135" i="32"/>
  <c r="Y131" i="32"/>
  <c r="Y133" i="32"/>
  <c r="X287" i="27"/>
  <c r="X139" i="27"/>
  <c r="Z135" i="32"/>
  <c r="Z131" i="32"/>
  <c r="Z133" i="32"/>
  <c r="Y136" i="27"/>
  <c r="Y138" i="27"/>
  <c r="Z136" i="24"/>
  <c r="Z138" i="24"/>
  <c r="AB115" i="32"/>
  <c r="AB113" i="32"/>
  <c r="AC70" i="27"/>
  <c r="AC111" i="27" s="1"/>
  <c r="AC112" i="27" s="1"/>
  <c r="AC101" i="27"/>
  <c r="X133" i="31"/>
  <c r="X131" i="31"/>
  <c r="X135" i="31"/>
  <c r="AA116" i="27"/>
  <c r="AA118" i="27"/>
  <c r="AA119" i="27" s="1"/>
  <c r="AA132" i="27"/>
  <c r="AB70" i="31"/>
  <c r="AB111" i="31" s="1"/>
  <c r="AB112" i="31" s="1"/>
  <c r="AB101" i="31"/>
  <c r="AD70" i="24"/>
  <c r="AD111" i="24" s="1"/>
  <c r="AD112" i="24" s="1"/>
  <c r="AD101" i="24"/>
  <c r="Z131" i="27"/>
  <c r="Z133" i="27"/>
  <c r="Z135" i="27"/>
  <c r="P296" i="20"/>
  <c r="V287" i="31"/>
  <c r="V139" i="31"/>
  <c r="AC113" i="24"/>
  <c r="AC115" i="24"/>
  <c r="V286" i="24"/>
  <c r="V288" i="24" s="1"/>
  <c r="U293" i="24"/>
  <c r="U296" i="24" s="1"/>
  <c r="AB113" i="27"/>
  <c r="AB115" i="27"/>
  <c r="P288" i="27"/>
  <c r="P294" i="20"/>
  <c r="Q291" i="20" s="1"/>
  <c r="AA133" i="24"/>
  <c r="AA131" i="24"/>
  <c r="AA135" i="24"/>
  <c r="AA113" i="31"/>
  <c r="AA115" i="31"/>
  <c r="S119" i="20" l="1"/>
  <c r="S133" i="20"/>
  <c r="S131" i="20"/>
  <c r="S131" i="33" s="1"/>
  <c r="S135" i="20"/>
  <c r="S135" i="33" s="1"/>
  <c r="U67" i="20"/>
  <c r="U67" i="33" s="1"/>
  <c r="T112" i="20"/>
  <c r="T112" i="33" s="1"/>
  <c r="T294" i="32"/>
  <c r="U291" i="32" s="1"/>
  <c r="T294" i="31"/>
  <c r="U291" i="31" s="1"/>
  <c r="AI242" i="31"/>
  <c r="AI243" i="31" s="1"/>
  <c r="AJ240" i="31" s="1"/>
  <c r="AD67" i="31"/>
  <c r="AD69" i="31" s="1"/>
  <c r="AE64" i="31" s="1"/>
  <c r="AH242" i="32"/>
  <c r="AH243" i="32" s="1"/>
  <c r="AI240" i="32" s="1"/>
  <c r="AG242" i="27"/>
  <c r="AG243" i="27" s="1"/>
  <c r="AH240" i="27" s="1"/>
  <c r="AE67" i="32"/>
  <c r="AE69" i="32" s="1"/>
  <c r="AF64" i="32" s="1"/>
  <c r="AI242" i="20"/>
  <c r="AI243" i="20" s="1"/>
  <c r="AJ240" i="20" s="1"/>
  <c r="V293" i="24"/>
  <c r="V296" i="24" s="1"/>
  <c r="W286" i="24"/>
  <c r="W288" i="24" s="1"/>
  <c r="AH242" i="24"/>
  <c r="AH243" i="24" s="1"/>
  <c r="AI240" i="24" s="1"/>
  <c r="W139" i="27"/>
  <c r="W287" i="27"/>
  <c r="U293" i="31"/>
  <c r="U296" i="31" s="1"/>
  <c r="V286" i="31"/>
  <c r="V288" i="31" s="1"/>
  <c r="AF67" i="24"/>
  <c r="X136" i="31"/>
  <c r="X138" i="31"/>
  <c r="R286" i="20"/>
  <c r="Q293" i="20"/>
  <c r="AE101" i="24"/>
  <c r="AE70" i="24"/>
  <c r="AE111" i="24" s="1"/>
  <c r="AE112" i="24" s="1"/>
  <c r="Z136" i="27"/>
  <c r="Z138" i="27"/>
  <c r="AC113" i="32"/>
  <c r="AC115" i="32"/>
  <c r="Y139" i="31"/>
  <c r="Y287" i="31"/>
  <c r="AB133" i="24"/>
  <c r="AB131" i="24"/>
  <c r="AB135" i="24"/>
  <c r="AD70" i="32"/>
  <c r="AD111" i="32" s="1"/>
  <c r="AD112" i="32" s="1"/>
  <c r="AD101" i="32"/>
  <c r="AB118" i="27"/>
  <c r="AB119" i="27" s="1"/>
  <c r="AB116" i="27"/>
  <c r="AB132" i="27"/>
  <c r="Z139" i="24"/>
  <c r="Z287" i="24"/>
  <c r="Y136" i="32"/>
  <c r="Y138" i="32"/>
  <c r="Q286" i="27"/>
  <c r="Q286" i="33" s="1"/>
  <c r="P293" i="27"/>
  <c r="P293" i="33" s="1"/>
  <c r="AC101" i="31"/>
  <c r="AC70" i="31"/>
  <c r="AC111" i="31" s="1"/>
  <c r="AC112" i="31" s="1"/>
  <c r="Y139" i="27"/>
  <c r="Y287" i="27"/>
  <c r="AA131" i="32"/>
  <c r="AA133" i="32"/>
  <c r="AA135" i="32"/>
  <c r="AE67" i="27"/>
  <c r="AE69" i="27" s="1"/>
  <c r="AF64" i="27" s="1"/>
  <c r="AD70" i="27"/>
  <c r="AD111" i="27" s="1"/>
  <c r="AD112" i="27" s="1"/>
  <c r="AD101" i="27"/>
  <c r="AA118" i="31"/>
  <c r="AA119" i="31" s="1"/>
  <c r="AA116" i="31"/>
  <c r="AA132" i="31"/>
  <c r="AC113" i="27"/>
  <c r="AC115" i="27"/>
  <c r="U293" i="32"/>
  <c r="U296" i="32" s="1"/>
  <c r="V286" i="32"/>
  <c r="V288" i="32" s="1"/>
  <c r="Z131" i="31"/>
  <c r="Z133" i="31"/>
  <c r="Z135" i="31"/>
  <c r="AD113" i="24"/>
  <c r="AD115" i="24"/>
  <c r="AB113" i="31"/>
  <c r="AB115" i="31"/>
  <c r="AA131" i="27"/>
  <c r="AA133" i="27"/>
  <c r="AA135" i="27"/>
  <c r="AB118" i="32"/>
  <c r="AB119" i="32" s="1"/>
  <c r="AB132" i="32"/>
  <c r="AB116" i="32"/>
  <c r="Z136" i="32"/>
  <c r="Z138" i="32"/>
  <c r="AA136" i="24"/>
  <c r="AA138" i="24"/>
  <c r="U294" i="24"/>
  <c r="V291" i="24" s="1"/>
  <c r="AC132" i="24"/>
  <c r="AC116" i="24"/>
  <c r="AC118" i="24"/>
  <c r="AC119" i="24" s="1"/>
  <c r="U69" i="20" l="1"/>
  <c r="U69" i="33" s="1"/>
  <c r="S136" i="20"/>
  <c r="S138" i="20"/>
  <c r="S138" i="33" s="1"/>
  <c r="P294" i="27"/>
  <c r="Q291" i="27" s="1"/>
  <c r="Q291" i="33" s="1"/>
  <c r="P295" i="33"/>
  <c r="T113" i="20"/>
  <c r="T115" i="20"/>
  <c r="T115" i="33" s="1"/>
  <c r="U101" i="20"/>
  <c r="U101" i="33" s="1"/>
  <c r="U70" i="20"/>
  <c r="U70" i="33" s="1"/>
  <c r="Q294" i="20"/>
  <c r="R291" i="20" s="1"/>
  <c r="U294" i="31"/>
  <c r="V291" i="31" s="1"/>
  <c r="AI242" i="24"/>
  <c r="AI243" i="24" s="1"/>
  <c r="AJ240" i="24" s="1"/>
  <c r="AF67" i="32"/>
  <c r="AF69" i="32" s="1"/>
  <c r="AG64" i="32" s="1"/>
  <c r="AH242" i="27"/>
  <c r="AH243" i="27" s="1"/>
  <c r="AI240" i="27" s="1"/>
  <c r="AI242" i="32"/>
  <c r="AI243" i="32" s="1"/>
  <c r="AJ240" i="32" s="1"/>
  <c r="V293" i="31"/>
  <c r="V296" i="31" s="1"/>
  <c r="W286" i="31"/>
  <c r="W288" i="31" s="1"/>
  <c r="AJ242" i="31"/>
  <c r="AJ243" i="31" s="1"/>
  <c r="AK240" i="31" s="1"/>
  <c r="AJ242" i="20"/>
  <c r="AJ243" i="20" s="1"/>
  <c r="AK240" i="20" s="1"/>
  <c r="Q288" i="27"/>
  <c r="Q288" i="33"/>
  <c r="AC118" i="32"/>
  <c r="AC119" i="32" s="1"/>
  <c r="AC116" i="32"/>
  <c r="AC132" i="32"/>
  <c r="Q296" i="20"/>
  <c r="AE70" i="32"/>
  <c r="AE111" i="32" s="1"/>
  <c r="AE112" i="32" s="1"/>
  <c r="AE101" i="32"/>
  <c r="AF67" i="27"/>
  <c r="AF69" i="27" s="1"/>
  <c r="AG64" i="27" s="1"/>
  <c r="AC133" i="24"/>
  <c r="AC131" i="24"/>
  <c r="AC135" i="24"/>
  <c r="U294" i="32"/>
  <c r="V291" i="32" s="1"/>
  <c r="AD113" i="32"/>
  <c r="AD115" i="32"/>
  <c r="AB118" i="31"/>
  <c r="AB119" i="31" s="1"/>
  <c r="AB116" i="31"/>
  <c r="AB132" i="31"/>
  <c r="AC132" i="27"/>
  <c r="AC118" i="27"/>
  <c r="AC119" i="27" s="1"/>
  <c r="AC116" i="27"/>
  <c r="Y287" i="32"/>
  <c r="Y139" i="32"/>
  <c r="Z139" i="27"/>
  <c r="Z287" i="27"/>
  <c r="X139" i="31"/>
  <c r="X287" i="31"/>
  <c r="AA136" i="27"/>
  <c r="AA138" i="27"/>
  <c r="AB131" i="27"/>
  <c r="AB135" i="27"/>
  <c r="AB133" i="27"/>
  <c r="AF70" i="24"/>
  <c r="AF111" i="24" s="1"/>
  <c r="AF112" i="24" s="1"/>
  <c r="AF101" i="24"/>
  <c r="X286" i="24"/>
  <c r="X288" i="24" s="1"/>
  <c r="W293" i="24"/>
  <c r="W296" i="24" s="1"/>
  <c r="AE67" i="31"/>
  <c r="AE69" i="31" s="1"/>
  <c r="AF64" i="31" s="1"/>
  <c r="AE70" i="27"/>
  <c r="AE111" i="27" s="1"/>
  <c r="AE112" i="27" s="1"/>
  <c r="AE101" i="27"/>
  <c r="V293" i="32"/>
  <c r="V296" i="32" s="1"/>
  <c r="W286" i="32"/>
  <c r="W288" i="32" s="1"/>
  <c r="P296" i="27"/>
  <c r="AA139" i="24"/>
  <c r="AA287" i="24"/>
  <c r="R288" i="20"/>
  <c r="AB136" i="24"/>
  <c r="AB138" i="24"/>
  <c r="AF69" i="24"/>
  <c r="AG64" i="24" s="1"/>
  <c r="V294" i="24"/>
  <c r="W291" i="24" s="1"/>
  <c r="AD70" i="31"/>
  <c r="AD111" i="31" s="1"/>
  <c r="AD112" i="31" s="1"/>
  <c r="AD101" i="31"/>
  <c r="AA136" i="32"/>
  <c r="AA138" i="32"/>
  <c r="AD118" i="24"/>
  <c r="AD119" i="24" s="1"/>
  <c r="AD116" i="24"/>
  <c r="AD132" i="24"/>
  <c r="AA133" i="31"/>
  <c r="AA131" i="31"/>
  <c r="AA135" i="31"/>
  <c r="Z139" i="32"/>
  <c r="Z287" i="32"/>
  <c r="AB131" i="32"/>
  <c r="AB133" i="32"/>
  <c r="AB135" i="32"/>
  <c r="Z136" i="31"/>
  <c r="Z138" i="31"/>
  <c r="AD113" i="27"/>
  <c r="AD115" i="27"/>
  <c r="AC113" i="31"/>
  <c r="AC115" i="31"/>
  <c r="AE113" i="24"/>
  <c r="AE115" i="24"/>
  <c r="V64" i="20" l="1"/>
  <c r="V64" i="33" s="1"/>
  <c r="S287" i="20"/>
  <c r="S287" i="33" s="1"/>
  <c r="S139" i="20"/>
  <c r="T118" i="20"/>
  <c r="T118" i="33" s="1"/>
  <c r="T116" i="20"/>
  <c r="T132" i="20"/>
  <c r="T132" i="33" s="1"/>
  <c r="U111" i="20"/>
  <c r="U111" i="33" s="1"/>
  <c r="V67" i="20"/>
  <c r="V67" i="33" s="1"/>
  <c r="W294" i="24"/>
  <c r="X291" i="24" s="1"/>
  <c r="AF67" i="31"/>
  <c r="AF69" i="31" s="1"/>
  <c r="AG64" i="31" s="1"/>
  <c r="AJ242" i="32"/>
  <c r="AJ243" i="32" s="1"/>
  <c r="AK240" i="32" s="1"/>
  <c r="AK242" i="20"/>
  <c r="AK243" i="20" s="1"/>
  <c r="AL240" i="20" s="1"/>
  <c r="AI242" i="27"/>
  <c r="AI243" i="27" s="1"/>
  <c r="AJ240" i="27" s="1"/>
  <c r="AG67" i="32"/>
  <c r="AG69" i="32" s="1"/>
  <c r="AH64" i="32" s="1"/>
  <c r="AJ242" i="24"/>
  <c r="AJ243" i="24" s="1"/>
  <c r="AK240" i="24" s="1"/>
  <c r="AA139" i="32"/>
  <c r="AA287" i="32"/>
  <c r="AB136" i="27"/>
  <c r="AB138" i="27"/>
  <c r="AK242" i="31"/>
  <c r="AK243" i="31" s="1"/>
  <c r="AL240" i="31" s="1"/>
  <c r="V294" i="32"/>
  <c r="W291" i="32" s="1"/>
  <c r="W293" i="31"/>
  <c r="W296" i="31" s="1"/>
  <c r="X286" i="31"/>
  <c r="X288" i="31" s="1"/>
  <c r="AA139" i="27"/>
  <c r="AA287" i="27"/>
  <c r="AC136" i="24"/>
  <c r="AC138" i="24"/>
  <c r="AC131" i="32"/>
  <c r="AC133" i="32"/>
  <c r="AC135" i="32"/>
  <c r="V294" i="31"/>
  <c r="W291" i="31" s="1"/>
  <c r="AD113" i="31"/>
  <c r="AD115" i="31"/>
  <c r="AE113" i="27"/>
  <c r="AE115" i="27"/>
  <c r="AC132" i="31"/>
  <c r="AC116" i="31"/>
  <c r="AC118" i="31"/>
  <c r="AC119" i="31" s="1"/>
  <c r="AG67" i="24"/>
  <c r="AG69" i="24" s="1"/>
  <c r="AH64" i="24" s="1"/>
  <c r="AD116" i="27"/>
  <c r="AD118" i="27"/>
  <c r="AD119" i="27" s="1"/>
  <c r="AD132" i="27"/>
  <c r="AG67" i="27"/>
  <c r="AG69" i="27" s="1"/>
  <c r="AH64" i="27" s="1"/>
  <c r="AC131" i="27"/>
  <c r="AC133" i="27"/>
  <c r="AC135" i="27"/>
  <c r="Y286" i="24"/>
  <c r="Y288" i="24" s="1"/>
  <c r="X293" i="24"/>
  <c r="X296" i="24" s="1"/>
  <c r="AB135" i="31"/>
  <c r="AB133" i="31"/>
  <c r="AB131" i="31"/>
  <c r="AA136" i="31"/>
  <c r="AA138" i="31"/>
  <c r="AF70" i="27"/>
  <c r="AF111" i="27" s="1"/>
  <c r="AF112" i="27" s="1"/>
  <c r="AF101" i="27"/>
  <c r="Z287" i="31"/>
  <c r="Z139" i="31"/>
  <c r="AD131" i="24"/>
  <c r="AD135" i="24"/>
  <c r="AD133" i="24"/>
  <c r="AB139" i="24"/>
  <c r="AB287" i="24"/>
  <c r="AE113" i="32"/>
  <c r="AE115" i="32"/>
  <c r="AF101" i="32"/>
  <c r="AF70" i="32"/>
  <c r="AF111" i="32" s="1"/>
  <c r="AF112" i="32" s="1"/>
  <c r="AE101" i="31"/>
  <c r="AE70" i="31"/>
  <c r="AE111" i="31" s="1"/>
  <c r="AE112" i="31" s="1"/>
  <c r="Q293" i="27"/>
  <c r="Q293" i="33" s="1"/>
  <c r="R286" i="27"/>
  <c r="R286" i="33" s="1"/>
  <c r="AE118" i="24"/>
  <c r="AE119" i="24" s="1"/>
  <c r="AE116" i="24"/>
  <c r="AE132" i="24"/>
  <c r="AB138" i="32"/>
  <c r="AB136" i="32"/>
  <c r="AF113" i="24"/>
  <c r="AF115" i="24"/>
  <c r="R293" i="20"/>
  <c r="S286" i="20"/>
  <c r="W293" i="32"/>
  <c r="W296" i="32" s="1"/>
  <c r="X286" i="32"/>
  <c r="X288" i="32" s="1"/>
  <c r="AD118" i="32"/>
  <c r="AD119" i="32" s="1"/>
  <c r="AD116" i="32"/>
  <c r="AD132" i="32"/>
  <c r="V69" i="20" l="1"/>
  <c r="Q294" i="27"/>
  <c r="R291" i="27" s="1"/>
  <c r="R291" i="33" s="1"/>
  <c r="Q295" i="33"/>
  <c r="T135" i="20"/>
  <c r="T135" i="33" s="1"/>
  <c r="T131" i="20"/>
  <c r="T131" i="33" s="1"/>
  <c r="T133" i="20"/>
  <c r="U112" i="20"/>
  <c r="U112" i="33" s="1"/>
  <c r="T119" i="20"/>
  <c r="V101" i="20"/>
  <c r="V101" i="33" s="1"/>
  <c r="V70" i="20"/>
  <c r="V70" i="33" s="1"/>
  <c r="S288" i="20"/>
  <c r="T286" i="20" s="1"/>
  <c r="R294" i="20"/>
  <c r="S291" i="20" s="1"/>
  <c r="W294" i="31"/>
  <c r="X291" i="31" s="1"/>
  <c r="W294" i="32"/>
  <c r="X291" i="32" s="1"/>
  <c r="AJ242" i="27"/>
  <c r="AJ243" i="27" s="1"/>
  <c r="AK240" i="27" s="1"/>
  <c r="AL242" i="20"/>
  <c r="AL243" i="20" s="1"/>
  <c r="AM240" i="20" s="1"/>
  <c r="AK242" i="24"/>
  <c r="AK243" i="24" s="1"/>
  <c r="AL240" i="24" s="1"/>
  <c r="AK242" i="32"/>
  <c r="AK243" i="32" s="1"/>
  <c r="AL240" i="32" s="1"/>
  <c r="AH67" i="27"/>
  <c r="AL242" i="31"/>
  <c r="AL243" i="31" s="1"/>
  <c r="AM240" i="31" s="1"/>
  <c r="R288" i="27"/>
  <c r="AD136" i="24"/>
  <c r="AD138" i="24"/>
  <c r="X294" i="24"/>
  <c r="Y291" i="24" s="1"/>
  <c r="AH67" i="24"/>
  <c r="AH69" i="24" s="1"/>
  <c r="AI64" i="24" s="1"/>
  <c r="AD118" i="31"/>
  <c r="AD119" i="31" s="1"/>
  <c r="AD116" i="31"/>
  <c r="AD132" i="31"/>
  <c r="Y293" i="24"/>
  <c r="Y296" i="24" s="1"/>
  <c r="Z286" i="24"/>
  <c r="Z288" i="24" s="1"/>
  <c r="AG101" i="24"/>
  <c r="AG70" i="24"/>
  <c r="AG111" i="24" s="1"/>
  <c r="AG112" i="24" s="1"/>
  <c r="AH67" i="32"/>
  <c r="AH69" i="32" s="1"/>
  <c r="AI64" i="32" s="1"/>
  <c r="R296" i="20"/>
  <c r="AC136" i="27"/>
  <c r="AC138" i="27"/>
  <c r="AG101" i="32"/>
  <c r="AG70" i="32"/>
  <c r="AG111" i="32" s="1"/>
  <c r="AG112" i="32" s="1"/>
  <c r="AE113" i="31"/>
  <c r="AE115" i="31"/>
  <c r="AA139" i="31"/>
  <c r="AA287" i="31"/>
  <c r="Q296" i="27"/>
  <c r="X293" i="31"/>
  <c r="X296" i="31" s="1"/>
  <c r="Y286" i="31"/>
  <c r="Y288" i="31" s="1"/>
  <c r="AC133" i="31"/>
  <c r="AC135" i="31"/>
  <c r="AC131" i="31"/>
  <c r="AF113" i="32"/>
  <c r="AF115" i="32"/>
  <c r="AF113" i="27"/>
  <c r="AF115" i="27"/>
  <c r="AE116" i="27"/>
  <c r="AE118" i="27"/>
  <c r="AE119" i="27" s="1"/>
  <c r="AE132" i="27"/>
  <c r="AB139" i="27"/>
  <c r="AB287" i="27"/>
  <c r="AG101" i="27"/>
  <c r="AG70" i="27"/>
  <c r="AG111" i="27" s="1"/>
  <c r="AG112" i="27" s="1"/>
  <c r="AC287" i="24"/>
  <c r="AC139" i="24"/>
  <c r="AB139" i="32"/>
  <c r="AB287" i="32"/>
  <c r="AE118" i="32"/>
  <c r="AE119" i="32" s="1"/>
  <c r="AE116" i="32"/>
  <c r="AE132" i="32"/>
  <c r="AB136" i="31"/>
  <c r="AB138" i="31"/>
  <c r="AD133" i="27"/>
  <c r="AD131" i="27"/>
  <c r="AD135" i="27"/>
  <c r="AE133" i="24"/>
  <c r="AE131" i="24"/>
  <c r="AE135" i="24"/>
  <c r="AG67" i="31"/>
  <c r="AG69" i="31" s="1"/>
  <c r="AH64" i="31" s="1"/>
  <c r="AC136" i="32"/>
  <c r="AC138" i="32"/>
  <c r="AF118" i="24"/>
  <c r="AF119" i="24" s="1"/>
  <c r="AF116" i="24"/>
  <c r="AF132" i="24"/>
  <c r="AD133" i="32"/>
  <c r="AD131" i="32"/>
  <c r="AD135" i="32"/>
  <c r="X293" i="32"/>
  <c r="X296" i="32" s="1"/>
  <c r="Y286" i="32"/>
  <c r="Y288" i="32" s="1"/>
  <c r="AF70" i="31"/>
  <c r="AF111" i="31" s="1"/>
  <c r="AF112" i="31" s="1"/>
  <c r="AF101" i="31"/>
  <c r="W64" i="20" l="1"/>
  <c r="W64" i="33" s="1"/>
  <c r="V69" i="33"/>
  <c r="R288" i="33"/>
  <c r="S293" i="20"/>
  <c r="U113" i="20"/>
  <c r="U115" i="20"/>
  <c r="U115" i="33" s="1"/>
  <c r="T138" i="20"/>
  <c r="T138" i="33" s="1"/>
  <c r="T136" i="20"/>
  <c r="V111" i="20"/>
  <c r="V111" i="33" s="1"/>
  <c r="X294" i="32"/>
  <c r="Y291" i="32" s="1"/>
  <c r="X294" i="31"/>
  <c r="Y291" i="31" s="1"/>
  <c r="Y294" i="24"/>
  <c r="Z291" i="24" s="1"/>
  <c r="AH67" i="31"/>
  <c r="AL242" i="32"/>
  <c r="AL243" i="32" s="1"/>
  <c r="AM240" i="32" s="1"/>
  <c r="AM242" i="31"/>
  <c r="AM243" i="31" s="1"/>
  <c r="AL242" i="24"/>
  <c r="AL243" i="24" s="1"/>
  <c r="AM240" i="24" s="1"/>
  <c r="AM242" i="20"/>
  <c r="AM243" i="20" s="1"/>
  <c r="AK242" i="27"/>
  <c r="AK243" i="27" s="1"/>
  <c r="AL240" i="27" s="1"/>
  <c r="AE118" i="31"/>
  <c r="AE119" i="31" s="1"/>
  <c r="AE116" i="31"/>
  <c r="AE132" i="31"/>
  <c r="AI67" i="24"/>
  <c r="AI69" i="24" s="1"/>
  <c r="AJ64" i="24" s="1"/>
  <c r="AE133" i="27"/>
  <c r="AE131" i="27"/>
  <c r="AE135" i="27"/>
  <c r="AH101" i="24"/>
  <c r="AH70" i="24"/>
  <c r="AH111" i="24" s="1"/>
  <c r="AH112" i="24" s="1"/>
  <c r="AC136" i="31"/>
  <c r="AC138" i="31"/>
  <c r="Y293" i="31"/>
  <c r="Y296" i="31" s="1"/>
  <c r="Z286" i="31"/>
  <c r="Z288" i="31" s="1"/>
  <c r="AH70" i="32"/>
  <c r="AH111" i="32" s="1"/>
  <c r="AH112" i="32" s="1"/>
  <c r="AH101" i="32"/>
  <c r="AH70" i="27"/>
  <c r="AH111" i="27" s="1"/>
  <c r="AH112" i="27" s="1"/>
  <c r="AH101" i="27"/>
  <c r="AI67" i="32"/>
  <c r="AI69" i="32" s="1"/>
  <c r="AJ64" i="32" s="1"/>
  <c r="AH69" i="27"/>
  <c r="AI64" i="27" s="1"/>
  <c r="AF131" i="24"/>
  <c r="AF133" i="24"/>
  <c r="AF135" i="24"/>
  <c r="AE136" i="24"/>
  <c r="AE138" i="24"/>
  <c r="AG113" i="24"/>
  <c r="AG115" i="24"/>
  <c r="AC139" i="32"/>
  <c r="AC287" i="32"/>
  <c r="AF115" i="31"/>
  <c r="AF113" i="31"/>
  <c r="AG113" i="32"/>
  <c r="AG115" i="32"/>
  <c r="AD136" i="27"/>
  <c r="AD138" i="27"/>
  <c r="AG113" i="27"/>
  <c r="AG115" i="27"/>
  <c r="AF116" i="27"/>
  <c r="AF118" i="27"/>
  <c r="AF119" i="27" s="1"/>
  <c r="AF132" i="27"/>
  <c r="AA286" i="24"/>
  <c r="AA288" i="24" s="1"/>
  <c r="Z293" i="24"/>
  <c r="Z296" i="24" s="1"/>
  <c r="AD139" i="24"/>
  <c r="AD287" i="24"/>
  <c r="AG70" i="31"/>
  <c r="AG111" i="31" s="1"/>
  <c r="AG112" i="31" s="1"/>
  <c r="AG101" i="31"/>
  <c r="Z286" i="32"/>
  <c r="Z288" i="32" s="1"/>
  <c r="Y293" i="32"/>
  <c r="Y296" i="32" s="1"/>
  <c r="AC287" i="27"/>
  <c r="AC139" i="27"/>
  <c r="AD133" i="31"/>
  <c r="AD131" i="31"/>
  <c r="AD135" i="31"/>
  <c r="R293" i="27"/>
  <c r="R293" i="33" s="1"/>
  <c r="S286" i="27"/>
  <c r="S286" i="33" s="1"/>
  <c r="AB139" i="31"/>
  <c r="AB287" i="31"/>
  <c r="AF118" i="32"/>
  <c r="AF119" i="32" s="1"/>
  <c r="AF116" i="32"/>
  <c r="AF132" i="32"/>
  <c r="AD136" i="32"/>
  <c r="AD138" i="32"/>
  <c r="AE131" i="32"/>
  <c r="AE133" i="32"/>
  <c r="AE135" i="32"/>
  <c r="W67" i="20" l="1"/>
  <c r="W67" i="33" s="1"/>
  <c r="S294" i="20"/>
  <c r="T291" i="20" s="1"/>
  <c r="S296" i="20"/>
  <c r="R294" i="27"/>
  <c r="S291" i="27" s="1"/>
  <c r="S291" i="33" s="1"/>
  <c r="R295" i="33"/>
  <c r="U118" i="20"/>
  <c r="U118" i="33" s="1"/>
  <c r="U132" i="20"/>
  <c r="U132" i="33" s="1"/>
  <c r="U116" i="20"/>
  <c r="V112" i="20"/>
  <c r="V112" i="33" s="1"/>
  <c r="T287" i="20"/>
  <c r="T287" i="33" s="1"/>
  <c r="T139" i="20"/>
  <c r="Y294" i="31"/>
  <c r="Z291" i="31" s="1"/>
  <c r="AM242" i="24"/>
  <c r="AM243" i="24" s="1"/>
  <c r="AM242" i="32"/>
  <c r="AM243" i="32" s="1"/>
  <c r="AI67" i="27"/>
  <c r="AI69" i="27" s="1"/>
  <c r="AJ64" i="27" s="1"/>
  <c r="AJ67" i="32"/>
  <c r="AJ69" i="32" s="1"/>
  <c r="AK64" i="32" s="1"/>
  <c r="AG118" i="32"/>
  <c r="AG119" i="32" s="1"/>
  <c r="AG116" i="32"/>
  <c r="AG132" i="32"/>
  <c r="AE136" i="27"/>
  <c r="AE138" i="27"/>
  <c r="S288" i="27"/>
  <c r="S288" i="33"/>
  <c r="AH113" i="27"/>
  <c r="AH115" i="27"/>
  <c r="AF116" i="31"/>
  <c r="AF118" i="31"/>
  <c r="AF119" i="31" s="1"/>
  <c r="AF132" i="31"/>
  <c r="AI101" i="24"/>
  <c r="AI70" i="24"/>
  <c r="AI111" i="24" s="1"/>
  <c r="AI112" i="24" s="1"/>
  <c r="AL242" i="27"/>
  <c r="AL243" i="27" s="1"/>
  <c r="AM240" i="27" s="1"/>
  <c r="AB286" i="24"/>
  <c r="AB288" i="24" s="1"/>
  <c r="AA293" i="24"/>
  <c r="AA296" i="24" s="1"/>
  <c r="AG116" i="24"/>
  <c r="AG118" i="24"/>
  <c r="AG119" i="24" s="1"/>
  <c r="AG132" i="24"/>
  <c r="R296" i="27"/>
  <c r="AH113" i="32"/>
  <c r="AH115" i="32"/>
  <c r="AF131" i="32"/>
  <c r="AF133" i="32"/>
  <c r="AF135" i="32"/>
  <c r="AE133" i="31"/>
  <c r="AE131" i="31"/>
  <c r="AE135" i="31"/>
  <c r="Y294" i="32"/>
  <c r="Z291" i="32" s="1"/>
  <c r="AJ67" i="24"/>
  <c r="AJ69" i="24" s="1"/>
  <c r="AK64" i="24" s="1"/>
  <c r="Z293" i="31"/>
  <c r="Z296" i="31" s="1"/>
  <c r="AA286" i="31"/>
  <c r="AA288" i="31" s="1"/>
  <c r="AD136" i="31"/>
  <c r="AD138" i="31"/>
  <c r="AF136" i="24"/>
  <c r="AF138" i="24"/>
  <c r="AD139" i="27"/>
  <c r="AD287" i="27"/>
  <c r="AH113" i="24"/>
  <c r="AH115" i="24"/>
  <c r="AE138" i="32"/>
  <c r="AE136" i="32"/>
  <c r="AD139" i="32"/>
  <c r="AD287" i="32"/>
  <c r="AG113" i="31"/>
  <c r="AG115" i="31"/>
  <c r="AH70" i="31"/>
  <c r="AH111" i="31" s="1"/>
  <c r="AH112" i="31" s="1"/>
  <c r="AH101" i="31"/>
  <c r="AI70" i="32"/>
  <c r="AI111" i="32" s="1"/>
  <c r="AI112" i="32" s="1"/>
  <c r="AI101" i="32"/>
  <c r="Z294" i="24"/>
  <c r="AA291" i="24" s="1"/>
  <c r="AA286" i="32"/>
  <c r="AA288" i="32" s="1"/>
  <c r="Z293" i="32"/>
  <c r="Z296" i="32" s="1"/>
  <c r="AF131" i="27"/>
  <c r="AF133" i="27"/>
  <c r="AF135" i="27"/>
  <c r="AE287" i="24"/>
  <c r="AE139" i="24"/>
  <c r="AG116" i="27"/>
  <c r="AG132" i="27"/>
  <c r="AG118" i="27"/>
  <c r="AG119" i="27" s="1"/>
  <c r="AC139" i="31"/>
  <c r="AC287" i="31"/>
  <c r="AH69" i="31"/>
  <c r="AI64" i="31" s="1"/>
  <c r="W69" i="20" l="1"/>
  <c r="X64" i="20" s="1"/>
  <c r="X64" i="33" s="1"/>
  <c r="W70" i="20"/>
  <c r="W70" i="33" s="1"/>
  <c r="W101" i="20"/>
  <c r="W101" i="33" s="1"/>
  <c r="T288" i="20"/>
  <c r="U133" i="20"/>
  <c r="U131" i="20"/>
  <c r="U131" i="33" s="1"/>
  <c r="U135" i="20"/>
  <c r="U135" i="33" s="1"/>
  <c r="V113" i="20"/>
  <c r="V115" i="20"/>
  <c r="V115" i="33" s="1"/>
  <c r="U119" i="20"/>
  <c r="Z294" i="32"/>
  <c r="AA291" i="32" s="1"/>
  <c r="AM242" i="27"/>
  <c r="AM243" i="27" s="1"/>
  <c r="AG133" i="24"/>
  <c r="AG131" i="24"/>
  <c r="AG135" i="24"/>
  <c r="AH115" i="31"/>
  <c r="AH113" i="31"/>
  <c r="AE139" i="32"/>
  <c r="AE287" i="32"/>
  <c r="AF133" i="31"/>
  <c r="AF131" i="31"/>
  <c r="AF135" i="31"/>
  <c r="AF138" i="27"/>
  <c r="AF136" i="27"/>
  <c r="AD139" i="31"/>
  <c r="AD287" i="31"/>
  <c r="AK67" i="32"/>
  <c r="AK69" i="32" s="1"/>
  <c r="AL64" i="32" s="1"/>
  <c r="AH116" i="24"/>
  <c r="AH118" i="24"/>
  <c r="AH119" i="24" s="1"/>
  <c r="AH132" i="24"/>
  <c r="AA294" i="24"/>
  <c r="AB291" i="24" s="1"/>
  <c r="AJ70" i="32"/>
  <c r="AJ111" i="32" s="1"/>
  <c r="AJ112" i="32" s="1"/>
  <c r="AJ101" i="32"/>
  <c r="AB293" i="24"/>
  <c r="AB296" i="24" s="1"/>
  <c r="AC286" i="24"/>
  <c r="AC288" i="24" s="1"/>
  <c r="AH116" i="27"/>
  <c r="AH118" i="27"/>
  <c r="AH119" i="27" s="1"/>
  <c r="AH132" i="27"/>
  <c r="AJ67" i="27"/>
  <c r="AJ69" i="27" s="1"/>
  <c r="AK64" i="27" s="1"/>
  <c r="AF136" i="32"/>
  <c r="AF138" i="32"/>
  <c r="AG132" i="31"/>
  <c r="AG118" i="31"/>
  <c r="AG119" i="31" s="1"/>
  <c r="AG116" i="31"/>
  <c r="AI70" i="27"/>
  <c r="AI111" i="27" s="1"/>
  <c r="AI112" i="27" s="1"/>
  <c r="AI101" i="27"/>
  <c r="AE136" i="31"/>
  <c r="AE138" i="31"/>
  <c r="AI67" i="31"/>
  <c r="AI69" i="31" s="1"/>
  <c r="AJ64" i="31" s="1"/>
  <c r="AA293" i="32"/>
  <c r="AA296" i="32" s="1"/>
  <c r="AB286" i="32"/>
  <c r="AB288" i="32" s="1"/>
  <c r="AB286" i="31"/>
  <c r="AB288" i="31" s="1"/>
  <c r="AA293" i="31"/>
  <c r="AA296" i="31" s="1"/>
  <c r="Z294" i="31"/>
  <c r="AA291" i="31" s="1"/>
  <c r="AH116" i="32"/>
  <c r="AH118" i="32"/>
  <c r="AH119" i="32" s="1"/>
  <c r="AH132" i="32"/>
  <c r="S293" i="27"/>
  <c r="S293" i="33" s="1"/>
  <c r="T286" i="27"/>
  <c r="T286" i="33" s="1"/>
  <c r="AG135" i="27"/>
  <c r="AG131" i="27"/>
  <c r="AG133" i="27"/>
  <c r="AI113" i="24"/>
  <c r="AI115" i="24"/>
  <c r="AE139" i="27"/>
  <c r="AE287" i="27"/>
  <c r="AF139" i="24"/>
  <c r="AF287" i="24"/>
  <c r="AK67" i="24"/>
  <c r="AK69" i="24" s="1"/>
  <c r="AL64" i="24" s="1"/>
  <c r="AI113" i="32"/>
  <c r="AI115" i="32"/>
  <c r="AJ70" i="24"/>
  <c r="AJ111" i="24" s="1"/>
  <c r="AJ112" i="24" s="1"/>
  <c r="AJ101" i="24"/>
  <c r="AG133" i="32"/>
  <c r="AG131" i="32"/>
  <c r="AG135" i="32"/>
  <c r="W69" i="33" l="1"/>
  <c r="X67" i="20"/>
  <c r="X67" i="33" s="1"/>
  <c r="W111" i="20"/>
  <c r="W111" i="33" s="1"/>
  <c r="S294" i="27"/>
  <c r="T291" i="27" s="1"/>
  <c r="T291" i="33" s="1"/>
  <c r="S295" i="33"/>
  <c r="V118" i="20"/>
  <c r="V118" i="33" s="1"/>
  <c r="V116" i="20"/>
  <c r="V132" i="20"/>
  <c r="V132" i="33" s="1"/>
  <c r="U136" i="20"/>
  <c r="U138" i="20"/>
  <c r="U138" i="33" s="1"/>
  <c r="W112" i="20"/>
  <c r="W112" i="33" s="1"/>
  <c r="X70" i="20"/>
  <c r="X70" i="33" s="1"/>
  <c r="U286" i="20"/>
  <c r="T293" i="20"/>
  <c r="AA294" i="32"/>
  <c r="AB291" i="32" s="1"/>
  <c r="AK67" i="27"/>
  <c r="AK69" i="27" s="1"/>
  <c r="AL64" i="27" s="1"/>
  <c r="AJ67" i="31"/>
  <c r="AJ69" i="31" s="1"/>
  <c r="AK64" i="31" s="1"/>
  <c r="AH131" i="32"/>
  <c r="AH133" i="32"/>
  <c r="AH135" i="32"/>
  <c r="AG135" i="31"/>
  <c r="AG131" i="31"/>
  <c r="AG133" i="31"/>
  <c r="S296" i="27"/>
  <c r="AJ113" i="32"/>
  <c r="AJ115" i="32"/>
  <c r="AF287" i="27"/>
  <c r="AF139" i="27"/>
  <c r="AL67" i="24"/>
  <c r="AL69" i="24" s="1"/>
  <c r="AM64" i="24" s="1"/>
  <c r="AE139" i="31"/>
  <c r="AE287" i="31"/>
  <c r="AF139" i="32"/>
  <c r="AF287" i="32"/>
  <c r="AF136" i="31"/>
  <c r="AF138" i="31"/>
  <c r="AI118" i="24"/>
  <c r="AI119" i="24" s="1"/>
  <c r="AI116" i="24"/>
  <c r="AI132" i="24"/>
  <c r="AI118" i="32"/>
  <c r="AI119" i="32" s="1"/>
  <c r="AI116" i="32"/>
  <c r="AI132" i="32"/>
  <c r="AH131" i="24"/>
  <c r="AH133" i="24"/>
  <c r="AH135" i="24"/>
  <c r="AH132" i="31"/>
  <c r="AH118" i="31"/>
  <c r="AH119" i="31" s="1"/>
  <c r="AH116" i="31"/>
  <c r="AJ115" i="24"/>
  <c r="AJ113" i="24"/>
  <c r="AJ101" i="27"/>
  <c r="AJ70" i="27"/>
  <c r="AJ111" i="27" s="1"/>
  <c r="AJ112" i="27" s="1"/>
  <c r="AG136" i="24"/>
  <c r="AG138" i="24"/>
  <c r="AI101" i="31"/>
  <c r="AI70" i="31"/>
  <c r="AI111" i="31" s="1"/>
  <c r="AI112" i="31" s="1"/>
  <c r="AC286" i="31"/>
  <c r="AC288" i="31" s="1"/>
  <c r="AB293" i="31"/>
  <c r="AB296" i="31" s="1"/>
  <c r="AH131" i="27"/>
  <c r="AH133" i="27"/>
  <c r="AH135" i="27"/>
  <c r="AA294" i="31"/>
  <c r="AB291" i="31" s="1"/>
  <c r="AC286" i="32"/>
  <c r="AC288" i="32" s="1"/>
  <c r="AB293" i="32"/>
  <c r="AB296" i="32" s="1"/>
  <c r="AI113" i="27"/>
  <c r="AI115" i="27"/>
  <c r="AL67" i="32"/>
  <c r="AL69" i="32" s="1"/>
  <c r="AM64" i="32" s="1"/>
  <c r="AD286" i="24"/>
  <c r="AD288" i="24" s="1"/>
  <c r="AC293" i="24"/>
  <c r="AC296" i="24" s="1"/>
  <c r="AG138" i="27"/>
  <c r="AG136" i="27"/>
  <c r="AG138" i="32"/>
  <c r="AG136" i="32"/>
  <c r="AK70" i="24"/>
  <c r="AK111" i="24" s="1"/>
  <c r="AK112" i="24" s="1"/>
  <c r="AK101" i="24"/>
  <c r="T288" i="27"/>
  <c r="T288" i="33"/>
  <c r="AB294" i="24"/>
  <c r="AC291" i="24" s="1"/>
  <c r="AK101" i="32"/>
  <c r="AK70" i="32"/>
  <c r="AK111" i="32" s="1"/>
  <c r="AK112" i="32" s="1"/>
  <c r="X101" i="20" l="1"/>
  <c r="X101" i="33" s="1"/>
  <c r="X69" i="20"/>
  <c r="X69" i="33" s="1"/>
  <c r="W115" i="20"/>
  <c r="W115" i="33" s="1"/>
  <c r="W113" i="20"/>
  <c r="V133" i="20"/>
  <c r="V135" i="20"/>
  <c r="V135" i="33" s="1"/>
  <c r="V131" i="20"/>
  <c r="V131" i="33" s="1"/>
  <c r="T294" i="20"/>
  <c r="U291" i="20" s="1"/>
  <c r="T296" i="20"/>
  <c r="V119" i="20"/>
  <c r="U139" i="20"/>
  <c r="U287" i="20"/>
  <c r="U287" i="33" s="1"/>
  <c r="X111" i="20"/>
  <c r="X111" i="33" s="1"/>
  <c r="AB294" i="32"/>
  <c r="AC291" i="32" s="1"/>
  <c r="AB294" i="31"/>
  <c r="AC291" i="31" s="1"/>
  <c r="T293" i="27"/>
  <c r="T294" i="27" s="1"/>
  <c r="U291" i="27" s="1"/>
  <c r="U286" i="27"/>
  <c r="U286" i="33" s="1"/>
  <c r="AH131" i="31"/>
  <c r="AH135" i="31"/>
  <c r="AH133" i="31"/>
  <c r="AC294" i="24"/>
  <c r="AD291" i="24" s="1"/>
  <c r="AH136" i="24"/>
  <c r="AH138" i="24"/>
  <c r="AF139" i="31"/>
  <c r="AF287" i="31"/>
  <c r="AJ118" i="32"/>
  <c r="AJ119" i="32" s="1"/>
  <c r="AJ116" i="32"/>
  <c r="AJ132" i="32"/>
  <c r="AM67" i="24"/>
  <c r="AM69" i="24" s="1"/>
  <c r="AE286" i="24"/>
  <c r="AE288" i="24" s="1"/>
  <c r="AD293" i="24"/>
  <c r="AD296" i="24" s="1"/>
  <c r="AH138" i="32"/>
  <c r="AH136" i="32"/>
  <c r="AG139" i="32"/>
  <c r="AG287" i="32"/>
  <c r="AG138" i="31"/>
  <c r="AG136" i="31"/>
  <c r="AG287" i="27"/>
  <c r="AG139" i="27"/>
  <c r="AC293" i="32"/>
  <c r="AC296" i="32" s="1"/>
  <c r="AD286" i="32"/>
  <c r="AD288" i="32" s="1"/>
  <c r="AG139" i="24"/>
  <c r="AG287" i="24"/>
  <c r="AI118" i="27"/>
  <c r="AI119" i="27" s="1"/>
  <c r="AI116" i="27"/>
  <c r="AI132" i="27"/>
  <c r="AI133" i="24"/>
  <c r="AI131" i="24"/>
  <c r="AI135" i="24"/>
  <c r="AK113" i="32"/>
  <c r="AK115" i="32"/>
  <c r="AI113" i="31"/>
  <c r="AI115" i="31"/>
  <c r="AH136" i="27"/>
  <c r="AH138" i="27"/>
  <c r="AK67" i="31"/>
  <c r="AK69" i="31" s="1"/>
  <c r="AL64" i="31" s="1"/>
  <c r="AI131" i="32"/>
  <c r="AI133" i="32"/>
  <c r="AI135" i="32"/>
  <c r="AJ70" i="31"/>
  <c r="AJ111" i="31" s="1"/>
  <c r="AJ112" i="31" s="1"/>
  <c r="AJ101" i="31"/>
  <c r="AJ113" i="27"/>
  <c r="AJ115" i="27"/>
  <c r="AK113" i="24"/>
  <c r="AK115" i="24"/>
  <c r="AL70" i="32"/>
  <c r="AL111" i="32" s="1"/>
  <c r="AL112" i="32" s="1"/>
  <c r="AL101" i="32"/>
  <c r="AL67" i="27"/>
  <c r="AM67" i="32"/>
  <c r="AM69" i="32" s="1"/>
  <c r="AD286" i="31"/>
  <c r="AD288" i="31" s="1"/>
  <c r="AC293" i="31"/>
  <c r="AC296" i="31" s="1"/>
  <c r="AJ132" i="24"/>
  <c r="AJ116" i="24"/>
  <c r="AJ118" i="24"/>
  <c r="AJ119" i="24" s="1"/>
  <c r="AL101" i="24"/>
  <c r="AL70" i="24"/>
  <c r="AL111" i="24" s="1"/>
  <c r="AL112" i="24" s="1"/>
  <c r="AK70" i="27"/>
  <c r="AK111" i="27" s="1"/>
  <c r="AK112" i="27" s="1"/>
  <c r="AK101" i="27"/>
  <c r="Y64" i="20" l="1"/>
  <c r="Y64" i="33" s="1"/>
  <c r="U291" i="33"/>
  <c r="T293" i="33"/>
  <c r="T295" i="33" s="1"/>
  <c r="U288" i="33"/>
  <c r="U288" i="20"/>
  <c r="X112" i="20"/>
  <c r="X112" i="33" s="1"/>
  <c r="V138" i="20"/>
  <c r="V138" i="33" s="1"/>
  <c r="V136" i="20"/>
  <c r="W116" i="20"/>
  <c r="W118" i="20"/>
  <c r="W118" i="33" s="1"/>
  <c r="W132" i="20"/>
  <c r="W132" i="33" s="1"/>
  <c r="AC294" i="32"/>
  <c r="AD291" i="32" s="1"/>
  <c r="AL67" i="31"/>
  <c r="AL70" i="27"/>
  <c r="AL111" i="27" s="1"/>
  <c r="AL112" i="27" s="1"/>
  <c r="AL101" i="27"/>
  <c r="AH139" i="24"/>
  <c r="AH287" i="24"/>
  <c r="AD293" i="32"/>
  <c r="AD296" i="32" s="1"/>
  <c r="AE286" i="32"/>
  <c r="AE288" i="32" s="1"/>
  <c r="AE286" i="31"/>
  <c r="AE288" i="31" s="1"/>
  <c r="AD293" i="31"/>
  <c r="AD296" i="31" s="1"/>
  <c r="AC294" i="31"/>
  <c r="AD291" i="31" s="1"/>
  <c r="AJ115" i="31"/>
  <c r="AJ113" i="31"/>
  <c r="AI131" i="27"/>
  <c r="AI133" i="27"/>
  <c r="AI135" i="27"/>
  <c r="AL69" i="27"/>
  <c r="AM64" i="27" s="1"/>
  <c r="AE293" i="24"/>
  <c r="AE296" i="24" s="1"/>
  <c r="AF286" i="24"/>
  <c r="AF288" i="24" s="1"/>
  <c r="AI138" i="32"/>
  <c r="AI136" i="32"/>
  <c r="AM101" i="32"/>
  <c r="AM70" i="32"/>
  <c r="L67" i="32"/>
  <c r="L69" i="32" s="1"/>
  <c r="AD294" i="24"/>
  <c r="AE291" i="24" s="1"/>
  <c r="AM70" i="24"/>
  <c r="AM101" i="24"/>
  <c r="L67" i="24"/>
  <c r="L69" i="24" s="1"/>
  <c r="AK101" i="31"/>
  <c r="AK70" i="31"/>
  <c r="AK111" i="31" s="1"/>
  <c r="AK112" i="31" s="1"/>
  <c r="AH136" i="31"/>
  <c r="AH138" i="31"/>
  <c r="AL113" i="24"/>
  <c r="AL115" i="24"/>
  <c r="AG287" i="31"/>
  <c r="AG139" i="31"/>
  <c r="AJ135" i="32"/>
  <c r="AJ133" i="32"/>
  <c r="AJ131" i="32"/>
  <c r="AL115" i="32"/>
  <c r="AL113" i="32"/>
  <c r="AK113" i="27"/>
  <c r="AK115" i="27"/>
  <c r="AI118" i="31"/>
  <c r="AI119" i="31" s="1"/>
  <c r="AI116" i="31"/>
  <c r="AI132" i="31"/>
  <c r="AK118" i="24"/>
  <c r="AK119" i="24" s="1"/>
  <c r="AK132" i="24"/>
  <c r="AK116" i="24"/>
  <c r="AK116" i="32"/>
  <c r="AK132" i="32"/>
  <c r="AK118" i="32"/>
  <c r="AK119" i="32" s="1"/>
  <c r="U288" i="27"/>
  <c r="AJ131" i="24"/>
  <c r="AJ133" i="24"/>
  <c r="AJ135" i="24"/>
  <c r="AJ118" i="27"/>
  <c r="AJ119" i="27" s="1"/>
  <c r="AJ116" i="27"/>
  <c r="AJ132" i="27"/>
  <c r="AH287" i="27"/>
  <c r="AH139" i="27"/>
  <c r="AI138" i="24"/>
  <c r="AI136" i="24"/>
  <c r="AH287" i="32"/>
  <c r="AH139" i="32"/>
  <c r="T296" i="27"/>
  <c r="Y67" i="20" l="1"/>
  <c r="Y69" i="20" s="1"/>
  <c r="Y69" i="33" s="1"/>
  <c r="V287" i="20"/>
  <c r="V287" i="33" s="1"/>
  <c r="V139" i="20"/>
  <c r="X113" i="20"/>
  <c r="X115" i="20"/>
  <c r="X115" i="33" s="1"/>
  <c r="U293" i="20"/>
  <c r="V286" i="20"/>
  <c r="W131" i="20"/>
  <c r="W131" i="33" s="1"/>
  <c r="W135" i="20"/>
  <c r="W135" i="33" s="1"/>
  <c r="W133" i="20"/>
  <c r="W119" i="20"/>
  <c r="AL116" i="24"/>
  <c r="AL118" i="24"/>
  <c r="AL119" i="24" s="1"/>
  <c r="AL132" i="24"/>
  <c r="AM111" i="32"/>
  <c r="L70" i="32"/>
  <c r="AI136" i="27"/>
  <c r="AI138" i="27"/>
  <c r="AE293" i="32"/>
  <c r="AE296" i="32" s="1"/>
  <c r="AF286" i="32"/>
  <c r="AF288" i="32" s="1"/>
  <c r="K101" i="32"/>
  <c r="K98" i="32" s="1"/>
  <c r="K105" i="32" s="1"/>
  <c r="L101" i="32"/>
  <c r="L98" i="32" s="1"/>
  <c r="L105" i="32" s="1"/>
  <c r="AK118" i="27"/>
  <c r="AK119" i="27" s="1"/>
  <c r="AK116" i="27"/>
  <c r="AK132" i="27"/>
  <c r="AJ136" i="24"/>
  <c r="AJ138" i="24"/>
  <c r="AK131" i="32"/>
  <c r="AK135" i="32"/>
  <c r="AK133" i="32"/>
  <c r="AH139" i="31"/>
  <c r="AH287" i="31"/>
  <c r="AD294" i="32"/>
  <c r="AE291" i="32" s="1"/>
  <c r="AK113" i="31"/>
  <c r="AK115" i="31"/>
  <c r="AJ118" i="31"/>
  <c r="AJ119" i="31" s="1"/>
  <c r="AJ132" i="31"/>
  <c r="AJ116" i="31"/>
  <c r="AI139" i="32"/>
  <c r="AI287" i="32"/>
  <c r="AL118" i="32"/>
  <c r="AL119" i="32" s="1"/>
  <c r="AL116" i="32"/>
  <c r="AL132" i="32"/>
  <c r="V286" i="27"/>
  <c r="U293" i="27"/>
  <c r="U294" i="27" s="1"/>
  <c r="V291" i="27" s="1"/>
  <c r="AI131" i="31"/>
  <c r="AI133" i="31"/>
  <c r="AI135" i="31"/>
  <c r="L101" i="24"/>
  <c r="L98" i="24" s="1"/>
  <c r="L105" i="24" s="1"/>
  <c r="K101" i="24"/>
  <c r="K98" i="24" s="1"/>
  <c r="K105" i="24" s="1"/>
  <c r="AM111" i="24"/>
  <c r="L70" i="24"/>
  <c r="AG286" i="24"/>
  <c r="AG288" i="24" s="1"/>
  <c r="AF293" i="24"/>
  <c r="AF296" i="24" s="1"/>
  <c r="AI287" i="24"/>
  <c r="AI139" i="24"/>
  <c r="AL113" i="27"/>
  <c r="AL115" i="27"/>
  <c r="AJ136" i="32"/>
  <c r="AJ138" i="32"/>
  <c r="AE294" i="24"/>
  <c r="AF291" i="24" s="1"/>
  <c r="AF286" i="31"/>
  <c r="AF288" i="31" s="1"/>
  <c r="AE293" i="31"/>
  <c r="AE296" i="31" s="1"/>
  <c r="AL101" i="31"/>
  <c r="AL70" i="31"/>
  <c r="AL111" i="31" s="1"/>
  <c r="AL112" i="31" s="1"/>
  <c r="AK131" i="24"/>
  <c r="AK133" i="24"/>
  <c r="AK135" i="24"/>
  <c r="AJ131" i="27"/>
  <c r="AJ133" i="27"/>
  <c r="AJ135" i="27"/>
  <c r="AM67" i="27"/>
  <c r="AM69" i="27" s="1"/>
  <c r="AD294" i="31"/>
  <c r="AE291" i="31" s="1"/>
  <c r="AL69" i="31"/>
  <c r="AM64" i="31" s="1"/>
  <c r="Y70" i="20" l="1"/>
  <c r="Z64" i="20"/>
  <c r="Z64" i="33" s="1"/>
  <c r="Y67" i="33"/>
  <c r="Y101" i="20"/>
  <c r="Y101" i="33" s="1"/>
  <c r="V286" i="33"/>
  <c r="U294" i="20"/>
  <c r="V291" i="20" s="1"/>
  <c r="V291" i="33" s="1"/>
  <c r="U293" i="33"/>
  <c r="U295" i="33" s="1"/>
  <c r="U296" i="20"/>
  <c r="X116" i="20"/>
  <c r="X132" i="20"/>
  <c r="X132" i="33" s="1"/>
  <c r="X118" i="20"/>
  <c r="X118" i="33" s="1"/>
  <c r="W138" i="20"/>
  <c r="W138" i="33" s="1"/>
  <c r="W136" i="20"/>
  <c r="V288" i="20"/>
  <c r="AE294" i="31"/>
  <c r="AF291" i="31" s="1"/>
  <c r="V288" i="27"/>
  <c r="AF294" i="24"/>
  <c r="AG291" i="24" s="1"/>
  <c r="AJ287" i="32"/>
  <c r="AJ139" i="32"/>
  <c r="K108" i="24"/>
  <c r="K130" i="24"/>
  <c r="AF293" i="32"/>
  <c r="AF296" i="32" s="1"/>
  <c r="AG286" i="32"/>
  <c r="AG288" i="32" s="1"/>
  <c r="AJ136" i="27"/>
  <c r="AJ138" i="27"/>
  <c r="AJ135" i="31"/>
  <c r="AJ131" i="31"/>
  <c r="AJ133" i="31"/>
  <c r="AM101" i="27"/>
  <c r="AM70" i="27"/>
  <c r="L67" i="27"/>
  <c r="L69" i="27" s="1"/>
  <c r="AK118" i="31"/>
  <c r="AK119" i="31" s="1"/>
  <c r="AK116" i="31"/>
  <c r="AK132" i="31"/>
  <c r="K108" i="32"/>
  <c r="K130" i="32"/>
  <c r="AG286" i="31"/>
  <c r="AG288" i="31" s="1"/>
  <c r="AF293" i="31"/>
  <c r="AF296" i="31" s="1"/>
  <c r="U296" i="27"/>
  <c r="AE294" i="32"/>
  <c r="AF291" i="32" s="1"/>
  <c r="AI139" i="27"/>
  <c r="AI287" i="27"/>
  <c r="AG293" i="24"/>
  <c r="AG296" i="24" s="1"/>
  <c r="AH286" i="24"/>
  <c r="AH288" i="24" s="1"/>
  <c r="AM67" i="31"/>
  <c r="AM69" i="31" s="1"/>
  <c r="AM112" i="32"/>
  <c r="K111" i="32"/>
  <c r="L111" i="32"/>
  <c r="AL131" i="24"/>
  <c r="AL133" i="24"/>
  <c r="AL135" i="24"/>
  <c r="AK136" i="32"/>
  <c r="AK138" i="32"/>
  <c r="AJ139" i="24"/>
  <c r="AJ287" i="24"/>
  <c r="AK136" i="24"/>
  <c r="AK138" i="24"/>
  <c r="AM112" i="24"/>
  <c r="L111" i="24"/>
  <c r="K111" i="24"/>
  <c r="AK133" i="27"/>
  <c r="AK131" i="27"/>
  <c r="AK135" i="27"/>
  <c r="AL118" i="27"/>
  <c r="AL119" i="27" s="1"/>
  <c r="AL116" i="27"/>
  <c r="AL132" i="27"/>
  <c r="L108" i="24"/>
  <c r="L130" i="24"/>
  <c r="AL113" i="31"/>
  <c r="AL115" i="31"/>
  <c r="AI138" i="31"/>
  <c r="AI136" i="31"/>
  <c r="AL133" i="32"/>
  <c r="AL131" i="32"/>
  <c r="AL135" i="32"/>
  <c r="L108" i="32"/>
  <c r="L130" i="32"/>
  <c r="Y70" i="33" l="1"/>
  <c r="Y111" i="20"/>
  <c r="Z67" i="20"/>
  <c r="Z67" i="33" s="1"/>
  <c r="V288" i="33"/>
  <c r="W287" i="20"/>
  <c r="W287" i="33" s="1"/>
  <c r="W139" i="20"/>
  <c r="X131" i="20"/>
  <c r="X131" i="33" s="1"/>
  <c r="X135" i="20"/>
  <c r="X135" i="33" s="1"/>
  <c r="X133" i="20"/>
  <c r="Z70" i="20"/>
  <c r="Z70" i="33" s="1"/>
  <c r="X119" i="20"/>
  <c r="V293" i="20"/>
  <c r="W286" i="20"/>
  <c r="AG294" i="24"/>
  <c r="AH291" i="24" s="1"/>
  <c r="AH286" i="32"/>
  <c r="AH288" i="32" s="1"/>
  <c r="AG293" i="32"/>
  <c r="AG296" i="32" s="1"/>
  <c r="AM101" i="31"/>
  <c r="AM70" i="31"/>
  <c r="L67" i="31"/>
  <c r="L69" i="31" s="1"/>
  <c r="AF294" i="32"/>
  <c r="AG291" i="32" s="1"/>
  <c r="K101" i="27"/>
  <c r="K98" i="27" s="1"/>
  <c r="K105" i="27" s="1"/>
  <c r="L101" i="27"/>
  <c r="L98" i="27" s="1"/>
  <c r="L105" i="27" s="1"/>
  <c r="AI139" i="31"/>
  <c r="AI287" i="31"/>
  <c r="AK287" i="32"/>
  <c r="AK139" i="32"/>
  <c r="AL118" i="31"/>
  <c r="AL119" i="31" s="1"/>
  <c r="AL132" i="31"/>
  <c r="AL116" i="31"/>
  <c r="K109" i="24"/>
  <c r="K112" i="24"/>
  <c r="AG293" i="31"/>
  <c r="AG296" i="31" s="1"/>
  <c r="AH286" i="31"/>
  <c r="AH288" i="31" s="1"/>
  <c r="AJ136" i="31"/>
  <c r="AJ138" i="31"/>
  <c r="L109" i="24"/>
  <c r="L112" i="24"/>
  <c r="AL133" i="27"/>
  <c r="AL131" i="27"/>
  <c r="AL135" i="27"/>
  <c r="AM115" i="24"/>
  <c r="AM113" i="24"/>
  <c r="AF294" i="31"/>
  <c r="AG291" i="31" s="1"/>
  <c r="AJ287" i="27"/>
  <c r="AJ139" i="27"/>
  <c r="AM111" i="27"/>
  <c r="L70" i="27"/>
  <c r="AK139" i="24"/>
  <c r="AK287" i="24"/>
  <c r="L112" i="32"/>
  <c r="L109" i="32"/>
  <c r="AL136" i="24"/>
  <c r="AL138" i="24"/>
  <c r="AH293" i="24"/>
  <c r="AH296" i="24" s="1"/>
  <c r="AI286" i="24"/>
  <c r="AI288" i="24" s="1"/>
  <c r="K109" i="32"/>
  <c r="K112" i="32"/>
  <c r="AL136" i="32"/>
  <c r="AL138" i="32"/>
  <c r="AK136" i="27"/>
  <c r="AK138" i="27"/>
  <c r="AM115" i="32"/>
  <c r="AM113" i="32"/>
  <c r="AK131" i="31"/>
  <c r="AK133" i="31"/>
  <c r="AK135" i="31"/>
  <c r="W286" i="27"/>
  <c r="V293" i="27"/>
  <c r="V294" i="27" s="1"/>
  <c r="W291" i="27" s="1"/>
  <c r="Z69" i="20" l="1"/>
  <c r="Z69" i="33" s="1"/>
  <c r="Y111" i="33"/>
  <c r="Y112" i="20"/>
  <c r="Z101" i="20"/>
  <c r="Z101" i="33" s="1"/>
  <c r="W286" i="33"/>
  <c r="V294" i="20"/>
  <c r="W291" i="20" s="1"/>
  <c r="W291" i="33" s="1"/>
  <c r="V293" i="33"/>
  <c r="V295" i="33" s="1"/>
  <c r="X138" i="20"/>
  <c r="X138" i="33" s="1"/>
  <c r="X136" i="20"/>
  <c r="Z111" i="20"/>
  <c r="Z111" i="33" s="1"/>
  <c r="V296" i="20"/>
  <c r="W288" i="20"/>
  <c r="AG294" i="31"/>
  <c r="AH291" i="31" s="1"/>
  <c r="AL139" i="24"/>
  <c r="AL287" i="24"/>
  <c r="K113" i="24"/>
  <c r="K115" i="24"/>
  <c r="AM132" i="24"/>
  <c r="AM116" i="24"/>
  <c r="AM118" i="24"/>
  <c r="AM119" i="24" s="1"/>
  <c r="AM118" i="32"/>
  <c r="AM119" i="32" s="1"/>
  <c r="AM116" i="32"/>
  <c r="AM132" i="32"/>
  <c r="AK139" i="27"/>
  <c r="AK287" i="27"/>
  <c r="AL139" i="32"/>
  <c r="AL287" i="32"/>
  <c r="L115" i="32"/>
  <c r="L113" i="32"/>
  <c r="AL136" i="27"/>
  <c r="AL138" i="27"/>
  <c r="AL131" i="31"/>
  <c r="AL133" i="31"/>
  <c r="AL135" i="31"/>
  <c r="L108" i="27"/>
  <c r="L130" i="27"/>
  <c r="AM111" i="31"/>
  <c r="L70" i="31"/>
  <c r="AH294" i="24"/>
  <c r="AI291" i="24" s="1"/>
  <c r="V296" i="27"/>
  <c r="W288" i="27"/>
  <c r="K108" i="27"/>
  <c r="K130" i="27"/>
  <c r="L101" i="31"/>
  <c r="L98" i="31" s="1"/>
  <c r="L105" i="31" s="1"/>
  <c r="K101" i="31"/>
  <c r="K98" i="31" s="1"/>
  <c r="K105" i="31" s="1"/>
  <c r="AK136" i="31"/>
  <c r="AK138" i="31"/>
  <c r="L113" i="24"/>
  <c r="L115" i="24"/>
  <c r="AG294" i="32"/>
  <c r="AH291" i="32" s="1"/>
  <c r="AJ286" i="24"/>
  <c r="AJ288" i="24" s="1"/>
  <c r="AI293" i="24"/>
  <c r="AI296" i="24" s="1"/>
  <c r="K115" i="32"/>
  <c r="K113" i="32"/>
  <c r="AM112" i="27"/>
  <c r="K111" i="27"/>
  <c r="L111" i="27"/>
  <c r="AJ139" i="31"/>
  <c r="AJ287" i="31"/>
  <c r="AI286" i="32"/>
  <c r="AI288" i="32" s="1"/>
  <c r="AH293" i="32"/>
  <c r="AH296" i="32" s="1"/>
  <c r="AH293" i="31"/>
  <c r="AH296" i="31" s="1"/>
  <c r="AI286" i="31"/>
  <c r="AI288" i="31" s="1"/>
  <c r="AA64" i="20" l="1"/>
  <c r="AA64" i="33" s="1"/>
  <c r="Y112" i="33"/>
  <c r="Y113" i="20"/>
  <c r="Y115" i="20"/>
  <c r="W288" i="33"/>
  <c r="X286" i="20"/>
  <c r="W293" i="20"/>
  <c r="Z112" i="20"/>
  <c r="Z112" i="33" s="1"/>
  <c r="X139" i="20"/>
  <c r="X287" i="20"/>
  <c r="X287" i="33" s="1"/>
  <c r="AA67" i="20"/>
  <c r="AA67" i="33" s="1"/>
  <c r="AH294" i="32"/>
  <c r="AI291" i="32" s="1"/>
  <c r="AI294" i="24"/>
  <c r="AJ291" i="24" s="1"/>
  <c r="AL139" i="27"/>
  <c r="AL287" i="27"/>
  <c r="X286" i="27"/>
  <c r="W293" i="27"/>
  <c r="W294" i="27" s="1"/>
  <c r="X291" i="27" s="1"/>
  <c r="AJ286" i="31"/>
  <c r="AJ288" i="31" s="1"/>
  <c r="AI293" i="31"/>
  <c r="AI296" i="31" s="1"/>
  <c r="L132" i="24"/>
  <c r="L116" i="24"/>
  <c r="L118" i="24"/>
  <c r="L119" i="24" s="1"/>
  <c r="AK139" i="31"/>
  <c r="AK287" i="31"/>
  <c r="AM113" i="27"/>
  <c r="AM115" i="27"/>
  <c r="L118" i="32"/>
  <c r="L119" i="32" s="1"/>
  <c r="L116" i="32"/>
  <c r="L132" i="32"/>
  <c r="K116" i="32"/>
  <c r="K132" i="32"/>
  <c r="K118" i="32"/>
  <c r="K119" i="32" s="1"/>
  <c r="AM133" i="24"/>
  <c r="AM131" i="24"/>
  <c r="AM135" i="24"/>
  <c r="L108" i="31"/>
  <c r="L130" i="31"/>
  <c r="K116" i="24"/>
  <c r="K118" i="24"/>
  <c r="K119" i="24" s="1"/>
  <c r="K132" i="24"/>
  <c r="AM112" i="31"/>
  <c r="L111" i="31"/>
  <c r="K111" i="31"/>
  <c r="K112" i="27"/>
  <c r="K109" i="27"/>
  <c r="K108" i="31"/>
  <c r="K130" i="31"/>
  <c r="L109" i="27"/>
  <c r="L112" i="27"/>
  <c r="AK286" i="24"/>
  <c r="AK288" i="24" s="1"/>
  <c r="AJ293" i="24"/>
  <c r="AJ296" i="24" s="1"/>
  <c r="AL136" i="31"/>
  <c r="AL138" i="31"/>
  <c r="AI293" i="32"/>
  <c r="AI296" i="32" s="1"/>
  <c r="AJ286" i="32"/>
  <c r="AJ288" i="32" s="1"/>
  <c r="AH294" i="31"/>
  <c r="AI291" i="31" s="1"/>
  <c r="AM133" i="32"/>
  <c r="AM131" i="32"/>
  <c r="AM135" i="32"/>
  <c r="Y115" i="33" l="1"/>
  <c r="Y116" i="20"/>
  <c r="Y118" i="20"/>
  <c r="Y132" i="20"/>
  <c r="X286" i="33"/>
  <c r="W294" i="20"/>
  <c r="X291" i="20" s="1"/>
  <c r="X291" i="33" s="1"/>
  <c r="W293" i="33"/>
  <c r="W295" i="33" s="1"/>
  <c r="AA69" i="20"/>
  <c r="AA69" i="33" s="1"/>
  <c r="Z115" i="20"/>
  <c r="Z115" i="33" s="1"/>
  <c r="Z113" i="20"/>
  <c r="AA70" i="20"/>
  <c r="AA70" i="33" s="1"/>
  <c r="AA101" i="20"/>
  <c r="AA101" i="33" s="1"/>
  <c r="X288" i="20"/>
  <c r="W296" i="20"/>
  <c r="AJ294" i="24"/>
  <c r="AK291" i="24" s="1"/>
  <c r="AI294" i="32"/>
  <c r="AJ291" i="32" s="1"/>
  <c r="L135" i="24"/>
  <c r="L133" i="24"/>
  <c r="K135" i="32"/>
  <c r="K133" i="32"/>
  <c r="AL286" i="24"/>
  <c r="AL288" i="24" s="1"/>
  <c r="AK293" i="24"/>
  <c r="AK296" i="24" s="1"/>
  <c r="AM113" i="31"/>
  <c r="AM115" i="31"/>
  <c r="AI294" i="31"/>
  <c r="AJ291" i="31" s="1"/>
  <c r="L133" i="32"/>
  <c r="L135" i="32"/>
  <c r="K135" i="24"/>
  <c r="K133" i="24"/>
  <c r="W296" i="27"/>
  <c r="AJ293" i="31"/>
  <c r="AJ296" i="31" s="1"/>
  <c r="AK286" i="31"/>
  <c r="AK288" i="31" s="1"/>
  <c r="AM116" i="27"/>
  <c r="AM132" i="27"/>
  <c r="AM118" i="27"/>
  <c r="AM119" i="27" s="1"/>
  <c r="X288" i="27"/>
  <c r="AM138" i="32"/>
  <c r="AM136" i="32"/>
  <c r="L112" i="31"/>
  <c r="L109" i="31"/>
  <c r="AM138" i="24"/>
  <c r="AM136" i="24"/>
  <c r="K112" i="31"/>
  <c r="K109" i="31"/>
  <c r="AJ293" i="32"/>
  <c r="AJ296" i="32" s="1"/>
  <c r="AK286" i="32"/>
  <c r="AK288" i="32" s="1"/>
  <c r="L131" i="24"/>
  <c r="K131" i="24"/>
  <c r="K131" i="32"/>
  <c r="L131" i="32"/>
  <c r="AL139" i="31"/>
  <c r="AL287" i="31"/>
  <c r="L113" i="27"/>
  <c r="L115" i="27"/>
  <c r="K113" i="27"/>
  <c r="K115" i="27"/>
  <c r="Y118" i="33" l="1"/>
  <c r="Y119" i="20"/>
  <c r="Y132" i="33"/>
  <c r="Y131" i="20"/>
  <c r="Y131" i="33" s="1"/>
  <c r="Y133" i="20"/>
  <c r="Y135" i="20"/>
  <c r="AB64" i="20"/>
  <c r="AB64" i="33" s="1"/>
  <c r="X288" i="33"/>
  <c r="AA111" i="20"/>
  <c r="AA111" i="33" s="1"/>
  <c r="Z118" i="20"/>
  <c r="Z118" i="33" s="1"/>
  <c r="Z132" i="20"/>
  <c r="Z132" i="33" s="1"/>
  <c r="Z116" i="20"/>
  <c r="Y286" i="20"/>
  <c r="X293" i="20"/>
  <c r="K118" i="27"/>
  <c r="K119" i="27" s="1"/>
  <c r="K116" i="27"/>
  <c r="K132" i="27"/>
  <c r="AJ294" i="32"/>
  <c r="AK291" i="32" s="1"/>
  <c r="L118" i="27"/>
  <c r="L119" i="27" s="1"/>
  <c r="L116" i="27"/>
  <c r="L132" i="27"/>
  <c r="AM287" i="32"/>
  <c r="AM139" i="32"/>
  <c r="K113" i="31"/>
  <c r="K115" i="31"/>
  <c r="AM118" i="31"/>
  <c r="AM119" i="31" s="1"/>
  <c r="AM116" i="31"/>
  <c r="AM132" i="31"/>
  <c r="AL286" i="31"/>
  <c r="AL288" i="31" s="1"/>
  <c r="AK293" i="31"/>
  <c r="AK296" i="31" s="1"/>
  <c r="K136" i="24"/>
  <c r="K138" i="24"/>
  <c r="K139" i="24" s="1"/>
  <c r="X293" i="27"/>
  <c r="X294" i="27" s="1"/>
  <c r="Y291" i="27" s="1"/>
  <c r="Y286" i="27"/>
  <c r="AM139" i="24"/>
  <c r="AM287" i="24"/>
  <c r="AM131" i="27"/>
  <c r="AM135" i="27"/>
  <c r="AM133" i="27"/>
  <c r="AM286" i="24"/>
  <c r="AL293" i="24"/>
  <c r="AL296" i="24" s="1"/>
  <c r="AK294" i="24"/>
  <c r="AL291" i="24" s="1"/>
  <c r="L138" i="32"/>
  <c r="L139" i="32" s="1"/>
  <c r="L136" i="32"/>
  <c r="K136" i="32"/>
  <c r="K138" i="32"/>
  <c r="K139" i="32" s="1"/>
  <c r="L113" i="31"/>
  <c r="L115" i="31"/>
  <c r="AJ294" i="31"/>
  <c r="AK291" i="31" s="1"/>
  <c r="AL286" i="32"/>
  <c r="AL288" i="32" s="1"/>
  <c r="AK293" i="32"/>
  <c r="AK296" i="32" s="1"/>
  <c r="L138" i="24"/>
  <c r="L139" i="24" s="1"/>
  <c r="L136" i="24"/>
  <c r="AB67" i="20" l="1"/>
  <c r="AB67" i="33" s="1"/>
  <c r="Y135" i="33"/>
  <c r="Y136" i="20"/>
  <c r="Y138" i="20"/>
  <c r="Y286" i="33"/>
  <c r="X294" i="20"/>
  <c r="Y291" i="20" s="1"/>
  <c r="Y291" i="33" s="1"/>
  <c r="X293" i="33"/>
  <c r="X295" i="33" s="1"/>
  <c r="AB69" i="20"/>
  <c r="Z133" i="20"/>
  <c r="Z135" i="20"/>
  <c r="Z135" i="33" s="1"/>
  <c r="Z131" i="20"/>
  <c r="Z131" i="33" s="1"/>
  <c r="Z119" i="20"/>
  <c r="X296" i="20"/>
  <c r="AB101" i="20"/>
  <c r="AB101" i="33" s="1"/>
  <c r="AA112" i="20"/>
  <c r="AA112" i="33" s="1"/>
  <c r="AK294" i="31"/>
  <c r="AL291" i="31" s="1"/>
  <c r="AL294" i="24"/>
  <c r="AM291" i="24" s="1"/>
  <c r="AL293" i="31"/>
  <c r="AL296" i="31" s="1"/>
  <c r="AM286" i="31"/>
  <c r="L133" i="27"/>
  <c r="L135" i="27"/>
  <c r="K131" i="27"/>
  <c r="L131" i="27"/>
  <c r="AM136" i="27"/>
  <c r="AM138" i="27"/>
  <c r="AM288" i="24"/>
  <c r="AM135" i="31"/>
  <c r="AM131" i="31"/>
  <c r="AM133" i="31"/>
  <c r="Y288" i="27"/>
  <c r="K135" i="27"/>
  <c r="K133" i="27"/>
  <c r="L132" i="31"/>
  <c r="L118" i="31"/>
  <c r="L119" i="31" s="1"/>
  <c r="L116" i="31"/>
  <c r="AL293" i="32"/>
  <c r="AL296" i="32" s="1"/>
  <c r="AM286" i="32"/>
  <c r="AM288" i="32" s="1"/>
  <c r="K118" i="31"/>
  <c r="K119" i="31" s="1"/>
  <c r="K116" i="31"/>
  <c r="K132" i="31"/>
  <c r="AK294" i="32"/>
  <c r="AL291" i="32" s="1"/>
  <c r="X296" i="27"/>
  <c r="AB70" i="20" l="1"/>
  <c r="AB70" i="33" s="1"/>
  <c r="Y138" i="33"/>
  <c r="Y287" i="20"/>
  <c r="Y139" i="20"/>
  <c r="AC64" i="20"/>
  <c r="AC64" i="33" s="1"/>
  <c r="AB69" i="33"/>
  <c r="AA113" i="20"/>
  <c r="AA115" i="20"/>
  <c r="AA115" i="33" s="1"/>
  <c r="Z138" i="20"/>
  <c r="Z138" i="33" s="1"/>
  <c r="Z136" i="20"/>
  <c r="AL294" i="31"/>
  <c r="AM291" i="31" s="1"/>
  <c r="AL294" i="32"/>
  <c r="AM291" i="32" s="1"/>
  <c r="AM293" i="32"/>
  <c r="AM296" i="32" s="1"/>
  <c r="K131" i="31"/>
  <c r="L131" i="31"/>
  <c r="AM293" i="24"/>
  <c r="AM296" i="24" s="1"/>
  <c r="L138" i="27"/>
  <c r="L139" i="27" s="1"/>
  <c r="L136" i="27"/>
  <c r="L135" i="31"/>
  <c r="L133" i="31"/>
  <c r="K135" i="31"/>
  <c r="K133" i="31"/>
  <c r="K138" i="27"/>
  <c r="K139" i="27" s="1"/>
  <c r="K136" i="27"/>
  <c r="AM139" i="27"/>
  <c r="AM287" i="27"/>
  <c r="AM138" i="31"/>
  <c r="AM136" i="31"/>
  <c r="Y293" i="27"/>
  <c r="Y294" i="27" s="1"/>
  <c r="Z291" i="27" s="1"/>
  <c r="Z286" i="27"/>
  <c r="AB111" i="20" l="1"/>
  <c r="AB111" i="33" s="1"/>
  <c r="Y287" i="33"/>
  <c r="Y288" i="33" s="1"/>
  <c r="Y288" i="20"/>
  <c r="AC67" i="20"/>
  <c r="AC67" i="33" s="1"/>
  <c r="AB112" i="20"/>
  <c r="AB112" i="33" s="1"/>
  <c r="AA116" i="20"/>
  <c r="AA132" i="20"/>
  <c r="AA132" i="33" s="1"/>
  <c r="AA118" i="20"/>
  <c r="AA118" i="33" s="1"/>
  <c r="Z287" i="20"/>
  <c r="Z287" i="33" s="1"/>
  <c r="Z139" i="20"/>
  <c r="AM294" i="24"/>
  <c r="Y296" i="27"/>
  <c r="K138" i="31"/>
  <c r="K139" i="31" s="1"/>
  <c r="K136" i="31"/>
  <c r="L138" i="31"/>
  <c r="L139" i="31" s="1"/>
  <c r="L136" i="31"/>
  <c r="AM287" i="31"/>
  <c r="AM288" i="31" s="1"/>
  <c r="AM139" i="31"/>
  <c r="Z288" i="27"/>
  <c r="AM294" i="32"/>
  <c r="AC70" i="20" l="1"/>
  <c r="AC70" i="33" s="1"/>
  <c r="Y293" i="20"/>
  <c r="Z286" i="20"/>
  <c r="Z286" i="33" s="1"/>
  <c r="Z288" i="33" s="1"/>
  <c r="AC69" i="20"/>
  <c r="AC69" i="33" s="1"/>
  <c r="AC101" i="20"/>
  <c r="AC101" i="33" s="1"/>
  <c r="AA131" i="20"/>
  <c r="AA131" i="33" s="1"/>
  <c r="AA133" i="20"/>
  <c r="AA135" i="20"/>
  <c r="AA135" i="33" s="1"/>
  <c r="AB115" i="20"/>
  <c r="AB115" i="33" s="1"/>
  <c r="AB113" i="20"/>
  <c r="AA119" i="20"/>
  <c r="Z293" i="27"/>
  <c r="Z296" i="27" s="1"/>
  <c r="AA286" i="27"/>
  <c r="AA288" i="27" s="1"/>
  <c r="AM293" i="31"/>
  <c r="AM296" i="31" s="1"/>
  <c r="AC111" i="20" l="1"/>
  <c r="AC111" i="33" s="1"/>
  <c r="Z288" i="20"/>
  <c r="Y293" i="33"/>
  <c r="Y295" i="33" s="1"/>
  <c r="Y296" i="20"/>
  <c r="Y294" i="20"/>
  <c r="Z291" i="20" s="1"/>
  <c r="Z291" i="33" s="1"/>
  <c r="AD64" i="20"/>
  <c r="AD64" i="33" s="1"/>
  <c r="AB118" i="20"/>
  <c r="AB118" i="33" s="1"/>
  <c r="AB132" i="20"/>
  <c r="AB132" i="33" s="1"/>
  <c r="AB116" i="20"/>
  <c r="AA136" i="20"/>
  <c r="AA138" i="20"/>
  <c r="AA138" i="33" s="1"/>
  <c r="Z293" i="20"/>
  <c r="Z293" i="33" s="1"/>
  <c r="AA286" i="20"/>
  <c r="AA286" i="33" s="1"/>
  <c r="AM294" i="31"/>
  <c r="Z294" i="27"/>
  <c r="AA291" i="27" s="1"/>
  <c r="AA293" i="27"/>
  <c r="AA296" i="27" s="1"/>
  <c r="AB286" i="27"/>
  <c r="AB288" i="27" s="1"/>
  <c r="AC112" i="20" l="1"/>
  <c r="AC112" i="33" s="1"/>
  <c r="AD67" i="20"/>
  <c r="AC113" i="20"/>
  <c r="AC115" i="20"/>
  <c r="AC115" i="33" s="1"/>
  <c r="AB119" i="20"/>
  <c r="AA287" i="20"/>
  <c r="AA287" i="33" s="1"/>
  <c r="AA139" i="20"/>
  <c r="AB135" i="20"/>
  <c r="AB135" i="33" s="1"/>
  <c r="AB131" i="20"/>
  <c r="AB131" i="33" s="1"/>
  <c r="AB133" i="20"/>
  <c r="Z294" i="20"/>
  <c r="AA291" i="20" s="1"/>
  <c r="AA291" i="33" s="1"/>
  <c r="Z295" i="33"/>
  <c r="Z296" i="20"/>
  <c r="AA294" i="27"/>
  <c r="AB291" i="27" s="1"/>
  <c r="AC286" i="27"/>
  <c r="AC288" i="27" s="1"/>
  <c r="AB293" i="27"/>
  <c r="AB296" i="27" s="1"/>
  <c r="AD67" i="33" l="1"/>
  <c r="AD101" i="20"/>
  <c r="AD101" i="33" s="1"/>
  <c r="AD70" i="20"/>
  <c r="AD69" i="20"/>
  <c r="AB136" i="20"/>
  <c r="AB138" i="20"/>
  <c r="AB138" i="33" s="1"/>
  <c r="AA288" i="33"/>
  <c r="AA288" i="20"/>
  <c r="AC116" i="20"/>
  <c r="AC132" i="20"/>
  <c r="AC132" i="33" s="1"/>
  <c r="AC118" i="20"/>
  <c r="AC118" i="33" s="1"/>
  <c r="AC293" i="27"/>
  <c r="AC296" i="27" s="1"/>
  <c r="AD286" i="27"/>
  <c r="AD288" i="27" s="1"/>
  <c r="AB294" i="27"/>
  <c r="AC291" i="27" s="1"/>
  <c r="AD70" i="33" l="1"/>
  <c r="AD111" i="20"/>
  <c r="AD69" i="33"/>
  <c r="AE64" i="20"/>
  <c r="AA293" i="20"/>
  <c r="AB286" i="20"/>
  <c r="AB286" i="33" s="1"/>
  <c r="AC119" i="20"/>
  <c r="AB287" i="20"/>
  <c r="AB287" i="33" s="1"/>
  <c r="AB139" i="20"/>
  <c r="AC135" i="20"/>
  <c r="AC135" i="33" s="1"/>
  <c r="AC133" i="20"/>
  <c r="AC131" i="20"/>
  <c r="AC131" i="33" s="1"/>
  <c r="AC294" i="27"/>
  <c r="AD291" i="27" s="1"/>
  <c r="AE286" i="27"/>
  <c r="AE288" i="27" s="1"/>
  <c r="AD293" i="27"/>
  <c r="AD296" i="27" s="1"/>
  <c r="AE64" i="33" l="1"/>
  <c r="AE67" i="20"/>
  <c r="AD111" i="33"/>
  <c r="AD112" i="20"/>
  <c r="AA294" i="20"/>
  <c r="AB291" i="20" s="1"/>
  <c r="AB291" i="33" s="1"/>
  <c r="AA293" i="33"/>
  <c r="AA295" i="33" s="1"/>
  <c r="AC136" i="20"/>
  <c r="AC138" i="20"/>
  <c r="AC138" i="33" s="1"/>
  <c r="AB288" i="33"/>
  <c r="AB288" i="20"/>
  <c r="AA296" i="20"/>
  <c r="AF286" i="27"/>
  <c r="AF288" i="27" s="1"/>
  <c r="AE293" i="27"/>
  <c r="AE296" i="27" s="1"/>
  <c r="AD294" i="27"/>
  <c r="AE291" i="27" s="1"/>
  <c r="AD112" i="33" l="1"/>
  <c r="AD115" i="20"/>
  <c r="AD113" i="20"/>
  <c r="AE67" i="33"/>
  <c r="AE101" i="20"/>
  <c r="AE101" i="33" s="1"/>
  <c r="AE69" i="20"/>
  <c r="AE70" i="20"/>
  <c r="AC287" i="20"/>
  <c r="AC287" i="33" s="1"/>
  <c r="AC139" i="20"/>
  <c r="AB293" i="20"/>
  <c r="AC286" i="20"/>
  <c r="AC286" i="33" s="1"/>
  <c r="AF293" i="27"/>
  <c r="AF296" i="27" s="1"/>
  <c r="AG286" i="27"/>
  <c r="AG288" i="27" s="1"/>
  <c r="AE294" i="27"/>
  <c r="AF291" i="27" s="1"/>
  <c r="AE70" i="33" l="1"/>
  <c r="AE111" i="20"/>
  <c r="AE69" i="33"/>
  <c r="AF64" i="20"/>
  <c r="AD115" i="33"/>
  <c r="AD116" i="20"/>
  <c r="AD132" i="20"/>
  <c r="AD118" i="20"/>
  <c r="AB294" i="20"/>
  <c r="AC291" i="20" s="1"/>
  <c r="AC291" i="33" s="1"/>
  <c r="AB293" i="33"/>
  <c r="AB295" i="33" s="1"/>
  <c r="AC288" i="33"/>
  <c r="AC288" i="20"/>
  <c r="AB296" i="20"/>
  <c r="AG293" i="27"/>
  <c r="AG296" i="27" s="1"/>
  <c r="AH286" i="27"/>
  <c r="AH288" i="27" s="1"/>
  <c r="AF294" i="27"/>
  <c r="AG291" i="27" s="1"/>
  <c r="AD118" i="33" l="1"/>
  <c r="AD119" i="20"/>
  <c r="AD132" i="33"/>
  <c r="AD131" i="20"/>
  <c r="AD131" i="33" s="1"/>
  <c r="AD135" i="20"/>
  <c r="AD133" i="20"/>
  <c r="AF64" i="33"/>
  <c r="AF67" i="20"/>
  <c r="AF69" i="20" s="1"/>
  <c r="AE111" i="33"/>
  <c r="AE112" i="20"/>
  <c r="AC293" i="20"/>
  <c r="AC293" i="33" s="1"/>
  <c r="AD286" i="20"/>
  <c r="AD286" i="33" s="1"/>
  <c r="AG294" i="27"/>
  <c r="AH291" i="27" s="1"/>
  <c r="AH293" i="27"/>
  <c r="AH296" i="27" s="1"/>
  <c r="AI286" i="27"/>
  <c r="AI288" i="27" s="1"/>
  <c r="AF69" i="33" l="1"/>
  <c r="AG64" i="20"/>
  <c r="AE112" i="33"/>
  <c r="AE113" i="20"/>
  <c r="AE115" i="20"/>
  <c r="AF67" i="33"/>
  <c r="AF101" i="20"/>
  <c r="AF101" i="33" s="1"/>
  <c r="AF70" i="20"/>
  <c r="AD135" i="33"/>
  <c r="AD138" i="20"/>
  <c r="AD136" i="20"/>
  <c r="AC296" i="20"/>
  <c r="AC295" i="33"/>
  <c r="AC294" i="20"/>
  <c r="AD291" i="20" s="1"/>
  <c r="AD291" i="33" s="1"/>
  <c r="AI293" i="27"/>
  <c r="AI296" i="27" s="1"/>
  <c r="AJ286" i="27"/>
  <c r="AJ288" i="27" s="1"/>
  <c r="AH294" i="27"/>
  <c r="AI291" i="27" s="1"/>
  <c r="AD138" i="33" l="1"/>
  <c r="AD139" i="20"/>
  <c r="AD287" i="20"/>
  <c r="AF70" i="33"/>
  <c r="AF111" i="20"/>
  <c r="AE115" i="33"/>
  <c r="AE118" i="20"/>
  <c r="AE116" i="20"/>
  <c r="AE132" i="20"/>
  <c r="AG64" i="33"/>
  <c r="AG67" i="20"/>
  <c r="AI294" i="27"/>
  <c r="AJ291" i="27" s="1"/>
  <c r="AK286" i="27"/>
  <c r="AK288" i="27" s="1"/>
  <c r="AJ293" i="27"/>
  <c r="AJ296" i="27" s="1"/>
  <c r="AG67" i="33" l="1"/>
  <c r="AG101" i="20"/>
  <c r="AG101" i="33" s="1"/>
  <c r="AG70" i="20"/>
  <c r="AE132" i="33"/>
  <c r="AE131" i="20"/>
  <c r="AE131" i="33" s="1"/>
  <c r="AE133" i="20"/>
  <c r="AE135" i="20"/>
  <c r="AG69" i="20"/>
  <c r="AE118" i="33"/>
  <c r="AE119" i="20"/>
  <c r="AF111" i="33"/>
  <c r="AF112" i="20"/>
  <c r="AD287" i="33"/>
  <c r="AD288" i="33" s="1"/>
  <c r="AD288" i="20"/>
  <c r="AJ294" i="27"/>
  <c r="AK291" i="27" s="1"/>
  <c r="AK293" i="27"/>
  <c r="AK296" i="27" s="1"/>
  <c r="AL286" i="27"/>
  <c r="AL288" i="27" s="1"/>
  <c r="AE135" i="33" l="1"/>
  <c r="AE138" i="20"/>
  <c r="AE136" i="20"/>
  <c r="AF112" i="33"/>
  <c r="AF113" i="20"/>
  <c r="AF115" i="20"/>
  <c r="AG69" i="33"/>
  <c r="AH64" i="20"/>
  <c r="AG70" i="33"/>
  <c r="AG111" i="20"/>
  <c r="AE286" i="20"/>
  <c r="AE286" i="33" s="1"/>
  <c r="AD293" i="20"/>
  <c r="AK294" i="27"/>
  <c r="AL291" i="27" s="1"/>
  <c r="AL293" i="27"/>
  <c r="AL296" i="27" s="1"/>
  <c r="AM286" i="27"/>
  <c r="AM288" i="27" s="1"/>
  <c r="AD294" i="20" l="1"/>
  <c r="AE291" i="20" s="1"/>
  <c r="AE291" i="33" s="1"/>
  <c r="AD293" i="33"/>
  <c r="AD295" i="33" s="1"/>
  <c r="AD296" i="20"/>
  <c r="AG111" i="33"/>
  <c r="AG112" i="20"/>
  <c r="AH64" i="33"/>
  <c r="AH67" i="20"/>
  <c r="AF115" i="33"/>
  <c r="AF116" i="20"/>
  <c r="AF118" i="20"/>
  <c r="AF132" i="20"/>
  <c r="AE138" i="33"/>
  <c r="AE139" i="20"/>
  <c r="AE287" i="20"/>
  <c r="AL294" i="27"/>
  <c r="AM291" i="27" s="1"/>
  <c r="AM293" i="27"/>
  <c r="AM296" i="27" s="1"/>
  <c r="AF132" i="33" l="1"/>
  <c r="AF135" i="20"/>
  <c r="AF131" i="20"/>
  <c r="AF131" i="33" s="1"/>
  <c r="AF133" i="20"/>
  <c r="AH67" i="33"/>
  <c r="AH70" i="20"/>
  <c r="AH101" i="20"/>
  <c r="AH101" i="33" s="1"/>
  <c r="AF118" i="33"/>
  <c r="AF119" i="20"/>
  <c r="AH69" i="20"/>
  <c r="AG112" i="33"/>
  <c r="AG113" i="20"/>
  <c r="AG115" i="20"/>
  <c r="AE287" i="33"/>
  <c r="AE288" i="33" s="1"/>
  <c r="AE288" i="20"/>
  <c r="AM294" i="27"/>
  <c r="AH70" i="33" l="1"/>
  <c r="AH111" i="20"/>
  <c r="AH69" i="33"/>
  <c r="AI64" i="20"/>
  <c r="AF286" i="20"/>
  <c r="AF286" i="33" s="1"/>
  <c r="AE293" i="20"/>
  <c r="AE294" i="20" s="1"/>
  <c r="AF291" i="20" s="1"/>
  <c r="AF291" i="33" s="1"/>
  <c r="AF135" i="33"/>
  <c r="AF138" i="20"/>
  <c r="AF136" i="20"/>
  <c r="AG115" i="33"/>
  <c r="AG118" i="20"/>
  <c r="AG132" i="20"/>
  <c r="AG116" i="20"/>
  <c r="AG118" i="33" l="1"/>
  <c r="AG119" i="20"/>
  <c r="AF138" i="33"/>
  <c r="AF287" i="20"/>
  <c r="AF139" i="20"/>
  <c r="AE293" i="33"/>
  <c r="AE295" i="33" s="1"/>
  <c r="AE296" i="20"/>
  <c r="AI64" i="33"/>
  <c r="AI67" i="20"/>
  <c r="AI69" i="20" s="1"/>
  <c r="AH111" i="33"/>
  <c r="AH112" i="20"/>
  <c r="AG132" i="33"/>
  <c r="AG135" i="20"/>
  <c r="AG133" i="20"/>
  <c r="AG131" i="20"/>
  <c r="AG131" i="33" s="1"/>
  <c r="AH112" i="33" l="1"/>
  <c r="AH113" i="20"/>
  <c r="AH115" i="20"/>
  <c r="AI67" i="33"/>
  <c r="AI101" i="20"/>
  <c r="AI101" i="33" s="1"/>
  <c r="AI70" i="20"/>
  <c r="AI69" i="33"/>
  <c r="AJ64" i="20"/>
  <c r="AF287" i="33"/>
  <c r="AF288" i="33" s="1"/>
  <c r="AF288" i="20"/>
  <c r="AG135" i="33"/>
  <c r="AG136" i="20"/>
  <c r="AG138" i="20"/>
  <c r="AI70" i="33" l="1"/>
  <c r="AI111" i="20"/>
  <c r="AF293" i="20"/>
  <c r="AF294" i="20" s="1"/>
  <c r="AG291" i="20" s="1"/>
  <c r="AG291" i="33" s="1"/>
  <c r="AG286" i="20"/>
  <c r="AG286" i="33" s="1"/>
  <c r="AJ64" i="33"/>
  <c r="AJ67" i="20"/>
  <c r="AJ69" i="20" s="1"/>
  <c r="AH115" i="33"/>
  <c r="AH132" i="20"/>
  <c r="AH118" i="20"/>
  <c r="AH116" i="20"/>
  <c r="AG138" i="33"/>
  <c r="AG139" i="20"/>
  <c r="AG287" i="20"/>
  <c r="AH132" i="33" l="1"/>
  <c r="AH135" i="20"/>
  <c r="AH131" i="20"/>
  <c r="AH131" i="33" s="1"/>
  <c r="AH133" i="20"/>
  <c r="AJ69" i="33"/>
  <c r="AK64" i="20"/>
  <c r="AH118" i="33"/>
  <c r="AH119" i="20"/>
  <c r="AJ67" i="33"/>
  <c r="AJ101" i="20"/>
  <c r="AJ101" i="33" s="1"/>
  <c r="AJ70" i="20"/>
  <c r="AG287" i="33"/>
  <c r="AG288" i="33" s="1"/>
  <c r="AG288" i="20"/>
  <c r="AF293" i="33"/>
  <c r="AF295" i="33" s="1"/>
  <c r="AF296" i="20"/>
  <c r="AI111" i="33"/>
  <c r="AI112" i="20"/>
  <c r="AJ70" i="33" l="1"/>
  <c r="AJ111" i="20"/>
  <c r="AK64" i="33"/>
  <c r="AK67" i="20"/>
  <c r="AI112" i="33"/>
  <c r="AI115" i="20"/>
  <c r="AI113" i="20"/>
  <c r="AH135" i="33"/>
  <c r="AH136" i="20"/>
  <c r="AH138" i="20"/>
  <c r="AH286" i="20"/>
  <c r="AH286" i="33" s="1"/>
  <c r="AG293" i="20"/>
  <c r="AG293" i="33" l="1"/>
  <c r="AG295" i="33" s="1"/>
  <c r="AG296" i="20"/>
  <c r="AH138" i="33"/>
  <c r="AH287" i="20"/>
  <c r="AH139" i="20"/>
  <c r="AI115" i="33"/>
  <c r="AI116" i="20"/>
  <c r="AI118" i="20"/>
  <c r="AI132" i="20"/>
  <c r="AK67" i="33"/>
  <c r="AK70" i="20"/>
  <c r="AK101" i="20"/>
  <c r="AK101" i="33" s="1"/>
  <c r="AK69" i="20"/>
  <c r="AJ111" i="33"/>
  <c r="AJ112" i="20"/>
  <c r="AG294" i="20"/>
  <c r="AH291" i="20" s="1"/>
  <c r="AH291" i="33" s="1"/>
  <c r="L65" i="33"/>
  <c r="AK70" i="33" l="1"/>
  <c r="AK111" i="20"/>
  <c r="AI132" i="33"/>
  <c r="AI135" i="20"/>
  <c r="AI131" i="20"/>
  <c r="AI131" i="33" s="1"/>
  <c r="AI133" i="20"/>
  <c r="AI118" i="33"/>
  <c r="AI119" i="20"/>
  <c r="AH287" i="33"/>
  <c r="AH288" i="33" s="1"/>
  <c r="AH288" i="20"/>
  <c r="AJ112" i="33"/>
  <c r="AJ113" i="20"/>
  <c r="AJ115" i="20"/>
  <c r="AK69" i="33"/>
  <c r="AL64" i="20"/>
  <c r="L68" i="33"/>
  <c r="AH293" i="20" l="1"/>
  <c r="AH294" i="20" s="1"/>
  <c r="AI291" i="20" s="1"/>
  <c r="AI291" i="33" s="1"/>
  <c r="AI286" i="20"/>
  <c r="AI286" i="33" s="1"/>
  <c r="AI135" i="33"/>
  <c r="AI136" i="20"/>
  <c r="AI138" i="20"/>
  <c r="AL67" i="20"/>
  <c r="AL64" i="33"/>
  <c r="AK111" i="33"/>
  <c r="AK112" i="20"/>
  <c r="AJ115" i="33"/>
  <c r="AJ116" i="20"/>
  <c r="AJ118" i="20"/>
  <c r="AJ132" i="20"/>
  <c r="K102" i="33"/>
  <c r="AK113" i="20" l="1"/>
  <c r="AK112" i="33"/>
  <c r="AK115" i="20"/>
  <c r="AL69" i="20"/>
  <c r="AL67" i="33"/>
  <c r="AL101" i="20"/>
  <c r="AL101" i="33" s="1"/>
  <c r="AL70" i="20"/>
  <c r="AI138" i="33"/>
  <c r="AI287" i="20"/>
  <c r="AI139" i="20"/>
  <c r="AJ132" i="33"/>
  <c r="AJ131" i="20"/>
  <c r="AJ131" i="33" s="1"/>
  <c r="AJ133" i="20"/>
  <c r="AJ135" i="20"/>
  <c r="AJ118" i="33"/>
  <c r="AJ119" i="20"/>
  <c r="AH293" i="33"/>
  <c r="AH295" i="33" s="1"/>
  <c r="AH296" i="20"/>
  <c r="AI287" i="33" l="1"/>
  <c r="AI288" i="33" s="1"/>
  <c r="AI288" i="20"/>
  <c r="AL70" i="33"/>
  <c r="AL111" i="20"/>
  <c r="AL69" i="33"/>
  <c r="AM64" i="20"/>
  <c r="AK115" i="33"/>
  <c r="AK118" i="20"/>
  <c r="AK132" i="20"/>
  <c r="AK116" i="20"/>
  <c r="AJ135" i="33"/>
  <c r="AJ136" i="20"/>
  <c r="AJ138" i="20"/>
  <c r="AK132" i="33" l="1"/>
  <c r="AK133" i="20"/>
  <c r="AK135" i="20"/>
  <c r="AK131" i="20"/>
  <c r="AK131" i="33" s="1"/>
  <c r="AK118" i="33"/>
  <c r="AK119" i="20"/>
  <c r="AM67" i="20"/>
  <c r="AM69" i="20" s="1"/>
  <c r="AM69" i="33" s="1"/>
  <c r="AM64" i="33"/>
  <c r="AL112" i="20"/>
  <c r="AL111" i="33"/>
  <c r="AI293" i="20"/>
  <c r="AJ286" i="20"/>
  <c r="AJ286" i="33" s="1"/>
  <c r="AJ138" i="33"/>
  <c r="AJ287" i="20"/>
  <c r="AJ139" i="20"/>
  <c r="AI296" i="20" l="1"/>
  <c r="AI293" i="33"/>
  <c r="AI295" i="33" s="1"/>
  <c r="AL112" i="33"/>
  <c r="AL115" i="20"/>
  <c r="AL113" i="20"/>
  <c r="AM67" i="33"/>
  <c r="L67" i="33" s="1"/>
  <c r="L69" i="33" s="1"/>
  <c r="AM101" i="20"/>
  <c r="AM70" i="20"/>
  <c r="L67" i="20"/>
  <c r="L69" i="20" s="1"/>
  <c r="AJ287" i="33"/>
  <c r="AJ288" i="33" s="1"/>
  <c r="AJ288" i="20"/>
  <c r="AK138" i="20"/>
  <c r="AK136" i="20"/>
  <c r="AK135" i="33"/>
  <c r="AI294" i="20"/>
  <c r="AJ291" i="20" s="1"/>
  <c r="AJ291" i="33" s="1"/>
  <c r="K117" i="33"/>
  <c r="L117" i="33"/>
  <c r="AK286" i="20" l="1"/>
  <c r="AK286" i="33" s="1"/>
  <c r="AJ293" i="20"/>
  <c r="AJ294" i="20" s="1"/>
  <c r="AK291" i="20" s="1"/>
  <c r="AK291" i="33" s="1"/>
  <c r="AL115" i="33"/>
  <c r="AL116" i="20"/>
  <c r="AL132" i="20"/>
  <c r="AL118" i="20"/>
  <c r="AK138" i="33"/>
  <c r="AK139" i="20"/>
  <c r="AK287" i="20"/>
  <c r="AM111" i="20"/>
  <c r="L70" i="20"/>
  <c r="AM70" i="33"/>
  <c r="L70" i="33" s="1"/>
  <c r="AM101" i="33"/>
  <c r="L101" i="20"/>
  <c r="L98" i="20" s="1"/>
  <c r="L105" i="20" s="1"/>
  <c r="K101" i="20"/>
  <c r="K98" i="20" s="1"/>
  <c r="K105" i="20" s="1"/>
  <c r="L134" i="33"/>
  <c r="K134" i="33"/>
  <c r="AK287" i="33" l="1"/>
  <c r="AK288" i="33" s="1"/>
  <c r="AK288" i="20"/>
  <c r="L108" i="20"/>
  <c r="L130" i="20"/>
  <c r="K130" i="20"/>
  <c r="K108" i="20"/>
  <c r="K111" i="20"/>
  <c r="L111" i="20"/>
  <c r="AM112" i="20"/>
  <c r="AM111" i="33"/>
  <c r="AL118" i="33"/>
  <c r="AL119" i="20"/>
  <c r="AL133" i="20"/>
  <c r="AL131" i="20"/>
  <c r="AL131" i="33" s="1"/>
  <c r="AL135" i="20"/>
  <c r="AL132" i="33"/>
  <c r="L101" i="33"/>
  <c r="L98" i="33" s="1"/>
  <c r="L105" i="33" s="1"/>
  <c r="L108" i="33" s="1"/>
  <c r="K101" i="33"/>
  <c r="K98" i="33" s="1"/>
  <c r="K105" i="33" s="1"/>
  <c r="K108" i="33" s="1"/>
  <c r="AJ293" i="33"/>
  <c r="AJ295" i="33" s="1"/>
  <c r="AJ296" i="20"/>
  <c r="L137" i="33"/>
  <c r="K137" i="33"/>
  <c r="K109" i="20" l="1"/>
  <c r="K112" i="20"/>
  <c r="AL136" i="20"/>
  <c r="AL138" i="20"/>
  <c r="AL135" i="33"/>
  <c r="L111" i="33"/>
  <c r="L112" i="33" s="1"/>
  <c r="L115" i="33" s="1"/>
  <c r="K111" i="33"/>
  <c r="K112" i="33" s="1"/>
  <c r="K115" i="33" s="1"/>
  <c r="AM113" i="20"/>
  <c r="AM115" i="20"/>
  <c r="AM112" i="33"/>
  <c r="L109" i="20"/>
  <c r="L112" i="20"/>
  <c r="AL286" i="20"/>
  <c r="AL286" i="33" s="1"/>
  <c r="AK293" i="20"/>
  <c r="K132" i="33" l="1"/>
  <c r="K135" i="33" s="1"/>
  <c r="K138" i="33" s="1"/>
  <c r="K118" i="33"/>
  <c r="AM115" i="33"/>
  <c r="AM118" i="20"/>
  <c r="AM116" i="20"/>
  <c r="AM132" i="20"/>
  <c r="L132" i="33"/>
  <c r="L135" i="33" s="1"/>
  <c r="L138" i="33" s="1"/>
  <c r="L118" i="33"/>
  <c r="AK293" i="33"/>
  <c r="AK295" i="33" s="1"/>
  <c r="AK296" i="20"/>
  <c r="AK294" i="20"/>
  <c r="AL291" i="20" s="1"/>
  <c r="AL291" i="33" s="1"/>
  <c r="AL287" i="20"/>
  <c r="AL139" i="20"/>
  <c r="AL138" i="33"/>
  <c r="L113" i="20"/>
  <c r="L115" i="20"/>
  <c r="K113" i="20"/>
  <c r="K115" i="20"/>
  <c r="AL287" i="33" l="1"/>
  <c r="AL288" i="33" s="1"/>
  <c r="AL288" i="20"/>
  <c r="K118" i="20"/>
  <c r="K119" i="20" s="1"/>
  <c r="K132" i="20"/>
  <c r="K116" i="20"/>
  <c r="AM132" i="33"/>
  <c r="AM135" i="20"/>
  <c r="AM133" i="20"/>
  <c r="AM131" i="20"/>
  <c r="L116" i="20"/>
  <c r="L118" i="20"/>
  <c r="L119" i="20" s="1"/>
  <c r="L132" i="20"/>
  <c r="AM118" i="33"/>
  <c r="AM119" i="20"/>
  <c r="L133" i="20" l="1"/>
  <c r="L135" i="20"/>
  <c r="AM135" i="33"/>
  <c r="AM136" i="20"/>
  <c r="AM138" i="20"/>
  <c r="K133" i="20"/>
  <c r="K135" i="20"/>
  <c r="AM131" i="33"/>
  <c r="L131" i="20"/>
  <c r="K131" i="20"/>
  <c r="AM286" i="20"/>
  <c r="AM286" i="33" s="1"/>
  <c r="AL293" i="20"/>
  <c r="AL294" i="20" l="1"/>
  <c r="AM291" i="20" s="1"/>
  <c r="AM291" i="33" s="1"/>
  <c r="AL293" i="33"/>
  <c r="AL295" i="33" s="1"/>
  <c r="AL296" i="20"/>
  <c r="K131" i="33"/>
  <c r="L131" i="33"/>
  <c r="K136" i="20"/>
  <c r="K138" i="20"/>
  <c r="K139" i="20" s="1"/>
  <c r="AM287" i="20"/>
  <c r="AM139" i="20"/>
  <c r="AM138" i="33"/>
  <c r="L138" i="20"/>
  <c r="L139" i="20" s="1"/>
  <c r="L136" i="20"/>
  <c r="AM288" i="20" l="1"/>
  <c r="AM287" i="33"/>
  <c r="AM288" i="33" s="1"/>
  <c r="AM293" i="20" l="1"/>
  <c r="AM294" i="20" s="1"/>
  <c r="AM296" i="20" l="1"/>
  <c r="AM293" i="33"/>
  <c r="AM295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tc={625802B1-2F93-4EBB-849A-20CB2368F1CE}</author>
  </authors>
  <commentList>
    <comment ref="F30" authorId="0" shapeId="0" xr:uid="{625802B1-2F93-4EBB-849A-20CB2368F1C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Pegar proporcional rateio com eng</t>
      </text>
    </comment>
  </commentList>
</comments>
</file>

<file path=xl/sharedStrings.xml><?xml version="1.0" encoding="utf-8"?>
<sst xmlns="http://schemas.openxmlformats.org/spreadsheetml/2006/main" count="7024" uniqueCount="5365">
  <si>
    <t>Modelo Econômico-Financeiro</t>
  </si>
  <si>
    <t>Mês-Calendário &gt;</t>
  </si>
  <si>
    <t>Mês-Concessão &gt;</t>
  </si>
  <si>
    <t>Ano-Concessão &gt;</t>
  </si>
  <si>
    <t>Ano-Calendário &gt;</t>
  </si>
  <si>
    <t>Bloco A/B: Demanda e Oferta</t>
  </si>
  <si>
    <t>Bloco C: Custos e Despesas</t>
  </si>
  <si>
    <t>Custos e Despesas Operacionais, Totais</t>
  </si>
  <si>
    <t>Custos Operacionais</t>
  </si>
  <si>
    <t>Linha de Custo 7</t>
  </si>
  <si>
    <t>Bloco D: Investimentos</t>
  </si>
  <si>
    <t>Investimentos</t>
  </si>
  <si>
    <t>Implantação</t>
  </si>
  <si>
    <t>% do Capex</t>
  </si>
  <si>
    <t>Repex</t>
  </si>
  <si>
    <t>Despesas Pré Operacionais</t>
  </si>
  <si>
    <t>Ressarcimento</t>
  </si>
  <si>
    <t>Linha de Investimento 3</t>
  </si>
  <si>
    <t>Linha de Investimento 4</t>
  </si>
  <si>
    <t>Linha de Investimento 5</t>
  </si>
  <si>
    <t>Linha de Investimento 6</t>
  </si>
  <si>
    <t>Linha de Investimento 7</t>
  </si>
  <si>
    <t>Aportes</t>
  </si>
  <si>
    <t>Linha de Aporte 1</t>
  </si>
  <si>
    <t>Linha de Aporte 2</t>
  </si>
  <si>
    <t>Linha de Aporte 3</t>
  </si>
  <si>
    <t>Linha de Aporte 4</t>
  </si>
  <si>
    <t>Linha de Aporte 5</t>
  </si>
  <si>
    <t>Linha de Aporte 6</t>
  </si>
  <si>
    <t>Linha de Aporte 7</t>
  </si>
  <si>
    <t>Amortização e Depreciação</t>
  </si>
  <si>
    <t>Aporte</t>
  </si>
  <si>
    <t>Contraprestação - Total</t>
  </si>
  <si>
    <t>Contraprestação - Parcela Investimento</t>
  </si>
  <si>
    <t>% CP Total</t>
  </si>
  <si>
    <t>BoP - Ativo Financeiro</t>
  </si>
  <si>
    <t>- Investimento</t>
  </si>
  <si>
    <t>+ Aporte</t>
  </si>
  <si>
    <t>+ Receita Financeira AF</t>
  </si>
  <si>
    <t>WACC</t>
  </si>
  <si>
    <t>- Pagamento AF</t>
  </si>
  <si>
    <t>EoP - Ativo Financeiro</t>
  </si>
  <si>
    <t>Amortização do AF</t>
  </si>
  <si>
    <t>Bloco E: Remuneração</t>
  </si>
  <si>
    <t>Contraprestação</t>
  </si>
  <si>
    <t>Receita, Contraprestação Total</t>
  </si>
  <si>
    <t>PRM &gt;&gt;</t>
  </si>
  <si>
    <t>TIR</t>
  </si>
  <si>
    <t>Período de Remuneração</t>
  </si>
  <si>
    <t>Receita, Contraprestação Fixa</t>
  </si>
  <si>
    <t>Demonstrativo Financeiro</t>
  </si>
  <si>
    <t>Macroeconômico</t>
  </si>
  <si>
    <t>Moeda do Modelo</t>
  </si>
  <si>
    <t>Real</t>
  </si>
  <si>
    <t>IPCA</t>
  </si>
  <si>
    <t>IPCA, Acumulado</t>
  </si>
  <si>
    <t>INCC</t>
  </si>
  <si>
    <t>INCC, Acumulado</t>
  </si>
  <si>
    <t>IGP-M</t>
  </si>
  <si>
    <t>IGP-M, Acumulado</t>
  </si>
  <si>
    <t>CDI</t>
  </si>
  <si>
    <t>CDI, Acumulado</t>
  </si>
  <si>
    <t>Reajuste Contrato</t>
  </si>
  <si>
    <t>Mês de Reajuste</t>
  </si>
  <si>
    <t>Reajuste Contrato, Acumulado</t>
  </si>
  <si>
    <t>Demonstrativo de Resultado</t>
  </si>
  <si>
    <t>VPL</t>
  </si>
  <si>
    <t>Total</t>
  </si>
  <si>
    <t>IFRS</t>
  </si>
  <si>
    <t>Receita Bruta</t>
  </si>
  <si>
    <t>Receita, Contraprestação Operacional</t>
  </si>
  <si>
    <t xml:space="preserve">Receita, Construção </t>
  </si>
  <si>
    <t xml:space="preserve">Receita de Ativo Financeiro </t>
  </si>
  <si>
    <t>Impostos sobre Receita</t>
  </si>
  <si>
    <t>PIS/COFINS</t>
  </si>
  <si>
    <t>ISS</t>
  </si>
  <si>
    <t>Receita Líquida</t>
  </si>
  <si>
    <t>Custo de Construção</t>
  </si>
  <si>
    <t>EBITDA</t>
  </si>
  <si>
    <t>Margem EBITDA</t>
  </si>
  <si>
    <t>Depreciação</t>
  </si>
  <si>
    <t>Atualização do Ativo Financeiro</t>
  </si>
  <si>
    <t>EBIT</t>
  </si>
  <si>
    <t>Margem EBIT</t>
  </si>
  <si>
    <t>Despesas Financeiras</t>
  </si>
  <si>
    <t>Regulatório</t>
  </si>
  <si>
    <t>EBT</t>
  </si>
  <si>
    <t>Margem EBT</t>
  </si>
  <si>
    <t>IR/CSLL</t>
  </si>
  <si>
    <t>Lucro Líquido</t>
  </si>
  <si>
    <t>Margem Líquida</t>
  </si>
  <si>
    <t>Gerencial</t>
  </si>
  <si>
    <t>PIS / Cofins</t>
  </si>
  <si>
    <t>Depreciação / Amortização</t>
  </si>
  <si>
    <t>Demonstrativo de Fluxo de Caixa</t>
  </si>
  <si>
    <t>Faturamento Bruto</t>
  </si>
  <si>
    <t>Fluxo de Caixa, após atividades de operação</t>
  </si>
  <si>
    <t>EBITDA Ajustado / Contraprestação Total - Impostos Diretos</t>
  </si>
  <si>
    <t>Fluxo de Caixa, após atividades de investimentos</t>
  </si>
  <si>
    <t>Fluxo de Caixa, após atividades de investimentos - Acumulado</t>
  </si>
  <si>
    <t>Anual</t>
  </si>
  <si>
    <t>VPL ( a.a.)</t>
  </si>
  <si>
    <t>Exposição de Caixa</t>
  </si>
  <si>
    <t>Payback</t>
  </si>
  <si>
    <t>Capex</t>
  </si>
  <si>
    <t>FCF Projeto</t>
  </si>
  <si>
    <t>Análise Tributária</t>
  </si>
  <si>
    <t>Modelo Tributário</t>
  </si>
  <si>
    <t>Presumido</t>
  </si>
  <si>
    <t>PiS/Cofins</t>
  </si>
  <si>
    <t>Lucro Presumido</t>
  </si>
  <si>
    <t>PIS/Cofins sobre Contraprestação Operacional</t>
  </si>
  <si>
    <t>PIS/Cofins sobre Contraprestação Operacional - Caixa</t>
  </si>
  <si>
    <t>Contraprestação Operacional</t>
  </si>
  <si>
    <t>Deduções</t>
  </si>
  <si>
    <t>Crédito a recuperar PIS/Cofins - BoP</t>
  </si>
  <si>
    <t>(+) Crédito no período</t>
  </si>
  <si>
    <t>(-) Compensação no período</t>
  </si>
  <si>
    <t>Crédito a recuperar PIS/Cofins - EoP</t>
  </si>
  <si>
    <t>PIS/Cofins sobre Receita Financeira</t>
  </si>
  <si>
    <t>Receita Financeira do AF</t>
  </si>
  <si>
    <t>Contraprestação Total</t>
  </si>
  <si>
    <t>EBT Tributável</t>
  </si>
  <si>
    <t>IR</t>
  </si>
  <si>
    <t>IR Adicional</t>
  </si>
  <si>
    <t>CSLL</t>
  </si>
  <si>
    <t>Estudo de CIP x PRM</t>
  </si>
  <si>
    <t>Custos</t>
  </si>
  <si>
    <t>Valores</t>
  </si>
  <si>
    <t>TOTAL</t>
  </si>
  <si>
    <t>Custo de Capital Próprio</t>
  </si>
  <si>
    <t>LP</t>
  </si>
  <si>
    <t>Taxa Livre de Risco</t>
  </si>
  <si>
    <t>US 10y T-Bond</t>
  </si>
  <si>
    <t>Retorno de Mercado</t>
  </si>
  <si>
    <t>S&amp;P 500</t>
  </si>
  <si>
    <t>Prêmio de Risco</t>
  </si>
  <si>
    <t>(A)-(B)</t>
  </si>
  <si>
    <t>Beta</t>
  </si>
  <si>
    <t>Inflação EUA</t>
  </si>
  <si>
    <t>CPI (Ph. Fed. SPF)</t>
  </si>
  <si>
    <t>Inflação Brasil</t>
  </si>
  <si>
    <t>IPCA (Relatório Focus)</t>
  </si>
  <si>
    <t>CAPM (USD)</t>
  </si>
  <si>
    <t>(A)+((D)*(C))</t>
  </si>
  <si>
    <t>Conversor</t>
  </si>
  <si>
    <t>(1+(E))/(1+(F))</t>
  </si>
  <si>
    <t>CAPM (BRL)</t>
  </si>
  <si>
    <t>(H)*(G)</t>
  </si>
  <si>
    <t>Risco Brasil</t>
  </si>
  <si>
    <t>Custo de Capital Próprio Nominal</t>
  </si>
  <si>
    <t>Custo de Capital Próprio Real</t>
  </si>
  <si>
    <t>Custo de Capital de Terceiros</t>
  </si>
  <si>
    <t>Taxa de Juros de Longo Prazo</t>
  </si>
  <si>
    <t>Carga Tributária (IR + CSLL)</t>
  </si>
  <si>
    <t>Custo de Capital de Terceiros Nominal</t>
  </si>
  <si>
    <t>Custo de Capital de Terceiros Real</t>
  </si>
  <si>
    <t>Estrutura de Capital</t>
  </si>
  <si>
    <t>% de Capital Próprio</t>
  </si>
  <si>
    <t>% de Capital de Terceiros</t>
  </si>
  <si>
    <t>Custo Médio Ponderado de Capital (WACC)</t>
  </si>
  <si>
    <t>OPEX</t>
  </si>
  <si>
    <t>Verificador Independente</t>
  </si>
  <si>
    <t>Indicadores</t>
  </si>
  <si>
    <t>CENÁRIO PPP LONGO PRAZO</t>
  </si>
  <si>
    <t>CENÁRIO CUSTO ATUAL LONGO PRAZO</t>
  </si>
  <si>
    <t>Critério/Fonte</t>
  </si>
  <si>
    <t>SMIU - Materiais</t>
  </si>
  <si>
    <t>ORDEM  DE SERVIÇO</t>
  </si>
  <si>
    <t>Parcela Remuneratória Mensal IP Assunção do Parque e 50%</t>
  </si>
  <si>
    <t xml:space="preserve"> Parcela Remuneratória Mensal IP 100%</t>
  </si>
  <si>
    <t>Custos do Poder Concedente</t>
  </si>
  <si>
    <t>PRM</t>
  </si>
  <si>
    <t>IP</t>
  </si>
  <si>
    <t>TECNOLOGIA</t>
  </si>
  <si>
    <t>UFV</t>
  </si>
  <si>
    <t>CAPEX</t>
  </si>
  <si>
    <t>Marco Pagamento %</t>
  </si>
  <si>
    <t>PRM ano 1</t>
  </si>
  <si>
    <t>PRM ano 2</t>
  </si>
  <si>
    <t>PRM anual</t>
  </si>
  <si>
    <t>Check</t>
  </si>
  <si>
    <t>% ano 1</t>
  </si>
  <si>
    <t>ENGENHARIA</t>
  </si>
  <si>
    <t>FRUI</t>
  </si>
  <si>
    <t>TELECOM</t>
  </si>
  <si>
    <t>ECONOMIA</t>
  </si>
  <si>
    <t>1º MARCO</t>
  </si>
  <si>
    <t>2º MARCO</t>
  </si>
  <si>
    <t>3º MARCO</t>
  </si>
  <si>
    <t>4º MARCO</t>
  </si>
  <si>
    <t>5º MARCO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</si>
  <si>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</si>
  <si>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</si>
  <si>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</si>
  <si>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</si>
  <si>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</si>
  <si>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</si>
  <si>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</si>
  <si>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</si>
  <si>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Março</t>
  </si>
  <si>
    <t>Abril</t>
  </si>
  <si>
    <t>Maio</t>
  </si>
  <si>
    <t>Junho</t>
  </si>
  <si>
    <t>FORMA 1 ao 18</t>
  </si>
  <si>
    <t>FORMA -5 ao 12</t>
  </si>
  <si>
    <t>O.S.</t>
  </si>
  <si>
    <t>FORMA DE DIAS FIM MÊS</t>
  </si>
  <si>
    <t>FORMA DE DIAS INÍCIO MÊS</t>
  </si>
  <si>
    <t>Vantagem de Longo Prazo</t>
  </si>
  <si>
    <t>Vantagem Econômica (R$)</t>
  </si>
  <si>
    <t>Vantagem Econômica (%)</t>
  </si>
  <si>
    <t>CENÁRIO PPP VPL</t>
  </si>
  <si>
    <t>CENÁRIO DE CUSTO ATUAL VPL</t>
  </si>
  <si>
    <t>VANTAGEM LONGO PRAZO  VPL (R$)</t>
  </si>
  <si>
    <t>Telecom (Services); Telecom (Wireless); Utility (General)</t>
  </si>
  <si>
    <t>ibov (Vol)</t>
  </si>
  <si>
    <t>NTNB-2035 (Vol)</t>
  </si>
  <si>
    <t>Data</t>
  </si>
  <si>
    <t>Valor</t>
  </si>
  <si>
    <t>Razão</t>
  </si>
  <si>
    <t>LN Razão</t>
  </si>
  <si>
    <t>Preço Venda</t>
  </si>
  <si>
    <t>Variação</t>
  </si>
  <si>
    <t>Vol ibov</t>
  </si>
  <si>
    <t>30.12.2025</t>
  </si>
  <si>
    <t>160.491</t>
  </si>
  <si>
    <t>Vol NTN-B 2035</t>
  </si>
  <si>
    <t>29.12.2025</t>
  </si>
  <si>
    <t>160.897</t>
  </si>
  <si>
    <t>CDS</t>
  </si>
  <si>
    <t>26.12.2025</t>
  </si>
  <si>
    <t>160.456</t>
  </si>
  <si>
    <t>23.12.2025</t>
  </si>
  <si>
    <t>158.144</t>
  </si>
  <si>
    <t>22.12.2025</t>
  </si>
  <si>
    <t>158.480</t>
  </si>
  <si>
    <t>19.12.2025</t>
  </si>
  <si>
    <t>157.928</t>
  </si>
  <si>
    <t>18.12.2025</t>
  </si>
  <si>
    <t>157.327</t>
  </si>
  <si>
    <t>17.12.2025</t>
  </si>
  <si>
    <t>158.578</t>
  </si>
  <si>
    <t>16.12.2025</t>
  </si>
  <si>
    <t>162.482</t>
  </si>
  <si>
    <t>15.12.2025</t>
  </si>
  <si>
    <t>160.766</t>
  </si>
  <si>
    <t>12.12.2025</t>
  </si>
  <si>
    <t>159.189</t>
  </si>
  <si>
    <t>11.12.2025</t>
  </si>
  <si>
    <t>159.072</t>
  </si>
  <si>
    <t>10.12.2025</t>
  </si>
  <si>
    <t>157.984</t>
  </si>
  <si>
    <t>09.12.2025</t>
  </si>
  <si>
    <t>158.187</t>
  </si>
  <si>
    <t>08.12.2025</t>
  </si>
  <si>
    <t>157.369</t>
  </si>
  <si>
    <t>05.12.2025</t>
  </si>
  <si>
    <t>164.461</t>
  </si>
  <si>
    <t>04.12.2025</t>
  </si>
  <si>
    <t>161.760</t>
  </si>
  <si>
    <t>03.12.2025</t>
  </si>
  <si>
    <t>161.094</t>
  </si>
  <si>
    <t>02.12.2025</t>
  </si>
  <si>
    <t>158.612</t>
  </si>
  <si>
    <t>01.12.2025</t>
  </si>
  <si>
    <t>159.073</t>
  </si>
  <si>
    <t>28.11.2025</t>
  </si>
  <si>
    <t>158.358</t>
  </si>
  <si>
    <t>27.11.2025</t>
  </si>
  <si>
    <t>158.554</t>
  </si>
  <si>
    <t>26.11.2025</t>
  </si>
  <si>
    <t>155.915</t>
  </si>
  <si>
    <t>25.11.2025</t>
  </si>
  <si>
    <t>155.278</t>
  </si>
  <si>
    <t>24.11.2025</t>
  </si>
  <si>
    <t>154.769</t>
  </si>
  <si>
    <t>21.11.2025</t>
  </si>
  <si>
    <t>155.381</t>
  </si>
  <si>
    <t>19.11.2025</t>
  </si>
  <si>
    <t>156.522</t>
  </si>
  <si>
    <t>18.11.2025</t>
  </si>
  <si>
    <t>156.990</t>
  </si>
  <si>
    <t>17.11.2025</t>
  </si>
  <si>
    <t>157.742</t>
  </si>
  <si>
    <t>14.11.2025</t>
  </si>
  <si>
    <t>157.162</t>
  </si>
  <si>
    <t>13.11.2025</t>
  </si>
  <si>
    <t>157.633</t>
  </si>
  <si>
    <t>12.11.2025</t>
  </si>
  <si>
    <t>157.749</t>
  </si>
  <si>
    <t>11.11.2025</t>
  </si>
  <si>
    <t>155.257</t>
  </si>
  <si>
    <t>10.11.2025</t>
  </si>
  <si>
    <t>154.061</t>
  </si>
  <si>
    <t>07.11.2025</t>
  </si>
  <si>
    <t>153.339</t>
  </si>
  <si>
    <t>06.11.2025</t>
  </si>
  <si>
    <t>153.297</t>
  </si>
  <si>
    <t>05.11.2025</t>
  </si>
  <si>
    <t>150.709</t>
  </si>
  <si>
    <t>04.11.2025</t>
  </si>
  <si>
    <t>150.453</t>
  </si>
  <si>
    <t>03.11.2025</t>
  </si>
  <si>
    <t>149.551</t>
  </si>
  <si>
    <t>31.10.2025</t>
  </si>
  <si>
    <t>148.774</t>
  </si>
  <si>
    <t>30.10.2025</t>
  </si>
  <si>
    <t>148.632</t>
  </si>
  <si>
    <t>29.10.2025</t>
  </si>
  <si>
    <t>147.430</t>
  </si>
  <si>
    <t>28.10.2025</t>
  </si>
  <si>
    <t>146.970</t>
  </si>
  <si>
    <t>27.10.2025</t>
  </si>
  <si>
    <t>146.174</t>
  </si>
  <si>
    <t>24.10.2025</t>
  </si>
  <si>
    <t>145.721</t>
  </si>
  <si>
    <t>23.10.2025</t>
  </si>
  <si>
    <t>144.881</t>
  </si>
  <si>
    <t>22.10.2025</t>
  </si>
  <si>
    <t>144.094</t>
  </si>
  <si>
    <t>21.10.2025</t>
  </si>
  <si>
    <t>144.509</t>
  </si>
  <si>
    <t>20.10.2025</t>
  </si>
  <si>
    <t>143.399</t>
  </si>
  <si>
    <t>17.10.2025</t>
  </si>
  <si>
    <t>142.200</t>
  </si>
  <si>
    <t>16.10.2025</t>
  </si>
  <si>
    <t>142.604</t>
  </si>
  <si>
    <t>15.10.2025</t>
  </si>
  <si>
    <t>141.683</t>
  </si>
  <si>
    <t>14.10.2025</t>
  </si>
  <si>
    <t>141.788</t>
  </si>
  <si>
    <t>13.10.2025</t>
  </si>
  <si>
    <t>140.682</t>
  </si>
  <si>
    <t>10.10.2025</t>
  </si>
  <si>
    <t>141.725</t>
  </si>
  <si>
    <t>09.10.2025</t>
  </si>
  <si>
    <t>142.148</t>
  </si>
  <si>
    <t>08.10.2025</t>
  </si>
  <si>
    <t>141.356</t>
  </si>
  <si>
    <t>07.10.2025</t>
  </si>
  <si>
    <t>143.606</t>
  </si>
  <si>
    <t>06.10.2025</t>
  </si>
  <si>
    <t>144.202</t>
  </si>
  <si>
    <t>03.10.2025</t>
  </si>
  <si>
    <t>143.950</t>
  </si>
  <si>
    <t>02.10.2025</t>
  </si>
  <si>
    <t>145.517</t>
  </si>
  <si>
    <t>01.10.2025</t>
  </si>
  <si>
    <t>146.237</t>
  </si>
  <si>
    <t>30.09.2025</t>
  </si>
  <si>
    <t>146.337</t>
  </si>
  <si>
    <t>29.09.2025</t>
  </si>
  <si>
    <t>145.447</t>
  </si>
  <si>
    <t>26.09.2025</t>
  </si>
  <si>
    <t>145.326</t>
  </si>
  <si>
    <t>25.09.2025</t>
  </si>
  <si>
    <t>146.492</t>
  </si>
  <si>
    <t>24.09.2025</t>
  </si>
  <si>
    <t>146.426</t>
  </si>
  <si>
    <t>23.09.2025</t>
  </si>
  <si>
    <t>145.112</t>
  </si>
  <si>
    <t>22.09.2025</t>
  </si>
  <si>
    <t>145.864</t>
  </si>
  <si>
    <t>19.09.2025</t>
  </si>
  <si>
    <t>145.499</t>
  </si>
  <si>
    <t>18.09.2025</t>
  </si>
  <si>
    <t>145.594</t>
  </si>
  <si>
    <t>17.09.2025</t>
  </si>
  <si>
    <t>144.059</t>
  </si>
  <si>
    <t>16.09.2025</t>
  </si>
  <si>
    <t>143.547</t>
  </si>
  <si>
    <t>15.09.2025</t>
  </si>
  <si>
    <t>142.292</t>
  </si>
  <si>
    <t>12.09.2025</t>
  </si>
  <si>
    <t>143.151</t>
  </si>
  <si>
    <t>11.09.2025</t>
  </si>
  <si>
    <t>142.349</t>
  </si>
  <si>
    <t>10.09.2025</t>
  </si>
  <si>
    <t>141.612</t>
  </si>
  <si>
    <t>09.09.2025</t>
  </si>
  <si>
    <t>141.794</t>
  </si>
  <si>
    <t>08.09.2025</t>
  </si>
  <si>
    <t>142.640</t>
  </si>
  <si>
    <t>05.09.2025</t>
  </si>
  <si>
    <t>141.003</t>
  </si>
  <si>
    <t>04.09.2025</t>
  </si>
  <si>
    <t>139.832</t>
  </si>
  <si>
    <t>03.09.2025</t>
  </si>
  <si>
    <t>140.332</t>
  </si>
  <si>
    <t>02.09.2025</t>
  </si>
  <si>
    <t>141.279</t>
  </si>
  <si>
    <t>01.09.2025</t>
  </si>
  <si>
    <t>141.423</t>
  </si>
  <si>
    <t>29.08.2025</t>
  </si>
  <si>
    <t>141.049</t>
  </si>
  <si>
    <t>28.08.2025</t>
  </si>
  <si>
    <t>139.206</t>
  </si>
  <si>
    <t>27.08.2025</t>
  </si>
  <si>
    <t>137.773</t>
  </si>
  <si>
    <t>26.08.2025</t>
  </si>
  <si>
    <t>138.026</t>
  </si>
  <si>
    <t>25.08.2025</t>
  </si>
  <si>
    <t>137.971</t>
  </si>
  <si>
    <t>22.08.2025</t>
  </si>
  <si>
    <t>134.511</t>
  </si>
  <si>
    <t>21.08.2025</t>
  </si>
  <si>
    <t>134.664</t>
  </si>
  <si>
    <t>20.08.2025</t>
  </si>
  <si>
    <t>134.430</t>
  </si>
  <si>
    <t>19.08.2025</t>
  </si>
  <si>
    <t>137.321</t>
  </si>
  <si>
    <t>18.08.2025</t>
  </si>
  <si>
    <t>136.341</t>
  </si>
  <si>
    <t>15.08.2025</t>
  </si>
  <si>
    <t>136.354</t>
  </si>
  <si>
    <t>14.08.2025</t>
  </si>
  <si>
    <t>136.681</t>
  </si>
  <si>
    <t>13.08.2025</t>
  </si>
  <si>
    <t>137.911</t>
  </si>
  <si>
    <t>12.08.2025</t>
  </si>
  <si>
    <t>135.629</t>
  </si>
  <si>
    <t>11.08.2025</t>
  </si>
  <si>
    <t>135.913</t>
  </si>
  <si>
    <t>08.08.2025</t>
  </si>
  <si>
    <t>136.526</t>
  </si>
  <si>
    <t>07.08.2025</t>
  </si>
  <si>
    <t>134.538</t>
  </si>
  <si>
    <t>06.08.2025</t>
  </si>
  <si>
    <t>133.169</t>
  </si>
  <si>
    <t>05.08.2025</t>
  </si>
  <si>
    <t>132.971</t>
  </si>
  <si>
    <t>04.08.2025</t>
  </si>
  <si>
    <t>132.440</t>
  </si>
  <si>
    <t>01.08.2025</t>
  </si>
  <si>
    <t>132.920</t>
  </si>
  <si>
    <t>31.07.2025</t>
  </si>
  <si>
    <t>133.987</t>
  </si>
  <si>
    <t>30.07.2025</t>
  </si>
  <si>
    <t>132.702</t>
  </si>
  <si>
    <t>29.07.2025</t>
  </si>
  <si>
    <t>132.130</t>
  </si>
  <si>
    <t>28.07.2025</t>
  </si>
  <si>
    <t>133.538</t>
  </si>
  <si>
    <t>25.07.2025</t>
  </si>
  <si>
    <t>133.820</t>
  </si>
  <si>
    <t>24.07.2025</t>
  </si>
  <si>
    <t>135.357</t>
  </si>
  <si>
    <t>23.07.2025</t>
  </si>
  <si>
    <t>134.036</t>
  </si>
  <si>
    <t>22.07.2025</t>
  </si>
  <si>
    <t>134.180</t>
  </si>
  <si>
    <t>21.07.2025</t>
  </si>
  <si>
    <t>133.382</t>
  </si>
  <si>
    <t>18.07.2025</t>
  </si>
  <si>
    <t>135.562</t>
  </si>
  <si>
    <t>17.07.2025</t>
  </si>
  <si>
    <t>135.515</t>
  </si>
  <si>
    <t>16.07.2025</t>
  </si>
  <si>
    <t>135.250</t>
  </si>
  <si>
    <t>15.07.2025</t>
  </si>
  <si>
    <t>135.298</t>
  </si>
  <si>
    <t>14.07.2025</t>
  </si>
  <si>
    <t>136.187</t>
  </si>
  <si>
    <t>11.07.2025</t>
  </si>
  <si>
    <t>136.742</t>
  </si>
  <si>
    <t>10.07.2025</t>
  </si>
  <si>
    <t>137.472</t>
  </si>
  <si>
    <t>09.07.2025</t>
  </si>
  <si>
    <t>139.303</t>
  </si>
  <si>
    <t>08.07.2025</t>
  </si>
  <si>
    <t>139.491</t>
  </si>
  <si>
    <t>07.07.2025</t>
  </si>
  <si>
    <t>141.265</t>
  </si>
  <si>
    <t>04.07.2025</t>
  </si>
  <si>
    <t>140.928</t>
  </si>
  <si>
    <t>03.07.2025</t>
  </si>
  <si>
    <t>139.051</t>
  </si>
  <si>
    <t>02.07.2025</t>
  </si>
  <si>
    <t>139.586</t>
  </si>
  <si>
    <t>01.07.2025</t>
  </si>
  <si>
    <t>138.855</t>
  </si>
  <si>
    <t>30.06.2025</t>
  </si>
  <si>
    <t>136.865</t>
  </si>
  <si>
    <t>27.06.2025</t>
  </si>
  <si>
    <t>137.113</t>
  </si>
  <si>
    <t>26.06.2025</t>
  </si>
  <si>
    <t>135.767</t>
  </si>
  <si>
    <t>25.06.2025</t>
  </si>
  <si>
    <t>137.163</t>
  </si>
  <si>
    <t>24.06.2025</t>
  </si>
  <si>
    <t>136.552</t>
  </si>
  <si>
    <t>23.06.2025</t>
  </si>
  <si>
    <t>137.116</t>
  </si>
  <si>
    <t>20.06.2025</t>
  </si>
  <si>
    <t>138.715</t>
  </si>
  <si>
    <t>18.06.2025</t>
  </si>
  <si>
    <t>138.844</t>
  </si>
  <si>
    <t>17.06.2025</t>
  </si>
  <si>
    <t>139.256</t>
  </si>
  <si>
    <t>16.06.2025</t>
  </si>
  <si>
    <t>137.212</t>
  </si>
  <si>
    <t>13.06.2025</t>
  </si>
  <si>
    <t>137.800</t>
  </si>
  <si>
    <t>12.06.2025</t>
  </si>
  <si>
    <t>137.127</t>
  </si>
  <si>
    <t>11.06.2025</t>
  </si>
  <si>
    <t>136.443</t>
  </si>
  <si>
    <t>10.06.2025</t>
  </si>
  <si>
    <t>135.716</t>
  </si>
  <si>
    <t>09.06.2025</t>
  </si>
  <si>
    <t>136.102</t>
  </si>
  <si>
    <t>06.06.2025</t>
  </si>
  <si>
    <t>136.236</t>
  </si>
  <si>
    <t>05.06.2025</t>
  </si>
  <si>
    <t>137.003</t>
  </si>
  <si>
    <t>04.06.2025</t>
  </si>
  <si>
    <t>137.547</t>
  </si>
  <si>
    <t>03.06.2025</t>
  </si>
  <si>
    <t>136.787</t>
  </si>
  <si>
    <t>02.06.2025</t>
  </si>
  <si>
    <t>137.026</t>
  </si>
  <si>
    <t>30.05.2025</t>
  </si>
  <si>
    <t>138.546</t>
  </si>
  <si>
    <t>29.05.2025</t>
  </si>
  <si>
    <t>138.869</t>
  </si>
  <si>
    <t>28.05.2025</t>
  </si>
  <si>
    <t>139.541</t>
  </si>
  <si>
    <t>27.05.2025</t>
  </si>
  <si>
    <t>138.136</t>
  </si>
  <si>
    <t>26.05.2025</t>
  </si>
  <si>
    <t>137.824</t>
  </si>
  <si>
    <t>23.05.2025</t>
  </si>
  <si>
    <t>137.273</t>
  </si>
  <si>
    <t>22.05.2025</t>
  </si>
  <si>
    <t>137.881</t>
  </si>
  <si>
    <t>21.05.2025</t>
  </si>
  <si>
    <t>140.109</t>
  </si>
  <si>
    <t>20.05.2025</t>
  </si>
  <si>
    <t>139.636</t>
  </si>
  <si>
    <t>19.05.2025</t>
  </si>
  <si>
    <t>139.186</t>
  </si>
  <si>
    <t>16.05.2025</t>
  </si>
  <si>
    <t>139.335</t>
  </si>
  <si>
    <t>15.05.2025</t>
  </si>
  <si>
    <t>138.425</t>
  </si>
  <si>
    <t>14.05.2025</t>
  </si>
  <si>
    <t>138.965</t>
  </si>
  <si>
    <t>13.05.2025</t>
  </si>
  <si>
    <t>136.565</t>
  </si>
  <si>
    <t>12.05.2025</t>
  </si>
  <si>
    <t>136.516</t>
  </si>
  <si>
    <t>09.05.2025</t>
  </si>
  <si>
    <t>136.232</t>
  </si>
  <si>
    <t>08.05.2025</t>
  </si>
  <si>
    <t>133.458</t>
  </si>
  <si>
    <t>07.05.2025</t>
  </si>
  <si>
    <t>133.517</t>
  </si>
  <si>
    <t>06.05.2025</t>
  </si>
  <si>
    <t>133.499</t>
  </si>
  <si>
    <t>05.05.2025</t>
  </si>
  <si>
    <t>135.131</t>
  </si>
  <si>
    <t>02.05.2025</t>
  </si>
  <si>
    <t>135.067</t>
  </si>
  <si>
    <t>30.04.2025</t>
  </si>
  <si>
    <t>135.094</t>
  </si>
  <si>
    <t>29.04.2025</t>
  </si>
  <si>
    <t>135.017</t>
  </si>
  <si>
    <t>28.04.2025</t>
  </si>
  <si>
    <t>134.741</t>
  </si>
  <si>
    <t>25.04.2025</t>
  </si>
  <si>
    <t>134.579</t>
  </si>
  <si>
    <t>24.04.2025</t>
  </si>
  <si>
    <t>132.245</t>
  </si>
  <si>
    <t>23.04.2025</t>
  </si>
  <si>
    <t>130.468</t>
  </si>
  <si>
    <t>22.04.2025</t>
  </si>
  <si>
    <t>129.650</t>
  </si>
  <si>
    <t>17.04.2025</t>
  </si>
  <si>
    <t>128.316</t>
  </si>
  <si>
    <t>16.04.2025</t>
  </si>
  <si>
    <t>129.245</t>
  </si>
  <si>
    <t>15.04.2025</t>
  </si>
  <si>
    <t>129.452</t>
  </si>
  <si>
    <t>14.04.2025</t>
  </si>
  <si>
    <t>127.683</t>
  </si>
  <si>
    <t>11.04.2025</t>
  </si>
  <si>
    <t>126.355</t>
  </si>
  <si>
    <t>10.04.2025</t>
  </si>
  <si>
    <t>127.796</t>
  </si>
  <si>
    <t>09.04.2025</t>
  </si>
  <si>
    <t>123.928</t>
  </si>
  <si>
    <t>08.04.2025</t>
  </si>
  <si>
    <t>125.588</t>
  </si>
  <si>
    <t>07.04.2025</t>
  </si>
  <si>
    <t>127.229</t>
  </si>
  <si>
    <t>04.04.2025</t>
  </si>
  <si>
    <t>131.139</t>
  </si>
  <si>
    <t>03.04.2025</t>
  </si>
  <si>
    <t>131.185</t>
  </si>
  <si>
    <t>02.04.2025</t>
  </si>
  <si>
    <t>131.151</t>
  </si>
  <si>
    <t>01.04.2025</t>
  </si>
  <si>
    <t>130.267</t>
  </si>
  <si>
    <t>31.03.2025</t>
  </si>
  <si>
    <t>131.900</t>
  </si>
  <si>
    <t>28.03.2025</t>
  </si>
  <si>
    <t>133.143</t>
  </si>
  <si>
    <t>27.03.2025</t>
  </si>
  <si>
    <t>132.522</t>
  </si>
  <si>
    <t>26.03.2025</t>
  </si>
  <si>
    <t>132.069</t>
  </si>
  <si>
    <t>25.03.2025</t>
  </si>
  <si>
    <t>131.327</t>
  </si>
  <si>
    <t>24.03.2025</t>
  </si>
  <si>
    <t>132.344</t>
  </si>
  <si>
    <t>21.03.2025</t>
  </si>
  <si>
    <t>132.005</t>
  </si>
  <si>
    <t>20.03.2025</t>
  </si>
  <si>
    <t>132.505</t>
  </si>
  <si>
    <t>19.03.2025</t>
  </si>
  <si>
    <t>131.476</t>
  </si>
  <si>
    <t>18.03.2025</t>
  </si>
  <si>
    <t>130.832</t>
  </si>
  <si>
    <t>17.03.2025</t>
  </si>
  <si>
    <t>128.959</t>
  </si>
  <si>
    <t>14.03.2025</t>
  </si>
  <si>
    <t>125.647</t>
  </si>
  <si>
    <t>13.03.2025</t>
  </si>
  <si>
    <t>123.863</t>
  </si>
  <si>
    <t>12.03.2025</t>
  </si>
  <si>
    <t>123.507</t>
  </si>
  <si>
    <t>11.03.2025</t>
  </si>
  <si>
    <t>124.519</t>
  </si>
  <si>
    <t>10.03.2025</t>
  </si>
  <si>
    <t>125.031</t>
  </si>
  <si>
    <t>07.03.2025</t>
  </si>
  <si>
    <t>123.357</t>
  </si>
  <si>
    <t>06.03.2025</t>
  </si>
  <si>
    <t>123.048</t>
  </si>
  <si>
    <t>05.03.2025</t>
  </si>
  <si>
    <t>122.799</t>
  </si>
  <si>
    <t>28.02.2025</t>
  </si>
  <si>
    <t>124.798</t>
  </si>
  <si>
    <t>27.02.2025</t>
  </si>
  <si>
    <t>124.768</t>
  </si>
  <si>
    <t>26.02.2025</t>
  </si>
  <si>
    <t>125.980</t>
  </si>
  <si>
    <t>25.02.2025</t>
  </si>
  <si>
    <t>125.401</t>
  </si>
  <si>
    <t>24.02.2025</t>
  </si>
  <si>
    <t>127.129</t>
  </si>
  <si>
    <t>21.02.2025</t>
  </si>
  <si>
    <t>127.601</t>
  </si>
  <si>
    <t>20.02.2025</t>
  </si>
  <si>
    <t>127.309</t>
  </si>
  <si>
    <t>19.02.2025</t>
  </si>
  <si>
    <t>128.528</t>
  </si>
  <si>
    <t>18.02.2025</t>
  </si>
  <si>
    <t>128.553</t>
  </si>
  <si>
    <t>17.02.2025</t>
  </si>
  <si>
    <t>128.229</t>
  </si>
  <si>
    <t>14.02.2025</t>
  </si>
  <si>
    <t>124.849</t>
  </si>
  <si>
    <t>13.02.2025</t>
  </si>
  <si>
    <t>124.372</t>
  </si>
  <si>
    <t>12.02.2025</t>
  </si>
  <si>
    <t>126.513</t>
  </si>
  <si>
    <t>11.02.2025</t>
  </si>
  <si>
    <t>125.571</t>
  </si>
  <si>
    <t>10.02.2025</t>
  </si>
  <si>
    <t>124.619</t>
  </si>
  <si>
    <t>07.02.2025</t>
  </si>
  <si>
    <t>126.219</t>
  </si>
  <si>
    <t>06.02.2025</t>
  </si>
  <si>
    <t>125.531</t>
  </si>
  <si>
    <t>05.02.2025</t>
  </si>
  <si>
    <t>125.146</t>
  </si>
  <si>
    <t>04.02.2025</t>
  </si>
  <si>
    <t>125.964</t>
  </si>
  <si>
    <t>03.02.2025</t>
  </si>
  <si>
    <t>126.135</t>
  </si>
  <si>
    <t>31.01.2025</t>
  </si>
  <si>
    <t>126.914</t>
  </si>
  <si>
    <t>30.01.2025</t>
  </si>
  <si>
    <t>123.433</t>
  </si>
  <si>
    <t>29.01.2025</t>
  </si>
  <si>
    <t>124.056</t>
  </si>
  <si>
    <t>28.01.2025</t>
  </si>
  <si>
    <t>124.861</t>
  </si>
  <si>
    <t>27.01.2025</t>
  </si>
  <si>
    <t>122.443</t>
  </si>
  <si>
    <t>24.01.2025</t>
  </si>
  <si>
    <t>122.483</t>
  </si>
  <si>
    <t>23.01.2025</t>
  </si>
  <si>
    <t>122.965</t>
  </si>
  <si>
    <t>22.01.2025</t>
  </si>
  <si>
    <t>123.345</t>
  </si>
  <si>
    <t>21.01.2025</t>
  </si>
  <si>
    <t>122.850</t>
  </si>
  <si>
    <t>20.01.2025</t>
  </si>
  <si>
    <t>122.349</t>
  </si>
  <si>
    <t>17.01.2025</t>
  </si>
  <si>
    <t>121.258</t>
  </si>
  <si>
    <t>16.01.2025</t>
  </si>
  <si>
    <t>122.649</t>
  </si>
  <si>
    <t>15.01.2025</t>
  </si>
  <si>
    <t>119.309</t>
  </si>
  <si>
    <t>14.01.2025</t>
  </si>
  <si>
    <t>119.007</t>
  </si>
  <si>
    <t>13.01.2025</t>
  </si>
  <si>
    <t>118.856</t>
  </si>
  <si>
    <t>10.01.2025</t>
  </si>
  <si>
    <t>119.781</t>
  </si>
  <si>
    <t>09.01.2025</t>
  </si>
  <si>
    <t>119.625</t>
  </si>
  <si>
    <t>08.01.2025</t>
  </si>
  <si>
    <t>121.160</t>
  </si>
  <si>
    <t>07.01.2025</t>
  </si>
  <si>
    <t>120.022</t>
  </si>
  <si>
    <t>06.01.2025</t>
  </si>
  <si>
    <t>118.534</t>
  </si>
  <si>
    <t>03.01.2025</t>
  </si>
  <si>
    <t>120.125</t>
  </si>
  <si>
    <t>02.01.2025</t>
  </si>
  <si>
    <t>120.283</t>
  </si>
  <si>
    <t>30.12.2024</t>
  </si>
  <si>
    <t>120.267</t>
  </si>
  <si>
    <t>27.12.2024</t>
  </si>
  <si>
    <t>121.078</t>
  </si>
  <si>
    <t>26.12.2024</t>
  </si>
  <si>
    <t>120.767</t>
  </si>
  <si>
    <t>23.12.2024</t>
  </si>
  <si>
    <t>122.105</t>
  </si>
  <si>
    <t>20.12.2024</t>
  </si>
  <si>
    <t>121.183</t>
  </si>
  <si>
    <t>19.12.2024</t>
  </si>
  <si>
    <t>120.768</t>
  </si>
  <si>
    <t>18.12.2024</t>
  </si>
  <si>
    <t>124.699</t>
  </si>
  <si>
    <t>17.12.2024</t>
  </si>
  <si>
    <t>123.560</t>
  </si>
  <si>
    <t>16.12.2024</t>
  </si>
  <si>
    <t>124.610</t>
  </si>
  <si>
    <t>13.12.2024</t>
  </si>
  <si>
    <t>126.102</t>
  </si>
  <si>
    <t>12.12.2024</t>
  </si>
  <si>
    <t>129.587</t>
  </si>
  <si>
    <t>11.12.2024</t>
  </si>
  <si>
    <t>128.228</t>
  </si>
  <si>
    <t>10.12.2024</t>
  </si>
  <si>
    <t>127.213</t>
  </si>
  <si>
    <t>09.12.2024</t>
  </si>
  <si>
    <t>125.946</t>
  </si>
  <si>
    <t>06.12.2024</t>
  </si>
  <si>
    <t>127.856</t>
  </si>
  <si>
    <t>05.12.2024</t>
  </si>
  <si>
    <t>126.088</t>
  </si>
  <si>
    <t>04.12.2024</t>
  </si>
  <si>
    <t>126.139</t>
  </si>
  <si>
    <t>03.12.2024</t>
  </si>
  <si>
    <t>125.235</t>
  </si>
  <si>
    <t>02.12.2024</t>
  </si>
  <si>
    <t>125.668</t>
  </si>
  <si>
    <t>29.11.2024</t>
  </si>
  <si>
    <t>124.611</t>
  </si>
  <si>
    <t>28.11.2024</t>
  </si>
  <si>
    <t>127.667</t>
  </si>
  <si>
    <t>27.11.2024</t>
  </si>
  <si>
    <t>129.923</t>
  </si>
  <si>
    <t>26.11.2024</t>
  </si>
  <si>
    <t>129.043</t>
  </si>
  <si>
    <t>25.11.2024</t>
  </si>
  <si>
    <t>129.125</t>
  </si>
  <si>
    <t>22.11.2024</t>
  </si>
  <si>
    <t>126.944</t>
  </si>
  <si>
    <t>21.11.2024</t>
  </si>
  <si>
    <t>128.197</t>
  </si>
  <si>
    <t>19.11.2024</t>
  </si>
  <si>
    <t>127.768</t>
  </si>
  <si>
    <t>18.11.2024</t>
  </si>
  <si>
    <t>127.791</t>
  </si>
  <si>
    <t>14.11.2024</t>
  </si>
  <si>
    <t>127.734</t>
  </si>
  <si>
    <t>13.11.2024</t>
  </si>
  <si>
    <t>127.698</t>
  </si>
  <si>
    <t>12.11.2024</t>
  </si>
  <si>
    <t>127.873</t>
  </si>
  <si>
    <t>11.11.2024</t>
  </si>
  <si>
    <t>127.829</t>
  </si>
  <si>
    <t>08.11.2024</t>
  </si>
  <si>
    <t>129.647</t>
  </si>
  <si>
    <t>07.11.2024</t>
  </si>
  <si>
    <t>130.341</t>
  </si>
  <si>
    <t>06.11.2024</t>
  </si>
  <si>
    <t>130.613</t>
  </si>
  <si>
    <t>05.11.2024</t>
  </si>
  <si>
    <t>130.515</t>
  </si>
  <si>
    <t>04.11.2024</t>
  </si>
  <si>
    <t>128.130</t>
  </si>
  <si>
    <t>01.11.2024</t>
  </si>
  <si>
    <t>129.718</t>
  </si>
  <si>
    <t>31.10.2024</t>
  </si>
  <si>
    <t>130.639</t>
  </si>
  <si>
    <t>30.10.2024</t>
  </si>
  <si>
    <t>130.730</t>
  </si>
  <si>
    <t>29.10.2024</t>
  </si>
  <si>
    <t>131.214</t>
  </si>
  <si>
    <t>28.10.2024</t>
  </si>
  <si>
    <t>129.894</t>
  </si>
  <si>
    <t>25.10.2024</t>
  </si>
  <si>
    <t>130.067</t>
  </si>
  <si>
    <t>24.10.2024</t>
  </si>
  <si>
    <t>129.233</t>
  </si>
  <si>
    <t>23.10.2024</t>
  </si>
  <si>
    <t>129.949</t>
  </si>
  <si>
    <t>22.10.2024</t>
  </si>
  <si>
    <t>130.346</t>
  </si>
  <si>
    <t>21.10.2024</t>
  </si>
  <si>
    <t>130.499</t>
  </si>
  <si>
    <t>18.10.2024</t>
  </si>
  <si>
    <t>130.793</t>
  </si>
  <si>
    <t>17.10.2024</t>
  </si>
  <si>
    <t>131.716</t>
  </si>
  <si>
    <t>16.10.2024</t>
  </si>
  <si>
    <t>131.045</t>
  </si>
  <si>
    <t>15.10.2024</t>
  </si>
  <si>
    <t>131.005</t>
  </si>
  <si>
    <t>14.10.2024</t>
  </si>
  <si>
    <t>129.992</t>
  </si>
  <si>
    <t>11.10.2024</t>
  </si>
  <si>
    <t>130.354</t>
  </si>
  <si>
    <t>10.10.2024</t>
  </si>
  <si>
    <t>129.963</t>
  </si>
  <si>
    <t>09.10.2024</t>
  </si>
  <si>
    <t>131.510</t>
  </si>
  <si>
    <t>08.10.2024</t>
  </si>
  <si>
    <t>132.016</t>
  </si>
  <si>
    <t>07.10.2024</t>
  </si>
  <si>
    <t>131.792</t>
  </si>
  <si>
    <t>04.10.2024</t>
  </si>
  <si>
    <t>131.672</t>
  </si>
  <si>
    <t>03.10.2024</t>
  </si>
  <si>
    <t>133.514</t>
  </si>
  <si>
    <t>02.10.2024</t>
  </si>
  <si>
    <t>132.495</t>
  </si>
  <si>
    <t>01.10.2024</t>
  </si>
  <si>
    <t>131.817</t>
  </si>
  <si>
    <t>30.09.2024</t>
  </si>
  <si>
    <t>132.761</t>
  </si>
  <si>
    <t>27.09.2024</t>
  </si>
  <si>
    <t>133.010</t>
  </si>
  <si>
    <t>26.09.2024</t>
  </si>
  <si>
    <t>131.595</t>
  </si>
  <si>
    <t>25.09.2024</t>
  </si>
  <si>
    <t>132.156</t>
  </si>
  <si>
    <t>24.09.2024</t>
  </si>
  <si>
    <t>130.570</t>
  </si>
  <si>
    <t>23.09.2024</t>
  </si>
  <si>
    <t>131.065</t>
  </si>
  <si>
    <t>20.09.2024</t>
  </si>
  <si>
    <t>133.121</t>
  </si>
  <si>
    <t>19.09.2024</t>
  </si>
  <si>
    <t>133.748</t>
  </si>
  <si>
    <t>18.09.2024</t>
  </si>
  <si>
    <t>134.960</t>
  </si>
  <si>
    <t>17.09.2024</t>
  </si>
  <si>
    <t>135.118</t>
  </si>
  <si>
    <t>16.09.2024</t>
  </si>
  <si>
    <t>134.885</t>
  </si>
  <si>
    <t>13.09.2024</t>
  </si>
  <si>
    <t>134.031</t>
  </si>
  <si>
    <t>12.09.2024</t>
  </si>
  <si>
    <t>134.677</t>
  </si>
  <si>
    <t>11.09.2024</t>
  </si>
  <si>
    <t>134.319</t>
  </si>
  <si>
    <t>10.09.2024</t>
  </si>
  <si>
    <t>134.738</t>
  </si>
  <si>
    <t>09.09.2024</t>
  </si>
  <si>
    <t>134.574</t>
  </si>
  <si>
    <t>06.09.2024</t>
  </si>
  <si>
    <t>136.508</t>
  </si>
  <si>
    <t>05.09.2024</t>
  </si>
  <si>
    <t>136.112</t>
  </si>
  <si>
    <t>04.09.2024</t>
  </si>
  <si>
    <t>134.359</t>
  </si>
  <si>
    <t>03.09.2024</t>
  </si>
  <si>
    <t>134.907</t>
  </si>
  <si>
    <t>02.09.2024</t>
  </si>
  <si>
    <t>136.004</t>
  </si>
  <si>
    <t>30.08.2024</t>
  </si>
  <si>
    <t>136.041</t>
  </si>
  <si>
    <t>29.08.2024</t>
  </si>
  <si>
    <t>137.349</t>
  </si>
  <si>
    <t>28.08.2024</t>
  </si>
  <si>
    <t>136.776</t>
  </si>
  <si>
    <t>27.08.2024</t>
  </si>
  <si>
    <t>136.888</t>
  </si>
  <si>
    <t>26.08.2024</t>
  </si>
  <si>
    <t>135.608</t>
  </si>
  <si>
    <t>23.08.2024</t>
  </si>
  <si>
    <t>135.174</t>
  </si>
  <si>
    <t>22.08.2024</t>
  </si>
  <si>
    <t>136.462</t>
  </si>
  <si>
    <t>21.08.2024</t>
  </si>
  <si>
    <t>136.088</t>
  </si>
  <si>
    <t>20.08.2024</t>
  </si>
  <si>
    <t>135.779</t>
  </si>
  <si>
    <t>19.08.2024</t>
  </si>
  <si>
    <t>133.953</t>
  </si>
  <si>
    <t>16.08.2024</t>
  </si>
  <si>
    <t>134.154</t>
  </si>
  <si>
    <t>15.08.2024</t>
  </si>
  <si>
    <t>133.319</t>
  </si>
  <si>
    <t>14.08.2024</t>
  </si>
  <si>
    <t>132.398</t>
  </si>
  <si>
    <t>13.08.2024</t>
  </si>
  <si>
    <t>131.115</t>
  </si>
  <si>
    <t>12.08.2024</t>
  </si>
  <si>
    <t>130.615</t>
  </si>
  <si>
    <t>09.08.2024</t>
  </si>
  <si>
    <t>128.662</t>
  </si>
  <si>
    <t>08.08.2024</t>
  </si>
  <si>
    <t>127.515</t>
  </si>
  <si>
    <t>07.08.2024</t>
  </si>
  <si>
    <t>126.268</t>
  </si>
  <si>
    <t>06.08.2024</t>
  </si>
  <si>
    <t>125.270</t>
  </si>
  <si>
    <t>05.08.2024</t>
  </si>
  <si>
    <t>125.851</t>
  </si>
  <si>
    <t>02.08.2024</t>
  </si>
  <si>
    <t>127.395</t>
  </si>
  <si>
    <t>01.08.2024</t>
  </si>
  <si>
    <t>127.652</t>
  </si>
  <si>
    <t>31.07.2024</t>
  </si>
  <si>
    <t>30.07.2024</t>
  </si>
  <si>
    <t>126.951</t>
  </si>
  <si>
    <t>29.07.2024</t>
  </si>
  <si>
    <t>127.492</t>
  </si>
  <si>
    <t>26.07.2024</t>
  </si>
  <si>
    <t>25.07.2024</t>
  </si>
  <si>
    <t>126.423</t>
  </si>
  <si>
    <t>24.07.2024</t>
  </si>
  <si>
    <t>126.596</t>
  </si>
  <si>
    <t>23.07.2024</t>
  </si>
  <si>
    <t>127.860</t>
  </si>
  <si>
    <t>22.07.2024</t>
  </si>
  <si>
    <t>127.616</t>
  </si>
  <si>
    <t>19.07.2024</t>
  </si>
  <si>
    <t>18.07.2024</t>
  </si>
  <si>
    <t>129.450</t>
  </si>
  <si>
    <t>17.07.2024</t>
  </si>
  <si>
    <t>129.112</t>
  </si>
  <si>
    <t>16.07.2024</t>
  </si>
  <si>
    <t>129.322</t>
  </si>
  <si>
    <t>15.07.2024</t>
  </si>
  <si>
    <t>128.898</t>
  </si>
  <si>
    <t>12.07.2024</t>
  </si>
  <si>
    <t>128.293</t>
  </si>
  <si>
    <t>11.07.2024</t>
  </si>
  <si>
    <t>127.221</t>
  </si>
  <si>
    <t>10.07.2024</t>
  </si>
  <si>
    <t>127.109</t>
  </si>
  <si>
    <t>09.07.2024</t>
  </si>
  <si>
    <t>126.548</t>
  </si>
  <si>
    <t>08.07.2024</t>
  </si>
  <si>
    <t>126.280</t>
  </si>
  <si>
    <t>05.07.2024</t>
  </si>
  <si>
    <t>126.165</t>
  </si>
  <si>
    <t>04.07.2024</t>
  </si>
  <si>
    <t>125.666</t>
  </si>
  <si>
    <t>03.07.2024</t>
  </si>
  <si>
    <t>124.787</t>
  </si>
  <si>
    <t>02.07.2024</t>
  </si>
  <si>
    <t>124.720</t>
  </si>
  <si>
    <t>01.07.2024</t>
  </si>
  <si>
    <t>123.905</t>
  </si>
  <si>
    <t>28.06.2024</t>
  </si>
  <si>
    <t>124.308</t>
  </si>
  <si>
    <t>27.06.2024</t>
  </si>
  <si>
    <t>122.642</t>
  </si>
  <si>
    <t>26.06.2024</t>
  </si>
  <si>
    <t>122.331</t>
  </si>
  <si>
    <t>25.06.2024</t>
  </si>
  <si>
    <t>122.634</t>
  </si>
  <si>
    <t>24.06.2024</t>
  </si>
  <si>
    <t>121.343</t>
  </si>
  <si>
    <t>21.06.2024</t>
  </si>
  <si>
    <t>120.446</t>
  </si>
  <si>
    <t>20.06.2024</t>
  </si>
  <si>
    <t>19.06.2024</t>
  </si>
  <si>
    <t>119.630</t>
  </si>
  <si>
    <t>18.06.2024</t>
  </si>
  <si>
    <t>119.138</t>
  </si>
  <si>
    <t>17.06.2024</t>
  </si>
  <si>
    <t>119.663</t>
  </si>
  <si>
    <t>14.06.2024</t>
  </si>
  <si>
    <t>119.558</t>
  </si>
  <si>
    <t>13.06.2024</t>
  </si>
  <si>
    <t>119.936</t>
  </si>
  <si>
    <t>12.06.2024</t>
  </si>
  <si>
    <t>121.644</t>
  </si>
  <si>
    <t>11.06.2024</t>
  </si>
  <si>
    <t>120.760</t>
  </si>
  <si>
    <t>10.06.2024</t>
  </si>
  <si>
    <t>120.769</t>
  </si>
  <si>
    <t>07.06.2024</t>
  </si>
  <si>
    <t>122.899</t>
  </si>
  <si>
    <t>06.06.2024</t>
  </si>
  <si>
    <t>121.408</t>
  </si>
  <si>
    <t>05.06.2024</t>
  </si>
  <si>
    <t>121.803</t>
  </si>
  <si>
    <t>04.06.2024</t>
  </si>
  <si>
    <t>122.032</t>
  </si>
  <si>
    <t>03.06.2024</t>
  </si>
  <si>
    <t>122.100</t>
  </si>
  <si>
    <t>31.05.2024</t>
  </si>
  <si>
    <t>122.704</t>
  </si>
  <si>
    <t>29.05.2024</t>
  </si>
  <si>
    <t>123.780</t>
  </si>
  <si>
    <t>28.05.2024</t>
  </si>
  <si>
    <t>124.498</t>
  </si>
  <si>
    <t>27.05.2024</t>
  </si>
  <si>
    <t>124.297</t>
  </si>
  <si>
    <t>24.05.2024</t>
  </si>
  <si>
    <t>124.731</t>
  </si>
  <si>
    <t>23.05.2024</t>
  </si>
  <si>
    <t>125.650</t>
  </si>
  <si>
    <t>22.05.2024</t>
  </si>
  <si>
    <t>127.412</t>
  </si>
  <si>
    <t>21.05.2024</t>
  </si>
  <si>
    <t>127.754</t>
  </si>
  <si>
    <t>20.05.2024</t>
  </si>
  <si>
    <t>128.151</t>
  </si>
  <si>
    <t>17.05.2024</t>
  </si>
  <si>
    <t>128.280</t>
  </si>
  <si>
    <t>16.05.2024</t>
  </si>
  <si>
    <t>128.029</t>
  </si>
  <si>
    <t>15.05.2024</t>
  </si>
  <si>
    <t>128.514</t>
  </si>
  <si>
    <t>14.05.2024</t>
  </si>
  <si>
    <t>128.155</t>
  </si>
  <si>
    <t>13.05.2024</t>
  </si>
  <si>
    <t>127.600</t>
  </si>
  <si>
    <t>10.05.2024</t>
  </si>
  <si>
    <t>128.188</t>
  </si>
  <si>
    <t>09.05.2024</t>
  </si>
  <si>
    <t>129.468</t>
  </si>
  <si>
    <t>08.05.2024</t>
  </si>
  <si>
    <t>129.210</t>
  </si>
  <si>
    <t>07.05.2024</t>
  </si>
  <si>
    <t>128.466</t>
  </si>
  <si>
    <t>06.05.2024</t>
  </si>
  <si>
    <t>128.506</t>
  </si>
  <si>
    <t>03.05.2024</t>
  </si>
  <si>
    <t>127.130</t>
  </si>
  <si>
    <t>02.05.2024</t>
  </si>
  <si>
    <t>125.926</t>
  </si>
  <si>
    <t>30.04.2024</t>
  </si>
  <si>
    <t>127.352</t>
  </si>
  <si>
    <t>29.04.2024</t>
  </si>
  <si>
    <t>126.527</t>
  </si>
  <si>
    <t>26.04.2024</t>
  </si>
  <si>
    <t>124.651</t>
  </si>
  <si>
    <t>25.04.2024</t>
  </si>
  <si>
    <t>124.718</t>
  </si>
  <si>
    <t>24.04.2024</t>
  </si>
  <si>
    <t>125.149</t>
  </si>
  <si>
    <t>23.04.2024</t>
  </si>
  <si>
    <t>125.572</t>
  </si>
  <si>
    <t>22.04.2024</t>
  </si>
  <si>
    <t>125.124</t>
  </si>
  <si>
    <t>19.04.2024</t>
  </si>
  <si>
    <t>124.197</t>
  </si>
  <si>
    <t>18.04.2024</t>
  </si>
  <si>
    <t>124.171</t>
  </si>
  <si>
    <t>17.04.2024</t>
  </si>
  <si>
    <t>124.389</t>
  </si>
  <si>
    <t>16.04.2024</t>
  </si>
  <si>
    <t>125.316</t>
  </si>
  <si>
    <t>15.04.2024</t>
  </si>
  <si>
    <t>12.04.2024</t>
  </si>
  <si>
    <t>127.396</t>
  </si>
  <si>
    <t>11.04.2024</t>
  </si>
  <si>
    <t>128.051</t>
  </si>
  <si>
    <t>10.04.2024</t>
  </si>
  <si>
    <t>129.872</t>
  </si>
  <si>
    <t>09.04.2024</t>
  </si>
  <si>
    <t>128.858</t>
  </si>
  <si>
    <t>08.04.2024</t>
  </si>
  <si>
    <t>126.796</t>
  </si>
  <si>
    <t>05.04.2024</t>
  </si>
  <si>
    <t>127.422</t>
  </si>
  <si>
    <t>04.04.2024</t>
  </si>
  <si>
    <t>127.313</t>
  </si>
  <si>
    <t>03.04.2024</t>
  </si>
  <si>
    <t>127.546</t>
  </si>
  <si>
    <t>02.04.2024</t>
  </si>
  <si>
    <t>126.990</t>
  </si>
  <si>
    <t>01.04.2024</t>
  </si>
  <si>
    <t>128.106</t>
  </si>
  <si>
    <t>28.03.2024</t>
  </si>
  <si>
    <t>127.689</t>
  </si>
  <si>
    <t>27.03.2024</t>
  </si>
  <si>
    <t>126.863</t>
  </si>
  <si>
    <t>26.03.2024</t>
  </si>
  <si>
    <t>126.931</t>
  </si>
  <si>
    <t>25.03.2024</t>
  </si>
  <si>
    <t>127.027</t>
  </si>
  <si>
    <t>22.03.2024</t>
  </si>
  <si>
    <t>128.159</t>
  </si>
  <si>
    <t>21.03.2024</t>
  </si>
  <si>
    <t>20.03.2024</t>
  </si>
  <si>
    <t>127.534</t>
  </si>
  <si>
    <t>19.03.2024</t>
  </si>
  <si>
    <t>126.955</t>
  </si>
  <si>
    <t>18.03.2024</t>
  </si>
  <si>
    <t>126.758</t>
  </si>
  <si>
    <t>15.03.2024</t>
  </si>
  <si>
    <t>127.682</t>
  </si>
  <si>
    <t>14.03.2024</t>
  </si>
  <si>
    <t>127.992</t>
  </si>
  <si>
    <t>13.03.2024</t>
  </si>
  <si>
    <t>127.668</t>
  </si>
  <si>
    <t>12.03.2024</t>
  </si>
  <si>
    <t>126.124</t>
  </si>
  <si>
    <t>11.03.2024</t>
  </si>
  <si>
    <t>127.068</t>
  </si>
  <si>
    <t>08.03.2024</t>
  </si>
  <si>
    <t>128.335</t>
  </si>
  <si>
    <t>07.03.2024</t>
  </si>
  <si>
    <t>128.890</t>
  </si>
  <si>
    <t>06.03.2024</t>
  </si>
  <si>
    <t>128.099</t>
  </si>
  <si>
    <t>05.03.2024</t>
  </si>
  <si>
    <t>128.336</t>
  </si>
  <si>
    <t>04.03.2024</t>
  </si>
  <si>
    <t>129.176</t>
  </si>
  <si>
    <t>01.03.2024</t>
  </si>
  <si>
    <t>129.026</t>
  </si>
  <si>
    <t>29.02.2024</t>
  </si>
  <si>
    <t>130.155</t>
  </si>
  <si>
    <t>28.02.2024</t>
  </si>
  <si>
    <t>131.685</t>
  </si>
  <si>
    <t>27.02.2024</t>
  </si>
  <si>
    <t>129.613</t>
  </si>
  <si>
    <t>26.02.2024</t>
  </si>
  <si>
    <t>129.417</t>
  </si>
  <si>
    <t>23.02.2024</t>
  </si>
  <si>
    <t>130.240</t>
  </si>
  <si>
    <t>22.02.2024</t>
  </si>
  <si>
    <t>130.035</t>
  </si>
  <si>
    <t>21.02.2024</t>
  </si>
  <si>
    <t>129.916</t>
  </si>
  <si>
    <t>20.02.2024</t>
  </si>
  <si>
    <t>129.033</t>
  </si>
  <si>
    <t>19.02.2024</t>
  </si>
  <si>
    <t>128.720</t>
  </si>
  <si>
    <t>16.02.2024</t>
  </si>
  <si>
    <t>127.809</t>
  </si>
  <si>
    <t>15.02.2024</t>
  </si>
  <si>
    <t>127.018</t>
  </si>
  <si>
    <t>14.02.2024</t>
  </si>
  <si>
    <t>128.026</t>
  </si>
  <si>
    <t>09.02.2024</t>
  </si>
  <si>
    <t>128.216</t>
  </si>
  <si>
    <t>08.02.2024</t>
  </si>
  <si>
    <t>129.950</t>
  </si>
  <si>
    <t>07.02.2024</t>
  </si>
  <si>
    <t>130.412</t>
  </si>
  <si>
    <t>06.02.2024</t>
  </si>
  <si>
    <t>127.593</t>
  </si>
  <si>
    <t>05.02.2024</t>
  </si>
  <si>
    <t>127.182</t>
  </si>
  <si>
    <t>02.02.2024</t>
  </si>
  <si>
    <t>128.471</t>
  </si>
  <si>
    <t>01.02.2024</t>
  </si>
  <si>
    <t>127.752</t>
  </si>
  <si>
    <t>31.01.2024</t>
  </si>
  <si>
    <t>127.402</t>
  </si>
  <si>
    <t>30.01.2024</t>
  </si>
  <si>
    <t>128.492</t>
  </si>
  <si>
    <t>29.01.2024</t>
  </si>
  <si>
    <t>128.970</t>
  </si>
  <si>
    <t>26.01.2024</t>
  </si>
  <si>
    <t>128.196</t>
  </si>
  <si>
    <t>25.01.2024</t>
  </si>
  <si>
    <t>127.815</t>
  </si>
  <si>
    <t>24.01.2024</t>
  </si>
  <si>
    <t>128.275</t>
  </si>
  <si>
    <t>23.01.2024</t>
  </si>
  <si>
    <t>126.612</t>
  </si>
  <si>
    <t>22.01.2024</t>
  </si>
  <si>
    <t>127.636</t>
  </si>
  <si>
    <t>19.01.2024</t>
  </si>
  <si>
    <t>127.319</t>
  </si>
  <si>
    <t>18.01.2024</t>
  </si>
  <si>
    <t>128.524</t>
  </si>
  <si>
    <t>17.01.2024</t>
  </si>
  <si>
    <t>129.293</t>
  </si>
  <si>
    <t>16.01.2024</t>
  </si>
  <si>
    <t>131.515</t>
  </si>
  <si>
    <t>15.01.2024</t>
  </si>
  <si>
    <t>130.988</t>
  </si>
  <si>
    <t>12.01.2024</t>
  </si>
  <si>
    <t>130.652</t>
  </si>
  <si>
    <t>11.01.2024</t>
  </si>
  <si>
    <t>130.841</t>
  </si>
  <si>
    <t>10.01.2024</t>
  </si>
  <si>
    <t>131.447</t>
  </si>
  <si>
    <t>09.01.2024</t>
  </si>
  <si>
    <t>132.424</t>
  </si>
  <si>
    <t>08.01.2024</t>
  </si>
  <si>
    <t>132.023</t>
  </si>
  <si>
    <t>05.01.2024</t>
  </si>
  <si>
    <t>131.218</t>
  </si>
  <si>
    <t>04.01.2024</t>
  </si>
  <si>
    <t>132.831</t>
  </si>
  <si>
    <t>03.01.2024</t>
  </si>
  <si>
    <t>132.697</t>
  </si>
  <si>
    <t>02.01.2024</t>
  </si>
  <si>
    <t>134.186</t>
  </si>
  <si>
    <t>28.12.2023</t>
  </si>
  <si>
    <t>134.194</t>
  </si>
  <si>
    <t>27.12.2023</t>
  </si>
  <si>
    <t>133.523</t>
  </si>
  <si>
    <t>26.12.2023</t>
  </si>
  <si>
    <t>132.753</t>
  </si>
  <si>
    <t>22.12.2023</t>
  </si>
  <si>
    <t>132.182</t>
  </si>
  <si>
    <t>21.12.2023</t>
  </si>
  <si>
    <t>130.826</t>
  </si>
  <si>
    <t>20.12.2023</t>
  </si>
  <si>
    <t>131.851</t>
  </si>
  <si>
    <t>19.12.2023</t>
  </si>
  <si>
    <t>131.088</t>
  </si>
  <si>
    <t>18.12.2023</t>
  </si>
  <si>
    <t>130.202</t>
  </si>
  <si>
    <t>15.12.2023</t>
  </si>
  <si>
    <t>130.842</t>
  </si>
  <si>
    <t>14.12.2023</t>
  </si>
  <si>
    <t>129.469</t>
  </si>
  <si>
    <t>13.12.2023</t>
  </si>
  <si>
    <t>126.406</t>
  </si>
  <si>
    <t>12.12.2023</t>
  </si>
  <si>
    <t>126.923</t>
  </si>
  <si>
    <t>11.12.2023</t>
  </si>
  <si>
    <t>127.093</t>
  </si>
  <si>
    <t>08.12.2023</t>
  </si>
  <si>
    <t>126.010</t>
  </si>
  <si>
    <t>07.12.2023</t>
  </si>
  <si>
    <t>125.623</t>
  </si>
  <si>
    <t>06.12.2023</t>
  </si>
  <si>
    <t>126.907</t>
  </si>
  <si>
    <t>05.12.2023</t>
  </si>
  <si>
    <t>126.802</t>
  </si>
  <si>
    <t>04.12.2023</t>
  </si>
  <si>
    <t>128.183</t>
  </si>
  <si>
    <t>01.12.2023</t>
  </si>
  <si>
    <t>127.331</t>
  </si>
  <si>
    <t>30.11.2023</t>
  </si>
  <si>
    <t>126.168</t>
  </si>
  <si>
    <t>29.11.2023</t>
  </si>
  <si>
    <t>126.541</t>
  </si>
  <si>
    <t>28.11.2023</t>
  </si>
  <si>
    <t>125.726</t>
  </si>
  <si>
    <t>27.11.2023</t>
  </si>
  <si>
    <t>125.517</t>
  </si>
  <si>
    <t>24.11.2023</t>
  </si>
  <si>
    <t>126.553</t>
  </si>
  <si>
    <t>23.11.2023</t>
  </si>
  <si>
    <t>126.035</t>
  </si>
  <si>
    <t>22.11.2023</t>
  </si>
  <si>
    <t>125.626</t>
  </si>
  <si>
    <t>21.11.2023</t>
  </si>
  <si>
    <t>125.957</t>
  </si>
  <si>
    <t>20.11.2023</t>
  </si>
  <si>
    <t>124.773</t>
  </si>
  <si>
    <t>17.11.2023</t>
  </si>
  <si>
    <t>124.639</t>
  </si>
  <si>
    <t>16.11.2023</t>
  </si>
  <si>
    <t>123.165</t>
  </si>
  <si>
    <t>14.11.2023</t>
  </si>
  <si>
    <t>120.411</t>
  </si>
  <si>
    <t>13.11.2023</t>
  </si>
  <si>
    <t>120.561</t>
  </si>
  <si>
    <t>10.11.2023</t>
  </si>
  <si>
    <t>119.036</t>
  </si>
  <si>
    <t>09.11.2023</t>
  </si>
  <si>
    <t>119.180</t>
  </si>
  <si>
    <t>08.11.2023</t>
  </si>
  <si>
    <t>119.268</t>
  </si>
  <si>
    <t>07.11.2023</t>
  </si>
  <si>
    <t>118.422</t>
  </si>
  <si>
    <t>06.11.2023</t>
  </si>
  <si>
    <t>118.160</t>
  </si>
  <si>
    <t>03.11.2023</t>
  </si>
  <si>
    <t>115.062</t>
  </si>
  <si>
    <t>01.11.2023</t>
  </si>
  <si>
    <t>113.157</t>
  </si>
  <si>
    <t>31.10.2023</t>
  </si>
  <si>
    <t>112.534</t>
  </si>
  <si>
    <t>30.10.2023</t>
  </si>
  <si>
    <t>113.303</t>
  </si>
  <si>
    <t>27.10.2023</t>
  </si>
  <si>
    <t>114.777</t>
  </si>
  <si>
    <t>26.10.2023</t>
  </si>
  <si>
    <t>112.840</t>
  </si>
  <si>
    <t>25.10.2023</t>
  </si>
  <si>
    <t>113.762</t>
  </si>
  <si>
    <t>24.10.2023</t>
  </si>
  <si>
    <t>112.814</t>
  </si>
  <si>
    <t>23.10.2023</t>
  </si>
  <si>
    <t>113.145</t>
  </si>
  <si>
    <t>20.10.2023</t>
  </si>
  <si>
    <t>113.996</t>
  </si>
  <si>
    <t>19.10.2023</t>
  </si>
  <si>
    <t>114.059</t>
  </si>
  <si>
    <t>18.10.2023</t>
  </si>
  <si>
    <t>115.907</t>
  </si>
  <si>
    <t>17.10.2023</t>
  </si>
  <si>
    <t>116.526</t>
  </si>
  <si>
    <t>16.10.2023</t>
  </si>
  <si>
    <t>115.760</t>
  </si>
  <si>
    <t>13.10.2023</t>
  </si>
  <si>
    <t>117.050</t>
  </si>
  <si>
    <t>11.10.2023</t>
  </si>
  <si>
    <t>116.737</t>
  </si>
  <si>
    <t>10.10.2023</t>
  </si>
  <si>
    <t>115.158</t>
  </si>
  <si>
    <t>09.10.2023</t>
  </si>
  <si>
    <t>114.169</t>
  </si>
  <si>
    <t>06.10.2023</t>
  </si>
  <si>
    <t>113.283</t>
  </si>
  <si>
    <t>05.10.2023</t>
  </si>
  <si>
    <t>113.609</t>
  </si>
  <si>
    <t>04.10.2023</t>
  </si>
  <si>
    <t>113.430</t>
  </si>
  <si>
    <t>03.10.2023</t>
  </si>
  <si>
    <t>115.055</t>
  </si>
  <si>
    <t>02.10.2023</t>
  </si>
  <si>
    <t>116.565</t>
  </si>
  <si>
    <t>29.09.2023</t>
  </si>
  <si>
    <t>115.742</t>
  </si>
  <si>
    <t>28.09.2023</t>
  </si>
  <si>
    <t>114.327</t>
  </si>
  <si>
    <t>27.09.2023</t>
  </si>
  <si>
    <t>114.193</t>
  </si>
  <si>
    <t>26.09.2023</t>
  </si>
  <si>
    <t>115.922</t>
  </si>
  <si>
    <t>25.09.2023</t>
  </si>
  <si>
    <t>116.009</t>
  </si>
  <si>
    <t>22.09.2023</t>
  </si>
  <si>
    <t>116.147</t>
  </si>
  <si>
    <t>21.09.2023</t>
  </si>
  <si>
    <t>118.695</t>
  </si>
  <si>
    <t>20.09.2023</t>
  </si>
  <si>
    <t>117.864</t>
  </si>
  <si>
    <t>19.09.2023</t>
  </si>
  <si>
    <t>118.288</t>
  </si>
  <si>
    <t>18.09.2023</t>
  </si>
  <si>
    <t>118.759</t>
  </si>
  <si>
    <t>15.09.2023</t>
  </si>
  <si>
    <t>119.393</t>
  </si>
  <si>
    <t>14.09.2023</t>
  </si>
  <si>
    <t>118.181</t>
  </si>
  <si>
    <t>13.09.2023</t>
  </si>
  <si>
    <t>117.968</t>
  </si>
  <si>
    <t>12.09.2023</t>
  </si>
  <si>
    <t>116.885</t>
  </si>
  <si>
    <t>11.09.2023</t>
  </si>
  <si>
    <t>115.316</t>
  </si>
  <si>
    <t>08.09.2023</t>
  </si>
  <si>
    <t>115.979</t>
  </si>
  <si>
    <t>06.09.2023</t>
  </si>
  <si>
    <t>117.331</t>
  </si>
  <si>
    <t>05.09.2023</t>
  </si>
  <si>
    <t>117.776</t>
  </si>
  <si>
    <t>04.09.2023</t>
  </si>
  <si>
    <t>117.893</t>
  </si>
  <si>
    <t>01.09.2023</t>
  </si>
  <si>
    <t>115.744</t>
  </si>
  <si>
    <t>31.08.2023</t>
  </si>
  <si>
    <t>117.537</t>
  </si>
  <si>
    <t>30.08.2023</t>
  </si>
  <si>
    <t>118.404</t>
  </si>
  <si>
    <t>29.08.2023</t>
  </si>
  <si>
    <t>117.124</t>
  </si>
  <si>
    <t>28.08.2023</t>
  </si>
  <si>
    <t>115.838</t>
  </si>
  <si>
    <t>25.08.2023</t>
  </si>
  <si>
    <t>117.025</t>
  </si>
  <si>
    <t>24.08.2023</t>
  </si>
  <si>
    <t>118.135</t>
  </si>
  <si>
    <t>23.08.2023</t>
  </si>
  <si>
    <t>116.160</t>
  </si>
  <si>
    <t>22.08.2023</t>
  </si>
  <si>
    <t>114.433</t>
  </si>
  <si>
    <t>21.08.2023</t>
  </si>
  <si>
    <t>115.404</t>
  </si>
  <si>
    <t>18.08.2023</t>
  </si>
  <si>
    <t>114.973</t>
  </si>
  <si>
    <t>17.08.2023</t>
  </si>
  <si>
    <t>115.592</t>
  </si>
  <si>
    <t>16.08.2023</t>
  </si>
  <si>
    <t>116.171</t>
  </si>
  <si>
    <t>15.08.2023</t>
  </si>
  <si>
    <t>116.809</t>
  </si>
  <si>
    <t>14.08.2023</t>
  </si>
  <si>
    <t>118.067</t>
  </si>
  <si>
    <t>11.08.2023</t>
  </si>
  <si>
    <t>118.350</t>
  </si>
  <si>
    <t>10.08.2023</t>
  </si>
  <si>
    <t>118.412</t>
  </si>
  <si>
    <t>09.08.2023</t>
  </si>
  <si>
    <t>119.090</t>
  </si>
  <si>
    <t>08.08.2023</t>
  </si>
  <si>
    <t>119.378</t>
  </si>
  <si>
    <t>07.08.2023</t>
  </si>
  <si>
    <t>119.509</t>
  </si>
  <si>
    <t>04.08.2023</t>
  </si>
  <si>
    <t>120.586</t>
  </si>
  <si>
    <t>03.08.2023</t>
  </si>
  <si>
    <t>120.859</t>
  </si>
  <si>
    <t>02.08.2023</t>
  </si>
  <si>
    <t>121.249</t>
  </si>
  <si>
    <t>01.08.2023</t>
  </si>
  <si>
    <t>121.945</t>
  </si>
  <si>
    <t>31.07.2023</t>
  </si>
  <si>
    <t>120.188</t>
  </si>
  <si>
    <t>28.07.2023</t>
  </si>
  <si>
    <t>120.002</t>
  </si>
  <si>
    <t>27.07.2023</t>
  </si>
  <si>
    <t>122.560</t>
  </si>
  <si>
    <t>26.07.2023</t>
  </si>
  <si>
    <t>122.003</t>
  </si>
  <si>
    <t>25.07.2023</t>
  </si>
  <si>
    <t>121.344</t>
  </si>
  <si>
    <t>24.07.2023</t>
  </si>
  <si>
    <t>120.220</t>
  </si>
  <si>
    <t>21.07.2023</t>
  </si>
  <si>
    <t>118.090</t>
  </si>
  <si>
    <t>20.07.2023</t>
  </si>
  <si>
    <t>117.558</t>
  </si>
  <si>
    <t>19.07.2023</t>
  </si>
  <si>
    <t>117.842</t>
  </si>
  <si>
    <t>18.07.2023</t>
  </si>
  <si>
    <t>118.218</t>
  </si>
  <si>
    <t>17.07.2023</t>
  </si>
  <si>
    <t>117.711</t>
  </si>
  <si>
    <t>14.07.2023</t>
  </si>
  <si>
    <t>13.07.2023</t>
  </si>
  <si>
    <t>117.671</t>
  </si>
  <si>
    <t>12.07.2023</t>
  </si>
  <si>
    <t>117.557</t>
  </si>
  <si>
    <t>11.07.2023</t>
  </si>
  <si>
    <t>117.942</t>
  </si>
  <si>
    <t>10.07.2023</t>
  </si>
  <si>
    <t>118.897</t>
  </si>
  <si>
    <t>07.07.2023</t>
  </si>
  <si>
    <t>117.427</t>
  </si>
  <si>
    <t>06.07.2023</t>
  </si>
  <si>
    <t>119.548</t>
  </si>
  <si>
    <t>05.07.2023</t>
  </si>
  <si>
    <t>119.072</t>
  </si>
  <si>
    <t>04.07.2023</t>
  </si>
  <si>
    <t>119.673</t>
  </si>
  <si>
    <t>03.07.2023</t>
  </si>
  <si>
    <t>118.092</t>
  </si>
  <si>
    <t>30.06.2023</t>
  </si>
  <si>
    <t>118.388</t>
  </si>
  <si>
    <t>29.06.2023</t>
  </si>
  <si>
    <t>116.683</t>
  </si>
  <si>
    <t>28.06.2023</t>
  </si>
  <si>
    <t>117.524</t>
  </si>
  <si>
    <t>27.06.2023</t>
  </si>
  <si>
    <t>118.246</t>
  </si>
  <si>
    <t>26.06.2023</t>
  </si>
  <si>
    <t>118.977</t>
  </si>
  <si>
    <t>23.06.2023</t>
  </si>
  <si>
    <t>118.959</t>
  </si>
  <si>
    <t>22.06.2023</t>
  </si>
  <si>
    <t>120.420</t>
  </si>
  <si>
    <t>21.06.2023</t>
  </si>
  <si>
    <t>119.623</t>
  </si>
  <si>
    <t>20.06.2023</t>
  </si>
  <si>
    <t>119.858</t>
  </si>
  <si>
    <t>19.06.2023</t>
  </si>
  <si>
    <t>118.757</t>
  </si>
  <si>
    <t>16.06.2023</t>
  </si>
  <si>
    <t>119.208</t>
  </si>
  <si>
    <t>15.06.2023</t>
  </si>
  <si>
    <t>119.068</t>
  </si>
  <si>
    <t>14.06.2023</t>
  </si>
  <si>
    <t>116.753</t>
  </si>
  <si>
    <t>13.06.2023</t>
  </si>
  <si>
    <t>117.337</t>
  </si>
  <si>
    <t>12.06.2023</t>
  </si>
  <si>
    <t>117.022</t>
  </si>
  <si>
    <t>09.06.2023</t>
  </si>
  <si>
    <t>115.489</t>
  </si>
  <si>
    <t>07.06.2023</t>
  </si>
  <si>
    <t>114.610</t>
  </si>
  <si>
    <t>06.06.2023</t>
  </si>
  <si>
    <t>112.697</t>
  </si>
  <si>
    <t>05.06.2023</t>
  </si>
  <si>
    <t>112.558</t>
  </si>
  <si>
    <t>02.06.2023</t>
  </si>
  <si>
    <t>110.568</t>
  </si>
  <si>
    <t>01.06.2023</t>
  </si>
  <si>
    <t>108.339</t>
  </si>
  <si>
    <t>31.05.2023</t>
  </si>
  <si>
    <t>108.967</t>
  </si>
  <si>
    <t>30.05.2023</t>
  </si>
  <si>
    <t>110.333</t>
  </si>
  <si>
    <t>29.05.2023</t>
  </si>
  <si>
    <t>110.906</t>
  </si>
  <si>
    <t>26.05.2023</t>
  </si>
  <si>
    <t>110.058</t>
  </si>
  <si>
    <t>25.05.2023</t>
  </si>
  <si>
    <t>108.800</t>
  </si>
  <si>
    <t>24.05.2023</t>
  </si>
  <si>
    <t>109.920</t>
  </si>
  <si>
    <t>23.05.2023</t>
  </si>
  <si>
    <t>110.213</t>
  </si>
  <si>
    <t>22.05.2023</t>
  </si>
  <si>
    <t>110.745</t>
  </si>
  <si>
    <t>19.05.2023</t>
  </si>
  <si>
    <t>110.113</t>
  </si>
  <si>
    <t>18.05.2023</t>
  </si>
  <si>
    <t>109.459</t>
  </si>
  <si>
    <t>17.05.2023</t>
  </si>
  <si>
    <t>108.194</t>
  </si>
  <si>
    <t>16.05.2023</t>
  </si>
  <si>
    <t>109.029</t>
  </si>
  <si>
    <t>15.05.2023</t>
  </si>
  <si>
    <t>108.469</t>
  </si>
  <si>
    <t>12.05.2023</t>
  </si>
  <si>
    <t>108.256</t>
  </si>
  <si>
    <t>11.05.2023</t>
  </si>
  <si>
    <t>107.446</t>
  </si>
  <si>
    <t>10.05.2023</t>
  </si>
  <si>
    <t>107.114</t>
  </si>
  <si>
    <t>09.05.2023</t>
  </si>
  <si>
    <t>106.028</t>
  </si>
  <si>
    <t>08.05.2023</t>
  </si>
  <si>
    <t>105.161</t>
  </si>
  <si>
    <t>05.05.2023</t>
  </si>
  <si>
    <t>102.175</t>
  </si>
  <si>
    <t>04.05.2023</t>
  </si>
  <si>
    <t>101.798</t>
  </si>
  <si>
    <t>03.05.2023</t>
  </si>
  <si>
    <t>101.927</t>
  </si>
  <si>
    <t>02.05.2023</t>
  </si>
  <si>
    <t>104.431</t>
  </si>
  <si>
    <t>28.04.2023</t>
  </si>
  <si>
    <t>102.923</t>
  </si>
  <si>
    <t>27.04.2023</t>
  </si>
  <si>
    <t>102.310</t>
  </si>
  <si>
    <t>26.04.2023</t>
  </si>
  <si>
    <t>103.220</t>
  </si>
  <si>
    <t>25.04.2023</t>
  </si>
  <si>
    <t>103.947</t>
  </si>
  <si>
    <t>24.04.2023</t>
  </si>
  <si>
    <t>104.367</t>
  </si>
  <si>
    <t>20.04.2023</t>
  </si>
  <si>
    <t>103.913</t>
  </si>
  <si>
    <t>19.04.2023</t>
  </si>
  <si>
    <t>106.149</t>
  </si>
  <si>
    <t>18.04.2023</t>
  </si>
  <si>
    <t>106.023</t>
  </si>
  <si>
    <t>17.04.2023</t>
  </si>
  <si>
    <t>106.279</t>
  </si>
  <si>
    <t>14.04.2023</t>
  </si>
  <si>
    <t>106.458</t>
  </si>
  <si>
    <t>13.04.2023</t>
  </si>
  <si>
    <t>106.890</t>
  </si>
  <si>
    <t>12.04.2023</t>
  </si>
  <si>
    <t>106.218</t>
  </si>
  <si>
    <t>11.04.2023</t>
  </si>
  <si>
    <t>101.849</t>
  </si>
  <si>
    <t>10.04.2023</t>
  </si>
  <si>
    <t>100.822</t>
  </si>
  <si>
    <t>06.04.2023</t>
  </si>
  <si>
    <t>100.978</t>
  </si>
  <si>
    <t>05.04.2023</t>
  </si>
  <si>
    <t>101.869</t>
  </si>
  <si>
    <t>04.04.2023</t>
  </si>
  <si>
    <t>101.505</t>
  </si>
  <si>
    <t>03.04.2023</t>
  </si>
  <si>
    <t>101.883</t>
  </si>
  <si>
    <t>31.03.2023</t>
  </si>
  <si>
    <t>103.714</t>
  </si>
  <si>
    <t>30.03.2023</t>
  </si>
  <si>
    <t>101.796</t>
  </si>
  <si>
    <t>29.03.2023</t>
  </si>
  <si>
    <t>101.185</t>
  </si>
  <si>
    <t>28.03.2023</t>
  </si>
  <si>
    <t>99.672</t>
  </si>
  <si>
    <t>27.03.2023</t>
  </si>
  <si>
    <t>98.833</t>
  </si>
  <si>
    <t>24.03.2023</t>
  </si>
  <si>
    <t>97.926</t>
  </si>
  <si>
    <t>23.03.2023</t>
  </si>
  <si>
    <t>100.221</t>
  </si>
  <si>
    <t>22.03.2023</t>
  </si>
  <si>
    <t>100.998</t>
  </si>
  <si>
    <t>21.03.2023</t>
  </si>
  <si>
    <t>100.923</t>
  </si>
  <si>
    <t>20.03.2023</t>
  </si>
  <si>
    <t>101.982</t>
  </si>
  <si>
    <t>17.03.2023</t>
  </si>
  <si>
    <t>103.434</t>
  </si>
  <si>
    <t>16.03.2023</t>
  </si>
  <si>
    <t>102.683</t>
  </si>
  <si>
    <t>15.03.2023</t>
  </si>
  <si>
    <t>102.930</t>
  </si>
  <si>
    <t>14.03.2023</t>
  </si>
  <si>
    <t>103.121</t>
  </si>
  <si>
    <t>13.03.2023</t>
  </si>
  <si>
    <t>103.608</t>
  </si>
  <si>
    <t>10.03.2023</t>
  </si>
  <si>
    <t>105.071</t>
  </si>
  <si>
    <t>09.03.2023</t>
  </si>
  <si>
    <t>106.540</t>
  </si>
  <si>
    <t>08.03.2023</t>
  </si>
  <si>
    <t>104.228</t>
  </si>
  <si>
    <t>07.03.2023</t>
  </si>
  <si>
    <t>104.700</t>
  </si>
  <si>
    <t>06.03.2023</t>
  </si>
  <si>
    <t>103.865</t>
  </si>
  <si>
    <t>03.03.2023</t>
  </si>
  <si>
    <t>103.326</t>
  </si>
  <si>
    <t>02.03.2023</t>
  </si>
  <si>
    <t>104.375</t>
  </si>
  <si>
    <t>01.03.2023</t>
  </si>
  <si>
    <t>104.933</t>
  </si>
  <si>
    <t>28.02.2023</t>
  </si>
  <si>
    <t>105.706</t>
  </si>
  <si>
    <t>27.02.2023</t>
  </si>
  <si>
    <t>105.807</t>
  </si>
  <si>
    <t>24.02.2023</t>
  </si>
  <si>
    <t>107.582</t>
  </si>
  <si>
    <t>23.02.2023</t>
  </si>
  <si>
    <t>107.152</t>
  </si>
  <si>
    <t>22.02.2023</t>
  </si>
  <si>
    <t>109.174</t>
  </si>
  <si>
    <t>17.02.2023</t>
  </si>
  <si>
    <t>109.941</t>
  </si>
  <si>
    <t>16.02.2023</t>
  </si>
  <si>
    <t>109.599</t>
  </si>
  <si>
    <t>15.02.2023</t>
  </si>
  <si>
    <t>107.849</t>
  </si>
  <si>
    <t>14.02.2023</t>
  </si>
  <si>
    <t>108.839</t>
  </si>
  <si>
    <t>13.02.2023</t>
  </si>
  <si>
    <t>108.074</t>
  </si>
  <si>
    <t>10.02.2023</t>
  </si>
  <si>
    <t>108.002</t>
  </si>
  <si>
    <t>09.02.2023</t>
  </si>
  <si>
    <t>109.952</t>
  </si>
  <si>
    <t>08.02.2023</t>
  </si>
  <si>
    <t>107.832</t>
  </si>
  <si>
    <t>07.02.2023</t>
  </si>
  <si>
    <t>108.727</t>
  </si>
  <si>
    <t>06.02.2023</t>
  </si>
  <si>
    <t>108.518</t>
  </si>
  <si>
    <t>03.02.2023</t>
  </si>
  <si>
    <t>110.141</t>
  </si>
  <si>
    <t>02.02.2023</t>
  </si>
  <si>
    <t>112.072</t>
  </si>
  <si>
    <t>01.02.2023</t>
  </si>
  <si>
    <t>31.01.2023</t>
  </si>
  <si>
    <t>112.273</t>
  </si>
  <si>
    <t>30.01.2023</t>
  </si>
  <si>
    <t>112.319</t>
  </si>
  <si>
    <t>27.01.2023</t>
  </si>
  <si>
    <t>114.178</t>
  </si>
  <si>
    <t>26.01.2023</t>
  </si>
  <si>
    <t>114.271</t>
  </si>
  <si>
    <t>25.01.2023</t>
  </si>
  <si>
    <t>113.028</t>
  </si>
  <si>
    <t>24.01.2023</t>
  </si>
  <si>
    <t>111.746</t>
  </si>
  <si>
    <t>23.01.2023</t>
  </si>
  <si>
    <t>112.041</t>
  </si>
  <si>
    <t>20.01.2023</t>
  </si>
  <si>
    <t>112.922</t>
  </si>
  <si>
    <t>19.01.2023</t>
  </si>
  <si>
    <t>112.219</t>
  </si>
  <si>
    <t>18.01.2023</t>
  </si>
  <si>
    <t>111.442</t>
  </si>
  <si>
    <t>17.01.2023</t>
  </si>
  <si>
    <t>109.214</t>
  </si>
  <si>
    <t>16.01.2023</t>
  </si>
  <si>
    <t>110.908</t>
  </si>
  <si>
    <t>13.01.2023</t>
  </si>
  <si>
    <t>111.843</t>
  </si>
  <si>
    <t>12.01.2023</t>
  </si>
  <si>
    <t>112.516</t>
  </si>
  <si>
    <t>11.01.2023</t>
  </si>
  <si>
    <t>110.816</t>
  </si>
  <si>
    <t>10.01.2023</t>
  </si>
  <si>
    <t>109.129</t>
  </si>
  <si>
    <t>09.01.2023</t>
  </si>
  <si>
    <t>108.964</t>
  </si>
  <si>
    <t>06.01.2023</t>
  </si>
  <si>
    <t>107.642</t>
  </si>
  <si>
    <t>05.01.2023</t>
  </si>
  <si>
    <t>105.336</t>
  </si>
  <si>
    <t>04.01.2023</t>
  </si>
  <si>
    <t>104.167</t>
  </si>
  <si>
    <t>03.01.2023</t>
  </si>
  <si>
    <t>106.377</t>
  </si>
  <si>
    <t>02.01.2023</t>
  </si>
  <si>
    <t>109.734</t>
  </si>
  <si>
    <t>29.12.2022</t>
  </si>
  <si>
    <t>110.237</t>
  </si>
  <si>
    <t>28.12.2022</t>
  </si>
  <si>
    <t>108.578</t>
  </si>
  <si>
    <t>27.12.2022</t>
  </si>
  <si>
    <t>108.739</t>
  </si>
  <si>
    <t>26.12.2022</t>
  </si>
  <si>
    <t>109.699</t>
  </si>
  <si>
    <t>23.12.2022</t>
  </si>
  <si>
    <t>107.552</t>
  </si>
  <si>
    <t>22.12.2022</t>
  </si>
  <si>
    <t>107.436</t>
  </si>
  <si>
    <t>21.12.2022</t>
  </si>
  <si>
    <t>106.866</t>
  </si>
  <si>
    <t>20.12.2022</t>
  </si>
  <si>
    <t>104.740</t>
  </si>
  <si>
    <t>19.12.2022</t>
  </si>
  <si>
    <t>102.859</t>
  </si>
  <si>
    <t>16.12.2022</t>
  </si>
  <si>
    <t>103.737</t>
  </si>
  <si>
    <t>15.12.2022</t>
  </si>
  <si>
    <t>103.739</t>
  </si>
  <si>
    <t>14.12.2022</t>
  </si>
  <si>
    <t>103.536</t>
  </si>
  <si>
    <t>13.12.2022</t>
  </si>
  <si>
    <t>105.345</t>
  </si>
  <si>
    <t>12.12.2022</t>
  </si>
  <si>
    <t>107.518</t>
  </si>
  <si>
    <t>09.12.2022</t>
  </si>
  <si>
    <t>107.250</t>
  </si>
  <si>
    <t>08.12.2022</t>
  </si>
  <si>
    <t>109.068</t>
  </si>
  <si>
    <t>07.12.2022</t>
  </si>
  <si>
    <t>110.188</t>
  </si>
  <si>
    <t>06.12.2022</t>
  </si>
  <si>
    <t>109.403</t>
  </si>
  <si>
    <t>05.12.2022</t>
  </si>
  <si>
    <t>111.922</t>
  </si>
  <si>
    <t>02.12.2022</t>
  </si>
  <si>
    <t>110.926</t>
  </si>
  <si>
    <t>01.12.2022</t>
  </si>
  <si>
    <t>112.479</t>
  </si>
  <si>
    <t>30.11.2022</t>
  </si>
  <si>
    <t>110.910</t>
  </si>
  <si>
    <t>29.11.2022</t>
  </si>
  <si>
    <t>108.784</t>
  </si>
  <si>
    <t>28.11.2022</t>
  </si>
  <si>
    <t>108.977</t>
  </si>
  <si>
    <t>25.11.2022</t>
  </si>
  <si>
    <t>111.831</t>
  </si>
  <si>
    <t>24.11.2022</t>
  </si>
  <si>
    <t>108.846</t>
  </si>
  <si>
    <t>23.11.2022</t>
  </si>
  <si>
    <t>109.036</t>
  </si>
  <si>
    <t>22.11.2022</t>
  </si>
  <si>
    <t>109.750</t>
  </si>
  <si>
    <t>21.11.2022</t>
  </si>
  <si>
    <t>108.868</t>
  </si>
  <si>
    <t>18.11.2022</t>
  </si>
  <si>
    <t>109.706</t>
  </si>
  <si>
    <t>17.11.2022</t>
  </si>
  <si>
    <t>110.241</t>
  </si>
  <si>
    <t>16.11.2022</t>
  </si>
  <si>
    <t>113.166</t>
  </si>
  <si>
    <t>14.11.2022</t>
  </si>
  <si>
    <t>112.256</t>
  </si>
  <si>
    <t>11.11.2022</t>
  </si>
  <si>
    <t>109.775</t>
  </si>
  <si>
    <t>10.11.2022</t>
  </si>
  <si>
    <t>113.579</t>
  </si>
  <si>
    <t>09.11.2022</t>
  </si>
  <si>
    <t>116.153</t>
  </si>
  <si>
    <t>08.11.2022</t>
  </si>
  <si>
    <t>115.340</t>
  </si>
  <si>
    <t>07.11.2022</t>
  </si>
  <si>
    <t>118.148</t>
  </si>
  <si>
    <t>04.11.2022</t>
  </si>
  <si>
    <t>116.907</t>
  </si>
  <si>
    <t>03.11.2022</t>
  </si>
  <si>
    <t>116.927</t>
  </si>
  <si>
    <t>01.11.2022</t>
  </si>
  <si>
    <t>116.037</t>
  </si>
  <si>
    <t>31.10.2022</t>
  </si>
  <si>
    <t>114.533</t>
  </si>
  <si>
    <t>28.10.2022</t>
  </si>
  <si>
    <t>114.636</t>
  </si>
  <si>
    <t>27.10.2022</t>
  </si>
  <si>
    <t>112.766</t>
  </si>
  <si>
    <t>26.10.2022</t>
  </si>
  <si>
    <t>114.626</t>
  </si>
  <si>
    <t>25.10.2022</t>
  </si>
  <si>
    <t>116.016</t>
  </si>
  <si>
    <t>24.10.2022</t>
  </si>
  <si>
    <t>119.922</t>
  </si>
  <si>
    <t>21.10.2022</t>
  </si>
  <si>
    <t>117.170</t>
  </si>
  <si>
    <t>20.10.2022</t>
  </si>
  <si>
    <t>116.276</t>
  </si>
  <si>
    <t>19.10.2022</t>
  </si>
  <si>
    <t>18.10.2022</t>
  </si>
  <si>
    <t>113.627</t>
  </si>
  <si>
    <t>17.10.2022</t>
  </si>
  <si>
    <t>112.107</t>
  </si>
  <si>
    <t>14.10.2022</t>
  </si>
  <si>
    <t>114.301</t>
  </si>
  <si>
    <t>13.10.2022</t>
  </si>
  <si>
    <t>114.819</t>
  </si>
  <si>
    <t>11.10.2022</t>
  </si>
  <si>
    <t>115.928</t>
  </si>
  <si>
    <t>10.10.2022</t>
  </si>
  <si>
    <t>116.377</t>
  </si>
  <si>
    <t>07.10.2022</t>
  </si>
  <si>
    <t>117.560</t>
  </si>
  <si>
    <t>06.10.2022</t>
  </si>
  <si>
    <t>117.200</t>
  </si>
  <si>
    <t>05.10.2022</t>
  </si>
  <si>
    <t>116.231</t>
  </si>
  <si>
    <t>04.10.2022</t>
  </si>
  <si>
    <t>03.10.2022</t>
  </si>
  <si>
    <t>110.048</t>
  </si>
  <si>
    <t>30.09.2022</t>
  </si>
  <si>
    <t>107.664</t>
  </si>
  <si>
    <t>29.09.2022</t>
  </si>
  <si>
    <t>108.449</t>
  </si>
  <si>
    <t>28.09.2022</t>
  </si>
  <si>
    <t>108.377</t>
  </si>
  <si>
    <t>27.09.2022</t>
  </si>
  <si>
    <t>109.122</t>
  </si>
  <si>
    <t>26.09.2022</t>
  </si>
  <si>
    <t>111.713</t>
  </si>
  <si>
    <t>23.09.2022</t>
  </si>
  <si>
    <t>114.070</t>
  </si>
  <si>
    <t>22.09.2022</t>
  </si>
  <si>
    <t>111.942</t>
  </si>
  <si>
    <t>21.09.2022</t>
  </si>
  <si>
    <t>112.517</t>
  </si>
  <si>
    <t>20.09.2022</t>
  </si>
  <si>
    <t>111.824</t>
  </si>
  <si>
    <t>19.09.2022</t>
  </si>
  <si>
    <t>109.283</t>
  </si>
  <si>
    <t>16.09.2022</t>
  </si>
  <si>
    <t>109.951</t>
  </si>
  <si>
    <t>15.09.2022</t>
  </si>
  <si>
    <t>110.547</t>
  </si>
  <si>
    <t>14.09.2022</t>
  </si>
  <si>
    <t>110.794</t>
  </si>
  <si>
    <t>13.09.2022</t>
  </si>
  <si>
    <t>113.398</t>
  </si>
  <si>
    <t>12.09.2022</t>
  </si>
  <si>
    <t>112.307</t>
  </si>
  <si>
    <t>09.09.2022</t>
  </si>
  <si>
    <t>109.922</t>
  </si>
  <si>
    <t>08.09.2022</t>
  </si>
  <si>
    <t>109.771</t>
  </si>
  <si>
    <t>06.09.2022</t>
  </si>
  <si>
    <t>112.203</t>
  </si>
  <si>
    <t>05.09.2022</t>
  </si>
  <si>
    <t>110.868</t>
  </si>
  <si>
    <t>02.09.2022</t>
  </si>
  <si>
    <t>110.409</t>
  </si>
  <si>
    <t>01.09.2022</t>
  </si>
  <si>
    <t>109.524</t>
  </si>
  <si>
    <t>31.08.2022</t>
  </si>
  <si>
    <t>110.431</t>
  </si>
  <si>
    <t>30.08.2022</t>
  </si>
  <si>
    <t>112.323</t>
  </si>
  <si>
    <t>29.08.2022</t>
  </si>
  <si>
    <t>112.296</t>
  </si>
  <si>
    <t>26.08.2022</t>
  </si>
  <si>
    <t>113.533</t>
  </si>
  <si>
    <t>25.08.2022</t>
  </si>
  <si>
    <t>112.898</t>
  </si>
  <si>
    <t>24.08.2022</t>
  </si>
  <si>
    <t>112.856</t>
  </si>
  <si>
    <t>23.08.2022</t>
  </si>
  <si>
    <t>110.504</t>
  </si>
  <si>
    <t>22.08.2022</t>
  </si>
  <si>
    <t>111.487</t>
  </si>
  <si>
    <t>19.08.2022</t>
  </si>
  <si>
    <t>113.807</t>
  </si>
  <si>
    <t>18.08.2022</t>
  </si>
  <si>
    <t>113.708</t>
  </si>
  <si>
    <t>17.08.2022</t>
  </si>
  <si>
    <t>113.508</t>
  </si>
  <si>
    <t>16.08.2022</t>
  </si>
  <si>
    <t>113.034</t>
  </si>
  <si>
    <t>15.08.2022</t>
  </si>
  <si>
    <t>112.767</t>
  </si>
  <si>
    <t>12.08.2022</t>
  </si>
  <si>
    <t>109.718</t>
  </si>
  <si>
    <t>11.08.2022</t>
  </si>
  <si>
    <t>110.236</t>
  </si>
  <si>
    <t>10.08.2022</t>
  </si>
  <si>
    <t>108.658</t>
  </si>
  <si>
    <t>09.08.2022</t>
  </si>
  <si>
    <t>108.403</t>
  </si>
  <si>
    <t>08.08.2022</t>
  </si>
  <si>
    <t>106.473</t>
  </si>
  <si>
    <t>05.08.2022</t>
  </si>
  <si>
    <t>105.893</t>
  </si>
  <si>
    <t>04.08.2022</t>
  </si>
  <si>
    <t>103.777</t>
  </si>
  <si>
    <t>03.08.2022</t>
  </si>
  <si>
    <t>103.362</t>
  </si>
  <si>
    <t>02.08.2022</t>
  </si>
  <si>
    <t>102.225</t>
  </si>
  <si>
    <t>01.08.2022</t>
  </si>
  <si>
    <t>103.165</t>
  </si>
  <si>
    <t>29.07.2022</t>
  </si>
  <si>
    <t>102.597</t>
  </si>
  <si>
    <t>28.07.2022</t>
  </si>
  <si>
    <t>101.437</t>
  </si>
  <si>
    <t>27.07.2022</t>
  </si>
  <si>
    <t>99.773</t>
  </si>
  <si>
    <t>26.07.2022</t>
  </si>
  <si>
    <t>100.270</t>
  </si>
  <si>
    <t>25.07.2022</t>
  </si>
  <si>
    <t>98.926</t>
  </si>
  <si>
    <t>22.07.2022</t>
  </si>
  <si>
    <t>99.034</t>
  </si>
  <si>
    <t>21.07.2022</t>
  </si>
  <si>
    <t>98.286</t>
  </si>
  <si>
    <t>20.07.2022</t>
  </si>
  <si>
    <t>98.244</t>
  </si>
  <si>
    <t>19.07.2022</t>
  </si>
  <si>
    <t>96.920</t>
  </si>
  <si>
    <t>18.07.2022</t>
  </si>
  <si>
    <t>96.553</t>
  </si>
  <si>
    <t>15.07.2022</t>
  </si>
  <si>
    <t>96.119</t>
  </si>
  <si>
    <t>14.07.2022</t>
  </si>
  <si>
    <t>97.879</t>
  </si>
  <si>
    <t>13.07.2022</t>
  </si>
  <si>
    <t>98.258</t>
  </si>
  <si>
    <t>12.07.2022</t>
  </si>
  <si>
    <t>98.212</t>
  </si>
  <si>
    <t>11.07.2022</t>
  </si>
  <si>
    <t>100.282</t>
  </si>
  <si>
    <t>08.07.2022</t>
  </si>
  <si>
    <t>100.732</t>
  </si>
  <si>
    <t>07.07.2022</t>
  </si>
  <si>
    <t>98.722</t>
  </si>
  <si>
    <t>06.07.2022</t>
  </si>
  <si>
    <t>98.294</t>
  </si>
  <si>
    <t>05.07.2022</t>
  </si>
  <si>
    <t>98.608</t>
  </si>
  <si>
    <t>04.07.2022</t>
  </si>
  <si>
    <t>98.952</t>
  </si>
  <si>
    <t>01.07.2022</t>
  </si>
  <si>
    <t>98.542</t>
  </si>
  <si>
    <t>30.06.2022</t>
  </si>
  <si>
    <t>99.619</t>
  </si>
  <si>
    <t>29.06.2022</t>
  </si>
  <si>
    <t>100.592</t>
  </si>
  <si>
    <t>28.06.2022</t>
  </si>
  <si>
    <t>100.766</t>
  </si>
  <si>
    <t>27.06.2022</t>
  </si>
  <si>
    <t>98.673</t>
  </si>
  <si>
    <t>24.06.2022</t>
  </si>
  <si>
    <t>98.081</t>
  </si>
  <si>
    <t>23.06.2022</t>
  </si>
  <si>
    <t>99.523</t>
  </si>
  <si>
    <t>22.06.2022</t>
  </si>
  <si>
    <t>99.678</t>
  </si>
  <si>
    <t>21.06.2022</t>
  </si>
  <si>
    <t>99.854</t>
  </si>
  <si>
    <t>20.06.2022</t>
  </si>
  <si>
    <t>99.824</t>
  </si>
  <si>
    <t>17.06.2022</t>
  </si>
  <si>
    <t>102.800</t>
  </si>
  <si>
    <t>15.06.2022</t>
  </si>
  <si>
    <t>102.068</t>
  </si>
  <si>
    <t>14.06.2022</t>
  </si>
  <si>
    <t>102.598</t>
  </si>
  <si>
    <t>13.06.2022</t>
  </si>
  <si>
    <t>105.476</t>
  </si>
  <si>
    <t>10.06.2022</t>
  </si>
  <si>
    <t>107.091</t>
  </si>
  <si>
    <t>09.06.2022</t>
  </si>
  <si>
    <t>108.367</t>
  </si>
  <si>
    <t>08.06.2022</t>
  </si>
  <si>
    <t>110.067</t>
  </si>
  <si>
    <t>07.06.2022</t>
  </si>
  <si>
    <t>110.185</t>
  </si>
  <si>
    <t>06.06.2022</t>
  </si>
  <si>
    <t>111.102</t>
  </si>
  <si>
    <t>03.06.2022</t>
  </si>
  <si>
    <t>112.392</t>
  </si>
  <si>
    <t>02.06.2022</t>
  </si>
  <si>
    <t>111.363</t>
  </si>
  <si>
    <t>01.06.2022</t>
  </si>
  <si>
    <t>111.351</t>
  </si>
  <si>
    <t>31.05.2022</t>
  </si>
  <si>
    <t>111.036</t>
  </si>
  <si>
    <t>30.05.2022</t>
  </si>
  <si>
    <t>111.944</t>
  </si>
  <si>
    <t>27.05.2022</t>
  </si>
  <si>
    <t>111.890</t>
  </si>
  <si>
    <t>26.05.2022</t>
  </si>
  <si>
    <t>110.577</t>
  </si>
  <si>
    <t>25.05.2022</t>
  </si>
  <si>
    <t>110.580</t>
  </si>
  <si>
    <t>24.05.2022</t>
  </si>
  <si>
    <t>110.340</t>
  </si>
  <si>
    <t>23.05.2022</t>
  </si>
  <si>
    <t>108.500</t>
  </si>
  <si>
    <t>20.05.2022</t>
  </si>
  <si>
    <t>107.056</t>
  </si>
  <si>
    <t>19.05.2022</t>
  </si>
  <si>
    <t>106.249</t>
  </si>
  <si>
    <t>18.05.2022</t>
  </si>
  <si>
    <t>108.788</t>
  </si>
  <si>
    <t>17.05.2022</t>
  </si>
  <si>
    <t>108.246</t>
  </si>
  <si>
    <t>16.05.2022</t>
  </si>
  <si>
    <t>106.925</t>
  </si>
  <si>
    <t>13.05.2022</t>
  </si>
  <si>
    <t>105.691</t>
  </si>
  <si>
    <t>12.05.2022</t>
  </si>
  <si>
    <t>104.395</t>
  </si>
  <si>
    <t>11.05.2022</t>
  </si>
  <si>
    <t>103.110</t>
  </si>
  <si>
    <t>10.05.2022</t>
  </si>
  <si>
    <t>103.251</t>
  </si>
  <si>
    <t>09.05.2022</t>
  </si>
  <si>
    <t>105.109</t>
  </si>
  <si>
    <t>06.05.2022</t>
  </si>
  <si>
    <t>105.303</t>
  </si>
  <si>
    <t>05.05.2022</t>
  </si>
  <si>
    <t>108.337</t>
  </si>
  <si>
    <t>04.05.2022</t>
  </si>
  <si>
    <t>106.529</t>
  </si>
  <si>
    <t>03.05.2022</t>
  </si>
  <si>
    <t>106.640</t>
  </si>
  <si>
    <t>02.05.2022</t>
  </si>
  <si>
    <t>107.876</t>
  </si>
  <si>
    <t>29.04.2022</t>
  </si>
  <si>
    <t>28.04.2022</t>
  </si>
  <si>
    <t>109.349</t>
  </si>
  <si>
    <t>27.04.2022</t>
  </si>
  <si>
    <t>108.214</t>
  </si>
  <si>
    <t>26.04.2022</t>
  </si>
  <si>
    <t>110.684</t>
  </si>
  <si>
    <t>25.04.2022</t>
  </si>
  <si>
    <t>111.077</t>
  </si>
  <si>
    <t>22.04.2022</t>
  </si>
  <si>
    <t>114.343</t>
  </si>
  <si>
    <t>20.04.2022</t>
  </si>
  <si>
    <t>115.057</t>
  </si>
  <si>
    <t>19.04.2022</t>
  </si>
  <si>
    <t>115.687</t>
  </si>
  <si>
    <t>18.04.2022</t>
  </si>
  <si>
    <t>116.182</t>
  </si>
  <si>
    <t>14.04.2022</t>
  </si>
  <si>
    <t>116.781</t>
  </si>
  <si>
    <t>13.04.2022</t>
  </si>
  <si>
    <t>116.150</t>
  </si>
  <si>
    <t>12.04.2022</t>
  </si>
  <si>
    <t>116.963</t>
  </si>
  <si>
    <t>11.04.2022</t>
  </si>
  <si>
    <t>118.320</t>
  </si>
  <si>
    <t>08.04.2022</t>
  </si>
  <si>
    <t>118.861</t>
  </si>
  <si>
    <t>07.04.2022</t>
  </si>
  <si>
    <t>118.226</t>
  </si>
  <si>
    <t>06.04.2022</t>
  </si>
  <si>
    <t>118.885</t>
  </si>
  <si>
    <t>05.04.2022</t>
  </si>
  <si>
    <t>121.279</t>
  </si>
  <si>
    <t>04.04.2022</t>
  </si>
  <si>
    <t>121.569</t>
  </si>
  <si>
    <t>01.04.2022</t>
  </si>
  <si>
    <t>120.001</t>
  </si>
  <si>
    <t>31.03.2022</t>
  </si>
  <si>
    <t>120.261</t>
  </si>
  <si>
    <t>30.03.2022</t>
  </si>
  <si>
    <t>120.013</t>
  </si>
  <si>
    <t>29.03.2022</t>
  </si>
  <si>
    <t>118.740</t>
  </si>
  <si>
    <t>28.03.2022</t>
  </si>
  <si>
    <t>119.082</t>
  </si>
  <si>
    <t>25.03.2022</t>
  </si>
  <si>
    <t>119.062</t>
  </si>
  <si>
    <t>24.03.2022</t>
  </si>
  <si>
    <t>117.460</t>
  </si>
  <si>
    <t>23.03.2022</t>
  </si>
  <si>
    <t>117.270</t>
  </si>
  <si>
    <t>22.03.2022</t>
  </si>
  <si>
    <t>116.157</t>
  </si>
  <si>
    <t>21.03.2022</t>
  </si>
  <si>
    <t>115.307</t>
  </si>
  <si>
    <t>18.03.2022</t>
  </si>
  <si>
    <t>113.076</t>
  </si>
  <si>
    <t>17.03.2022</t>
  </si>
  <si>
    <t>111.113</t>
  </si>
  <si>
    <t>16.03.2022</t>
  </si>
  <si>
    <t>108.958</t>
  </si>
  <si>
    <t>15.03.2022</t>
  </si>
  <si>
    <t>109.925</t>
  </si>
  <si>
    <t>14.03.2022</t>
  </si>
  <si>
    <t>111.716</t>
  </si>
  <si>
    <t>11.03.2022</t>
  </si>
  <si>
    <t>113.664</t>
  </si>
  <si>
    <t>10.03.2022</t>
  </si>
  <si>
    <t>113.900</t>
  </si>
  <si>
    <t>09.03.2022</t>
  </si>
  <si>
    <t>111.210</t>
  </si>
  <si>
    <t>08.03.2022</t>
  </si>
  <si>
    <t>111.594</t>
  </si>
  <si>
    <t>07.03.2022</t>
  </si>
  <si>
    <t>114.469</t>
  </si>
  <si>
    <t>04.03.2022</t>
  </si>
  <si>
    <t>115.166</t>
  </si>
  <si>
    <t>03.03.2022</t>
  </si>
  <si>
    <t>115.173</t>
  </si>
  <si>
    <t>02.03.2022</t>
  </si>
  <si>
    <t>113.143</t>
  </si>
  <si>
    <t>25.02.2022</t>
  </si>
  <si>
    <t>111.591</t>
  </si>
  <si>
    <t>24.02.2022</t>
  </si>
  <si>
    <t>112.001</t>
  </si>
  <si>
    <t>23.02.2022</t>
  </si>
  <si>
    <t>112.892</t>
  </si>
  <si>
    <t>22.02.2022</t>
  </si>
  <si>
    <t>111.727</t>
  </si>
  <si>
    <t>21.02.2022</t>
  </si>
  <si>
    <t>112.880</t>
  </si>
  <si>
    <t>18.02.2022</t>
  </si>
  <si>
    <t>113.534</t>
  </si>
  <si>
    <t>17.02.2022</t>
  </si>
  <si>
    <t>115.181</t>
  </si>
  <si>
    <t>16.02.2022</t>
  </si>
  <si>
    <t>114.830</t>
  </si>
  <si>
    <t>15.02.2022</t>
  </si>
  <si>
    <t>113.905</t>
  </si>
  <si>
    <t>14.02.2022</t>
  </si>
  <si>
    <t>113.643</t>
  </si>
  <si>
    <t>11.02.2022</t>
  </si>
  <si>
    <t>113.368</t>
  </si>
  <si>
    <t>10.02.2022</t>
  </si>
  <si>
    <t>112.462</t>
  </si>
  <si>
    <t>09.02.2022</t>
  </si>
  <si>
    <t>112.233</t>
  </si>
  <si>
    <t>08.02.2022</t>
  </si>
  <si>
    <t>111.995</t>
  </si>
  <si>
    <t>07.02.2022</t>
  </si>
  <si>
    <t>112.247</t>
  </si>
  <si>
    <t>04.02.2022</t>
  </si>
  <si>
    <t>111.696</t>
  </si>
  <si>
    <t>03.02.2022</t>
  </si>
  <si>
    <t>111.897</t>
  </si>
  <si>
    <t>02.02.2022</t>
  </si>
  <si>
    <t>113.228</t>
  </si>
  <si>
    <t>01.02.2022</t>
  </si>
  <si>
    <t>112.143</t>
  </si>
  <si>
    <t>31.01.2022</t>
  </si>
  <si>
    <t>111.910</t>
  </si>
  <si>
    <t>28.01.2022</t>
  </si>
  <si>
    <t>112.611</t>
  </si>
  <si>
    <t>27.01.2022</t>
  </si>
  <si>
    <t>111.303</t>
  </si>
  <si>
    <t>26.01.2022</t>
  </si>
  <si>
    <t>110.206</t>
  </si>
  <si>
    <t>25.01.2022</t>
  </si>
  <si>
    <t>107.935</t>
  </si>
  <si>
    <t>24.01.2022</t>
  </si>
  <si>
    <t>108.941</t>
  </si>
  <si>
    <t>21.01.2022</t>
  </si>
  <si>
    <t>109.097</t>
  </si>
  <si>
    <t>20.01.2022</t>
  </si>
  <si>
    <t>108.015</t>
  </si>
  <si>
    <t>19.01.2022</t>
  </si>
  <si>
    <t>106.670</t>
  </si>
  <si>
    <t>18.01.2022</t>
  </si>
  <si>
    <t>106.369</t>
  </si>
  <si>
    <t>17.01.2022</t>
  </si>
  <si>
    <t>106.927</t>
  </si>
  <si>
    <t>14.01.2022</t>
  </si>
  <si>
    <t>105.530</t>
  </si>
  <si>
    <t>13.01.2022</t>
  </si>
  <si>
    <t>105.686</t>
  </si>
  <si>
    <t>12.01.2022</t>
  </si>
  <si>
    <t>103.779</t>
  </si>
  <si>
    <t>11.01.2022</t>
  </si>
  <si>
    <t>101.946</t>
  </si>
  <si>
    <t>10.01.2022</t>
  </si>
  <si>
    <t>102.719</t>
  </si>
  <si>
    <t>07.01.2022</t>
  </si>
  <si>
    <t>101.561</t>
  </si>
  <si>
    <t>06.01.2022</t>
  </si>
  <si>
    <t>101.006</t>
  </si>
  <si>
    <t>05.01.2022</t>
  </si>
  <si>
    <t>103.514</t>
  </si>
  <si>
    <t>04.01.2022</t>
  </si>
  <si>
    <t>103.922</t>
  </si>
  <si>
    <t>03.01.2022</t>
  </si>
  <si>
    <t>104.823</t>
  </si>
  <si>
    <t>30.12.2021</t>
  </si>
  <si>
    <t>104.106</t>
  </si>
  <si>
    <t>29.12.2021</t>
  </si>
  <si>
    <t>104.863</t>
  </si>
  <si>
    <t>28.12.2021</t>
  </si>
  <si>
    <t>105.555</t>
  </si>
  <si>
    <t>27.12.2021</t>
  </si>
  <si>
    <t>104.892</t>
  </si>
  <si>
    <t>23.12.2021</t>
  </si>
  <si>
    <t>105.251</t>
  </si>
  <si>
    <t>22.12.2021</t>
  </si>
  <si>
    <t>105.499</t>
  </si>
  <si>
    <t>21.12.2021</t>
  </si>
  <si>
    <t>105.020</t>
  </si>
  <si>
    <t>20.12.2021</t>
  </si>
  <si>
    <t>107.171</t>
  </si>
  <si>
    <t>17.12.2021</t>
  </si>
  <si>
    <t>108.324</t>
  </si>
  <si>
    <t>16.12.2021</t>
  </si>
  <si>
    <t>107.433</t>
  </si>
  <si>
    <t>15.12.2021</t>
  </si>
  <si>
    <t>106.763</t>
  </si>
  <si>
    <t>14.12.2021</t>
  </si>
  <si>
    <t>107.387</t>
  </si>
  <si>
    <t>13.12.2021</t>
  </si>
  <si>
    <t>107.758</t>
  </si>
  <si>
    <t>10.12.2021</t>
  </si>
  <si>
    <t>106.296</t>
  </si>
  <si>
    <t>09.12.2021</t>
  </si>
  <si>
    <t>108.095</t>
  </si>
  <si>
    <t>08.12.2021</t>
  </si>
  <si>
    <t>107.558</t>
  </si>
  <si>
    <t>07.12.2021</t>
  </si>
  <si>
    <t>106.868</t>
  </si>
  <si>
    <t>06.12.2021</t>
  </si>
  <si>
    <t>105.070</t>
  </si>
  <si>
    <t>03.12.2021</t>
  </si>
  <si>
    <t>104.467</t>
  </si>
  <si>
    <t>02.12.2021</t>
  </si>
  <si>
    <t>100.785</t>
  </si>
  <si>
    <t>01.12.2021</t>
  </si>
  <si>
    <t>101.916</t>
  </si>
  <si>
    <t>30.11.2021</t>
  </si>
  <si>
    <t>102.814</t>
  </si>
  <si>
    <t>29.11.2021</t>
  </si>
  <si>
    <t>102.227</t>
  </si>
  <si>
    <t>26.11.2021</t>
  </si>
  <si>
    <t>105.810</t>
  </si>
  <si>
    <t>25.11.2021</t>
  </si>
  <si>
    <t>104.514</t>
  </si>
  <si>
    <t>24.11.2021</t>
  </si>
  <si>
    <t>103.652</t>
  </si>
  <si>
    <t>23.11.2021</t>
  </si>
  <si>
    <t>102.124</t>
  </si>
  <si>
    <t>22.11.2021</t>
  </si>
  <si>
    <t>103.036</t>
  </si>
  <si>
    <t>19.11.2021</t>
  </si>
  <si>
    <t>102.426</t>
  </si>
  <si>
    <t>18.11.2021</t>
  </si>
  <si>
    <t>102.948</t>
  </si>
  <si>
    <t>17.11.2021</t>
  </si>
  <si>
    <t>104.405</t>
  </si>
  <si>
    <t>16.11.2021</t>
  </si>
  <si>
    <t>106.336</t>
  </si>
  <si>
    <t>12.11.2021</t>
  </si>
  <si>
    <t>107.576</t>
  </si>
  <si>
    <t>11.11.2021</t>
  </si>
  <si>
    <t>105.988</t>
  </si>
  <si>
    <t>10.11.2021</t>
  </si>
  <si>
    <t>105.535</t>
  </si>
  <si>
    <t>09.11.2021</t>
  </si>
  <si>
    <t>104.783</t>
  </si>
  <si>
    <t>08.11.2021</t>
  </si>
  <si>
    <t>104.824</t>
  </si>
  <si>
    <t>05.11.2021</t>
  </si>
  <si>
    <t>103.412</t>
  </si>
  <si>
    <t>04.11.2021</t>
  </si>
  <si>
    <t>105.617</t>
  </si>
  <si>
    <t>03.11.2021</t>
  </si>
  <si>
    <t>105.547</t>
  </si>
  <si>
    <t>01.11.2021</t>
  </si>
  <si>
    <t>29.10.2021</t>
  </si>
  <si>
    <t>105.707</t>
  </si>
  <si>
    <t>28.10.2021</t>
  </si>
  <si>
    <t>27.10.2021</t>
  </si>
  <si>
    <t>106.433</t>
  </si>
  <si>
    <t>26.10.2021</t>
  </si>
  <si>
    <t>108.713</t>
  </si>
  <si>
    <t>25.10.2021</t>
  </si>
  <si>
    <t>106.298</t>
  </si>
  <si>
    <t>22.10.2021</t>
  </si>
  <si>
    <t>107.714</t>
  </si>
  <si>
    <t>21.10.2021</t>
  </si>
  <si>
    <t>110.767</t>
  </si>
  <si>
    <t>20.10.2021</t>
  </si>
  <si>
    <t>110.677</t>
  </si>
  <si>
    <t>19.10.2021</t>
  </si>
  <si>
    <t>114.422</t>
  </si>
  <si>
    <t>18.10.2021</t>
  </si>
  <si>
    <t>114.647</t>
  </si>
  <si>
    <t>15.10.2021</t>
  </si>
  <si>
    <t>113.189</t>
  </si>
  <si>
    <t>14.10.2021</t>
  </si>
  <si>
    <t>113.457</t>
  </si>
  <si>
    <t>13.10.2021</t>
  </si>
  <si>
    <t>112.180</t>
  </si>
  <si>
    <t>11.10.2021</t>
  </si>
  <si>
    <t>112.834</t>
  </si>
  <si>
    <t>08.10.2021</t>
  </si>
  <si>
    <t>110.586</t>
  </si>
  <si>
    <t>07.10.2021</t>
  </si>
  <si>
    <t>110.563</t>
  </si>
  <si>
    <t>06.10.2021</t>
  </si>
  <si>
    <t>110.454</t>
  </si>
  <si>
    <t>05.10.2021</t>
  </si>
  <si>
    <t>110.397</t>
  </si>
  <si>
    <t>04.10.2021</t>
  </si>
  <si>
    <t>112.900</t>
  </si>
  <si>
    <t>01.10.2021</t>
  </si>
  <si>
    <t>110.980</t>
  </si>
  <si>
    <t>30.09.2021</t>
  </si>
  <si>
    <t>111.117</t>
  </si>
  <si>
    <t>29.09.2021</t>
  </si>
  <si>
    <t>110.125</t>
  </si>
  <si>
    <t>28.09.2021</t>
  </si>
  <si>
    <t>113.584</t>
  </si>
  <si>
    <t>27.09.2021</t>
  </si>
  <si>
    <t>24.09.2021</t>
  </si>
  <si>
    <t>114.062</t>
  </si>
  <si>
    <t>23.09.2021</t>
  </si>
  <si>
    <t>112.282</t>
  </si>
  <si>
    <t>22.09.2021</t>
  </si>
  <si>
    <t>110.252</t>
  </si>
  <si>
    <t>21.09.2021</t>
  </si>
  <si>
    <t>108.859</t>
  </si>
  <si>
    <t>20.09.2021</t>
  </si>
  <si>
    <t>111.435</t>
  </si>
  <si>
    <t>17.09.2021</t>
  </si>
  <si>
    <t>113.794</t>
  </si>
  <si>
    <t>16.09.2021</t>
  </si>
  <si>
    <t>15.09.2021</t>
  </si>
  <si>
    <t>116.191</t>
  </si>
  <si>
    <t>14.09.2021</t>
  </si>
  <si>
    <t>116.405</t>
  </si>
  <si>
    <t>13.09.2021</t>
  </si>
  <si>
    <t>114.300</t>
  </si>
  <si>
    <t>10.09.2021</t>
  </si>
  <si>
    <t>115.370</t>
  </si>
  <si>
    <t>09.09.2021</t>
  </si>
  <si>
    <t>113.413</t>
  </si>
  <si>
    <t>08.09.2021</t>
  </si>
  <si>
    <t>117.866</t>
  </si>
  <si>
    <t>06.09.2021</t>
  </si>
  <si>
    <t>116.926</t>
  </si>
  <si>
    <t>03.09.2021</t>
  </si>
  <si>
    <t>116.679</t>
  </si>
  <si>
    <t>02.09.2021</t>
  </si>
  <si>
    <t>119.394</t>
  </si>
  <si>
    <t>01.09.2021</t>
  </si>
  <si>
    <t>118.793</t>
  </si>
  <si>
    <t>31.08.2021</t>
  </si>
  <si>
    <t>119.738</t>
  </si>
  <si>
    <t>30.08.2021</t>
  </si>
  <si>
    <t>120.677</t>
  </si>
  <si>
    <t>27.08.2021</t>
  </si>
  <si>
    <t>118.725</t>
  </si>
  <si>
    <t>26.08.2021</t>
  </si>
  <si>
    <t>120.817</t>
  </si>
  <si>
    <t>25.08.2021</t>
  </si>
  <si>
    <t>120.210</t>
  </si>
  <si>
    <t>24.08.2021</t>
  </si>
  <si>
    <t>117.474</t>
  </si>
  <si>
    <t>23.08.2021</t>
  </si>
  <si>
    <t>118.053</t>
  </si>
  <si>
    <t>20.08.2021</t>
  </si>
  <si>
    <t>117.163</t>
  </si>
  <si>
    <t>19.08.2021</t>
  </si>
  <si>
    <t>116.641</t>
  </si>
  <si>
    <t>18.08.2021</t>
  </si>
  <si>
    <t>117.904</t>
  </si>
  <si>
    <t>17.08.2021</t>
  </si>
  <si>
    <t>119.179</t>
  </si>
  <si>
    <t>16.08.2021</t>
  </si>
  <si>
    <t>121.191</t>
  </si>
  <si>
    <t>13.08.2021</t>
  </si>
  <si>
    <t>120.701</t>
  </si>
  <si>
    <t>12.08.2021</t>
  </si>
  <si>
    <t>122.056</t>
  </si>
  <si>
    <t>11.08.2021</t>
  </si>
  <si>
    <t>122.203</t>
  </si>
  <si>
    <t>10.08.2021</t>
  </si>
  <si>
    <t>123.021</t>
  </si>
  <si>
    <t>09.08.2021</t>
  </si>
  <si>
    <t>122.809</t>
  </si>
  <si>
    <t>06.08.2021</t>
  </si>
  <si>
    <t>121.633</t>
  </si>
  <si>
    <t>05.08.2021</t>
  </si>
  <si>
    <t>121.801</t>
  </si>
  <si>
    <t>04.08.2021</t>
  </si>
  <si>
    <t>123.577</t>
  </si>
  <si>
    <t>03.08.2021</t>
  </si>
  <si>
    <t>122.516</t>
  </si>
  <si>
    <t>02.08.2021</t>
  </si>
  <si>
    <t>30.07.2021</t>
  </si>
  <si>
    <t>125.672</t>
  </si>
  <si>
    <t>29.07.2021</t>
  </si>
  <si>
    <t>126.285</t>
  </si>
  <si>
    <t>28.07.2021</t>
  </si>
  <si>
    <t>124.615</t>
  </si>
  <si>
    <t>27.07.2021</t>
  </si>
  <si>
    <t>126.004</t>
  </si>
  <si>
    <t>26.07.2021</t>
  </si>
  <si>
    <t>125.058</t>
  </si>
  <si>
    <t>23.07.2021</t>
  </si>
  <si>
    <t>126.140</t>
  </si>
  <si>
    <t>22.07.2021</t>
  </si>
  <si>
    <t>125.930</t>
  </si>
  <si>
    <t>21.07.2021</t>
  </si>
  <si>
    <t>125.404</t>
  </si>
  <si>
    <t>20.07.2021</t>
  </si>
  <si>
    <t>124.395</t>
  </si>
  <si>
    <t>19.07.2021</t>
  </si>
  <si>
    <t>125.958</t>
  </si>
  <si>
    <t>16.07.2021</t>
  </si>
  <si>
    <t>127.468</t>
  </si>
  <si>
    <t>15.07.2021</t>
  </si>
  <si>
    <t>128.407</t>
  </si>
  <si>
    <t>14.07.2021</t>
  </si>
  <si>
    <t>128.169</t>
  </si>
  <si>
    <t>13.07.2021</t>
  </si>
  <si>
    <t>127.594</t>
  </si>
  <si>
    <t>12.07.2021</t>
  </si>
  <si>
    <t>125.428</t>
  </si>
  <si>
    <t>08.07.2021</t>
  </si>
  <si>
    <t>127.013</t>
  </si>
  <si>
    <t>07.07.2021</t>
  </si>
  <si>
    <t>125.096</t>
  </si>
  <si>
    <t>06.07.2021</t>
  </si>
  <si>
    <t>126.919</t>
  </si>
  <si>
    <t>05.07.2021</t>
  </si>
  <si>
    <t>127.622</t>
  </si>
  <si>
    <t>02.07.2021</t>
  </si>
  <si>
    <t>125.667</t>
  </si>
  <si>
    <t>01.07.2021</t>
  </si>
  <si>
    <t>30.06.2021</t>
  </si>
  <si>
    <t>127.323</t>
  </si>
  <si>
    <t>29.06.2021</t>
  </si>
  <si>
    <t>127.429</t>
  </si>
  <si>
    <t>28.06.2021</t>
  </si>
  <si>
    <t>127.255</t>
  </si>
  <si>
    <t>25.06.2021</t>
  </si>
  <si>
    <t>129.513</t>
  </si>
  <si>
    <t>24.06.2021</t>
  </si>
  <si>
    <t>128.433</t>
  </si>
  <si>
    <t>23.06.2021</t>
  </si>
  <si>
    <t>128.769</t>
  </si>
  <si>
    <t>22.06.2021</t>
  </si>
  <si>
    <t>129.242</t>
  </si>
  <si>
    <t>21.06.2021</t>
  </si>
  <si>
    <t>128.405</t>
  </si>
  <si>
    <t>18.06.2021</t>
  </si>
  <si>
    <t>128.050</t>
  </si>
  <si>
    <t>17.06.2021</t>
  </si>
  <si>
    <t>129.259</t>
  </si>
  <si>
    <t>16.06.2021</t>
  </si>
  <si>
    <t>130.091</t>
  </si>
  <si>
    <t>15.06.2021</t>
  </si>
  <si>
    <t>130.208</t>
  </si>
  <si>
    <t>14.06.2021</t>
  </si>
  <si>
    <t>129.441</t>
  </si>
  <si>
    <t>11.06.2021</t>
  </si>
  <si>
    <t>130.076</t>
  </si>
  <si>
    <t>10.06.2021</t>
  </si>
  <si>
    <t>129.911</t>
  </si>
  <si>
    <t>09.06.2021</t>
  </si>
  <si>
    <t>129.800</t>
  </si>
  <si>
    <t>08.06.2021</t>
  </si>
  <si>
    <t>130.776</t>
  </si>
  <si>
    <t>07.06.2021</t>
  </si>
  <si>
    <t>130.125</t>
  </si>
  <si>
    <t>04.06.2021</t>
  </si>
  <si>
    <t>129.600</t>
  </si>
  <si>
    <t>02.06.2021</t>
  </si>
  <si>
    <t>128.268</t>
  </si>
  <si>
    <t>01.06.2021</t>
  </si>
  <si>
    <t>126.218</t>
  </si>
  <si>
    <t>31.05.2021</t>
  </si>
  <si>
    <t>125.561</t>
  </si>
  <si>
    <t>28.05.2021</t>
  </si>
  <si>
    <t>124.367</t>
  </si>
  <si>
    <t>27.05.2021</t>
  </si>
  <si>
    <t>123.989</t>
  </si>
  <si>
    <t>26.05.2021</t>
  </si>
  <si>
    <t>122.988</t>
  </si>
  <si>
    <t>25.05.2021</t>
  </si>
  <si>
    <t>124.032</t>
  </si>
  <si>
    <t>24.05.2021</t>
  </si>
  <si>
    <t>122.592</t>
  </si>
  <si>
    <t>21.05.2021</t>
  </si>
  <si>
    <t>122.701</t>
  </si>
  <si>
    <t>20.05.2021</t>
  </si>
  <si>
    <t>122.636</t>
  </si>
  <si>
    <t>19.05.2021</t>
  </si>
  <si>
    <t>122.976</t>
  </si>
  <si>
    <t>18.05.2021</t>
  </si>
  <si>
    <t>122.937</t>
  </si>
  <si>
    <t>17.05.2021</t>
  </si>
  <si>
    <t>121.880</t>
  </si>
  <si>
    <t>14.05.2021</t>
  </si>
  <si>
    <t>120.719</t>
  </si>
  <si>
    <t>13.05.2021</t>
  </si>
  <si>
    <t>119.711</t>
  </si>
  <si>
    <t>12.05.2021</t>
  </si>
  <si>
    <t>122.964</t>
  </si>
  <si>
    <t>11.05.2021</t>
  </si>
  <si>
    <t>121.904</t>
  </si>
  <si>
    <t>10.05.2021</t>
  </si>
  <si>
    <t>122.038</t>
  </si>
  <si>
    <t>07.05.2021</t>
  </si>
  <si>
    <t>06.05.2021</t>
  </si>
  <si>
    <t>119.577</t>
  </si>
  <si>
    <t>05.05.2021</t>
  </si>
  <si>
    <t>117.725</t>
  </si>
  <si>
    <t>04.05.2021</t>
  </si>
  <si>
    <t>119.209</t>
  </si>
  <si>
    <t>03.05.2021</t>
  </si>
  <si>
    <t>118.951</t>
  </si>
  <si>
    <t>30.04.2021</t>
  </si>
  <si>
    <t>120.064</t>
  </si>
  <si>
    <t>29.04.2021</t>
  </si>
  <si>
    <t>121.053</t>
  </si>
  <si>
    <t>28.04.2021</t>
  </si>
  <si>
    <t>119.392</t>
  </si>
  <si>
    <t>27.04.2021</t>
  </si>
  <si>
    <t>120.595</t>
  </si>
  <si>
    <t>26.04.2021</t>
  </si>
  <si>
    <t>120.534</t>
  </si>
  <si>
    <t>23.04.2021</t>
  </si>
  <si>
    <t>119.372</t>
  </si>
  <si>
    <t>22.04.2021</t>
  </si>
  <si>
    <t>20.04.2021</t>
  </si>
  <si>
    <t>120.925</t>
  </si>
  <si>
    <t>19.04.2021</t>
  </si>
  <si>
    <t>121.116</t>
  </si>
  <si>
    <t>16.04.2021</t>
  </si>
  <si>
    <t>15.04.2021</t>
  </si>
  <si>
    <t>120.290</t>
  </si>
  <si>
    <t>14.04.2021</t>
  </si>
  <si>
    <t>119.298</t>
  </si>
  <si>
    <t>13.04.2021</t>
  </si>
  <si>
    <t>118.809</t>
  </si>
  <si>
    <t>12.04.2021</t>
  </si>
  <si>
    <t>117.661</t>
  </si>
  <si>
    <t>09.04.2021</t>
  </si>
  <si>
    <t>118.313</t>
  </si>
  <si>
    <t>08.04.2021</t>
  </si>
  <si>
    <t>117.624</t>
  </si>
  <si>
    <t>07.04.2021</t>
  </si>
  <si>
    <t>117.499</t>
  </si>
  <si>
    <t>06.04.2021</t>
  </si>
  <si>
    <t>117.519</t>
  </si>
  <si>
    <t>05.04.2021</t>
  </si>
  <si>
    <t>115.262</t>
  </si>
  <si>
    <t>01.04.2021</t>
  </si>
  <si>
    <t>116.644</t>
  </si>
  <si>
    <t>31.03.2021</t>
  </si>
  <si>
    <t>116.850</t>
  </si>
  <si>
    <t>30.03.2021</t>
  </si>
  <si>
    <t>115.414</t>
  </si>
  <si>
    <t>29.03.2021</t>
  </si>
  <si>
    <t>114.776</t>
  </si>
  <si>
    <t>26.03.2021</t>
  </si>
  <si>
    <t>113.750</t>
  </si>
  <si>
    <t>25.03.2021</t>
  </si>
  <si>
    <t>112.065</t>
  </si>
  <si>
    <t>24.03.2021</t>
  </si>
  <si>
    <t>113.272</t>
  </si>
  <si>
    <t>23.03.2021</t>
  </si>
  <si>
    <t>114.977</t>
  </si>
  <si>
    <t>22.03.2021</t>
  </si>
  <si>
    <t>116.222</t>
  </si>
  <si>
    <t>19.03.2021</t>
  </si>
  <si>
    <t>114.837</t>
  </si>
  <si>
    <t>18.03.2021</t>
  </si>
  <si>
    <t>116.549</t>
  </si>
  <si>
    <t>17.03.2021</t>
  </si>
  <si>
    <t>114.018</t>
  </si>
  <si>
    <t>16.03.2021</t>
  </si>
  <si>
    <t>114.845</t>
  </si>
  <si>
    <t>15.03.2021</t>
  </si>
  <si>
    <t>114.093</t>
  </si>
  <si>
    <t>12.03.2021</t>
  </si>
  <si>
    <t>114.984</t>
  </si>
  <si>
    <t>11.03.2021</t>
  </si>
  <si>
    <t>112.782</t>
  </si>
  <si>
    <t>10.03.2021</t>
  </si>
  <si>
    <t>111.331</t>
  </si>
  <si>
    <t>09.03.2021</t>
  </si>
  <si>
    <t>110.611</t>
  </si>
  <si>
    <t>08.03.2021</t>
  </si>
  <si>
    <t>115.202</t>
  </si>
  <si>
    <t>05.03.2021</t>
  </si>
  <si>
    <t>112.690</t>
  </si>
  <si>
    <t>04.03.2021</t>
  </si>
  <si>
    <t>111.191</t>
  </si>
  <si>
    <t>03.03.2021</t>
  </si>
  <si>
    <t>111.529</t>
  </si>
  <si>
    <t>02.03.2021</t>
  </si>
  <si>
    <t>110.328</t>
  </si>
  <si>
    <t>01.03.2021</t>
  </si>
  <si>
    <t>110.036</t>
  </si>
  <si>
    <t>26.02.2021</t>
  </si>
  <si>
    <t>112.260</t>
  </si>
  <si>
    <t>25.02.2021</t>
  </si>
  <si>
    <t>115.668</t>
  </si>
  <si>
    <t>24.02.2021</t>
  </si>
  <si>
    <t>115.229</t>
  </si>
  <si>
    <t>23.02.2021</t>
  </si>
  <si>
    <t>112.676</t>
  </si>
  <si>
    <t>22.02.2021</t>
  </si>
  <si>
    <t>19.02.2021</t>
  </si>
  <si>
    <t>119.199</t>
  </si>
  <si>
    <t>18.02.2021</t>
  </si>
  <si>
    <t>120.361</t>
  </si>
  <si>
    <t>17.02.2021</t>
  </si>
  <si>
    <t>119.421</t>
  </si>
  <si>
    <t>12.02.2021</t>
  </si>
  <si>
    <t>119.300</t>
  </si>
  <si>
    <t>11.02.2021</t>
  </si>
  <si>
    <t>118.440</t>
  </si>
  <si>
    <t>10.02.2021</t>
  </si>
  <si>
    <t>119.472</t>
  </si>
  <si>
    <t>09.02.2021</t>
  </si>
  <si>
    <t>119.696</t>
  </si>
  <si>
    <t>08.02.2021</t>
  </si>
  <si>
    <t>120.239</t>
  </si>
  <si>
    <t>05.02.2021</t>
  </si>
  <si>
    <t>119.261</t>
  </si>
  <si>
    <t>04.02.2021</t>
  </si>
  <si>
    <t>119.728</t>
  </si>
  <si>
    <t>03.02.2021</t>
  </si>
  <si>
    <t>118.235</t>
  </si>
  <si>
    <t>02.02.2021</t>
  </si>
  <si>
    <t>117.520</t>
  </si>
  <si>
    <t>01.02.2021</t>
  </si>
  <si>
    <t>115.093</t>
  </si>
  <si>
    <t>29.01.2021</t>
  </si>
  <si>
    <t>118.880</t>
  </si>
  <si>
    <t>28.01.2021</t>
  </si>
  <si>
    <t>115.882</t>
  </si>
  <si>
    <t>27.01.2021</t>
  </si>
  <si>
    <t>116.463</t>
  </si>
  <si>
    <t>26.01.2021</t>
  </si>
  <si>
    <t>117.381</t>
  </si>
  <si>
    <t>22.01.2021</t>
  </si>
  <si>
    <t>118.318</t>
  </si>
  <si>
    <t>21.01.2021</t>
  </si>
  <si>
    <t>119.628</t>
  </si>
  <si>
    <t>20.01.2021</t>
  </si>
  <si>
    <t>120.644</t>
  </si>
  <si>
    <t>19.01.2021</t>
  </si>
  <si>
    <t>121.250</t>
  </si>
  <si>
    <t>18.01.2021</t>
  </si>
  <si>
    <t>120.351</t>
  </si>
  <si>
    <t>15.01.2021</t>
  </si>
  <si>
    <t>123.472</t>
  </si>
  <si>
    <t>14.01.2021</t>
  </si>
  <si>
    <t>121.947</t>
  </si>
  <si>
    <t>13.01.2021</t>
  </si>
  <si>
    <t>123.996</t>
  </si>
  <si>
    <t>12.01.2021</t>
  </si>
  <si>
    <t>123.255</t>
  </si>
  <si>
    <t>11.01.2021</t>
  </si>
  <si>
    <t>125.075</t>
  </si>
  <si>
    <t>08.01.2021</t>
  </si>
  <si>
    <t>122.387</t>
  </si>
  <si>
    <t>07.01.2021</t>
  </si>
  <si>
    <t>119.103</t>
  </si>
  <si>
    <t>06.01.2021</t>
  </si>
  <si>
    <t>119.377</t>
  </si>
  <si>
    <t>05.01.2021</t>
  </si>
  <si>
    <t>118.835</t>
  </si>
  <si>
    <t>04.01.2021</t>
  </si>
  <si>
    <t>119.024</t>
  </si>
  <si>
    <t>30.12.2020</t>
  </si>
  <si>
    <t>119.410</t>
  </si>
  <si>
    <t>29.12.2020</t>
  </si>
  <si>
    <t>119.130</t>
  </si>
  <si>
    <t>28.12.2020</t>
  </si>
  <si>
    <t>117.806</t>
  </si>
  <si>
    <t>23.12.2020</t>
  </si>
  <si>
    <t>116.636</t>
  </si>
  <si>
    <t>22.12.2020</t>
  </si>
  <si>
    <t>115.825</t>
  </si>
  <si>
    <t>21.12.2020</t>
  </si>
  <si>
    <t>118.021</t>
  </si>
  <si>
    <t>18.12.2020</t>
  </si>
  <si>
    <t>118.395</t>
  </si>
  <si>
    <t>17.12.2020</t>
  </si>
  <si>
    <t>16.12.2020</t>
  </si>
  <si>
    <t>116.149</t>
  </si>
  <si>
    <t>15.12.2020</t>
  </si>
  <si>
    <t>114.613</t>
  </si>
  <si>
    <t>14.12.2020</t>
  </si>
  <si>
    <t>115.137</t>
  </si>
  <si>
    <t>11.12.2020</t>
  </si>
  <si>
    <t>115.128</t>
  </si>
  <si>
    <t>10.12.2020</t>
  </si>
  <si>
    <t>113.002</t>
  </si>
  <si>
    <t>09.12.2020</t>
  </si>
  <si>
    <t>113.799</t>
  </si>
  <si>
    <t>08.12.2020</t>
  </si>
  <si>
    <t>113.590</t>
  </si>
  <si>
    <t>07.12.2020</t>
  </si>
  <si>
    <t>04.12.2020</t>
  </si>
  <si>
    <t>112.294</t>
  </si>
  <si>
    <t>03.12.2020</t>
  </si>
  <si>
    <t>111.874</t>
  </si>
  <si>
    <t>02.12.2020</t>
  </si>
  <si>
    <t>111.402</t>
  </si>
  <si>
    <t>01.12.2020</t>
  </si>
  <si>
    <t>108.897</t>
  </si>
  <si>
    <t>30.11.2020</t>
  </si>
  <si>
    <t>110.598</t>
  </si>
  <si>
    <t>27.11.2020</t>
  </si>
  <si>
    <t>110.229</t>
  </si>
  <si>
    <t>26.11.2020</t>
  </si>
  <si>
    <t>110.133</t>
  </si>
  <si>
    <t>25.11.2020</t>
  </si>
  <si>
    <t>109.786</t>
  </si>
  <si>
    <t>24.11.2020</t>
  </si>
  <si>
    <t>107.378</t>
  </si>
  <si>
    <t>23.11.2020</t>
  </si>
  <si>
    <t>106.050</t>
  </si>
  <si>
    <t>20.11.2020</t>
  </si>
  <si>
    <t>19.11.2020</t>
  </si>
  <si>
    <t>106.117</t>
  </si>
  <si>
    <t>18.11.2020</t>
  </si>
  <si>
    <t>107.246</t>
  </si>
  <si>
    <t>17.11.2020</t>
  </si>
  <si>
    <t>106.430</t>
  </si>
  <si>
    <t>16.11.2020</t>
  </si>
  <si>
    <t>104.729</t>
  </si>
  <si>
    <t>13.11.2020</t>
  </si>
  <si>
    <t>102.509</t>
  </si>
  <si>
    <t>12.11.2020</t>
  </si>
  <si>
    <t>104.810</t>
  </si>
  <si>
    <t>11.11.2020</t>
  </si>
  <si>
    <t>105.067</t>
  </si>
  <si>
    <t>10.11.2020</t>
  </si>
  <si>
    <t>103.516</t>
  </si>
  <si>
    <t>09.11.2020</t>
  </si>
  <si>
    <t>100.954</t>
  </si>
  <si>
    <t>06.11.2020</t>
  </si>
  <si>
    <t>100.751</t>
  </si>
  <si>
    <t>05.11.2020</t>
  </si>
  <si>
    <t>97.873</t>
  </si>
  <si>
    <t>04.11.2020</t>
  </si>
  <si>
    <t>95.992</t>
  </si>
  <si>
    <t>03.11.2020</t>
  </si>
  <si>
    <t>93.968</t>
  </si>
  <si>
    <t>30.10.2020</t>
  </si>
  <si>
    <t>96.579</t>
  </si>
  <si>
    <t>29.10.2020</t>
  </si>
  <si>
    <t>95.368</t>
  </si>
  <si>
    <t>28.10.2020</t>
  </si>
  <si>
    <t>99.598</t>
  </si>
  <si>
    <t>27.10.2020</t>
  </si>
  <si>
    <t>101.017</t>
  </si>
  <si>
    <t>26.10.2020</t>
  </si>
  <si>
    <t>101.260</t>
  </si>
  <si>
    <t>23.10.2020</t>
  </si>
  <si>
    <t>101.918</t>
  </si>
  <si>
    <t>22.10.2020</t>
  </si>
  <si>
    <t>100.553</t>
  </si>
  <si>
    <t>21.10.2020</t>
  </si>
  <si>
    <t>100.541</t>
  </si>
  <si>
    <t>20.10.2020</t>
  </si>
  <si>
    <t>98.664</t>
  </si>
  <si>
    <t>19.10.2020</t>
  </si>
  <si>
    <t>98.310</t>
  </si>
  <si>
    <t>16.10.2020</t>
  </si>
  <si>
    <t>99.054</t>
  </si>
  <si>
    <t>15.10.2020</t>
  </si>
  <si>
    <t>99.328</t>
  </si>
  <si>
    <t>14.10.2020</t>
  </si>
  <si>
    <t>98.502</t>
  </si>
  <si>
    <t>13.10.2020</t>
  </si>
  <si>
    <t>97.483</t>
  </si>
  <si>
    <t>09.10.2020</t>
  </si>
  <si>
    <t>97.924</t>
  </si>
  <si>
    <t>08.10.2020</t>
  </si>
  <si>
    <t>95.530</t>
  </si>
  <si>
    <t>07.10.2020</t>
  </si>
  <si>
    <t>95.616</t>
  </si>
  <si>
    <t>06.10.2020</t>
  </si>
  <si>
    <t>96.091</t>
  </si>
  <si>
    <t>05.10.2020</t>
  </si>
  <si>
    <t>94.019</t>
  </si>
  <si>
    <t>02.10.2020</t>
  </si>
  <si>
    <t>95.475</t>
  </si>
  <si>
    <t>01.10.2020</t>
  </si>
  <si>
    <t>94.604</t>
  </si>
  <si>
    <t>30.09.2020</t>
  </si>
  <si>
    <t>93.586</t>
  </si>
  <si>
    <t>29.09.2020</t>
  </si>
  <si>
    <t>94.665</t>
  </si>
  <si>
    <t>28.09.2020</t>
  </si>
  <si>
    <t>97.005</t>
  </si>
  <si>
    <t>25.09.2020</t>
  </si>
  <si>
    <t>97.011</t>
  </si>
  <si>
    <t>24.09.2020</t>
  </si>
  <si>
    <t>95.735</t>
  </si>
  <si>
    <t>23.09.2020</t>
  </si>
  <si>
    <t>97.294</t>
  </si>
  <si>
    <t>22.09.2020</t>
  </si>
  <si>
    <t>96.995</t>
  </si>
  <si>
    <t>21.09.2020</t>
  </si>
  <si>
    <t>98.283</t>
  </si>
  <si>
    <t>18.09.2020</t>
  </si>
  <si>
    <t>100.098</t>
  </si>
  <si>
    <t>17.09.2020</t>
  </si>
  <si>
    <t>99.674</t>
  </si>
  <si>
    <t>16.09.2020</t>
  </si>
  <si>
    <t>100.299</t>
  </si>
  <si>
    <t>15.09.2020</t>
  </si>
  <si>
    <t>100.277</t>
  </si>
  <si>
    <t>14.09.2020</t>
  </si>
  <si>
    <t>98.367</t>
  </si>
  <si>
    <t>11.09.2020</t>
  </si>
  <si>
    <t>98.839</t>
  </si>
  <si>
    <t>10.09.2020</t>
  </si>
  <si>
    <t>101.291</t>
  </si>
  <si>
    <t>09.09.2020</t>
  </si>
  <si>
    <t>100.050</t>
  </si>
  <si>
    <t>08.09.2020</t>
  </si>
  <si>
    <t>101.239</t>
  </si>
  <si>
    <t>04.09.2020</t>
  </si>
  <si>
    <t>100.733</t>
  </si>
  <si>
    <t>03.09.2020</t>
  </si>
  <si>
    <t>101.911</t>
  </si>
  <si>
    <t>02.09.2020</t>
  </si>
  <si>
    <t>102.168</t>
  </si>
  <si>
    <t>01.09.2020</t>
  </si>
  <si>
    <t>99.382</t>
  </si>
  <si>
    <t>31.08.2020</t>
  </si>
  <si>
    <t>102.142</t>
  </si>
  <si>
    <t>28.08.2020</t>
  </si>
  <si>
    <t>100.631</t>
  </si>
  <si>
    <t>27.08.2020</t>
  </si>
  <si>
    <t>100.625</t>
  </si>
  <si>
    <t>26.08.2020</t>
  </si>
  <si>
    <t>102.119</t>
  </si>
  <si>
    <t>25.08.2020</t>
  </si>
  <si>
    <t>102.293</t>
  </si>
  <si>
    <t>24.08.2020</t>
  </si>
  <si>
    <t>101.525</t>
  </si>
  <si>
    <t>21.08.2020</t>
  </si>
  <si>
    <t>101.460</t>
  </si>
  <si>
    <t>20.08.2020</t>
  </si>
  <si>
    <t>100.853</t>
  </si>
  <si>
    <t>19.08.2020</t>
  </si>
  <si>
    <t>102.072</t>
  </si>
  <si>
    <t>18.08.2020</t>
  </si>
  <si>
    <t>99.597</t>
  </si>
  <si>
    <t>17.08.2020</t>
  </si>
  <si>
    <t>101.348</t>
  </si>
  <si>
    <t>14.08.2020</t>
  </si>
  <si>
    <t>100.469</t>
  </si>
  <si>
    <t>13.08.2020</t>
  </si>
  <si>
    <t>102.118</t>
  </si>
  <si>
    <t>12.08.2020</t>
  </si>
  <si>
    <t>102.176</t>
  </si>
  <si>
    <t>11.08.2020</t>
  </si>
  <si>
    <t>103.449</t>
  </si>
  <si>
    <t>10.08.2020</t>
  </si>
  <si>
    <t>102.776</t>
  </si>
  <si>
    <t>07.08.2020</t>
  </si>
  <si>
    <t>104.116</t>
  </si>
  <si>
    <t>06.08.2020</t>
  </si>
  <si>
    <t>102.795</t>
  </si>
  <si>
    <t>05.08.2020</t>
  </si>
  <si>
    <t>101.220</t>
  </si>
  <si>
    <t>04.08.2020</t>
  </si>
  <si>
    <t>102.826</t>
  </si>
  <si>
    <t>03.08.2020</t>
  </si>
  <si>
    <t>102.913</t>
  </si>
  <si>
    <t>31.07.2020</t>
  </si>
  <si>
    <t>105.010</t>
  </si>
  <si>
    <t>30.07.2020</t>
  </si>
  <si>
    <t>105.605</t>
  </si>
  <si>
    <t>29.07.2020</t>
  </si>
  <si>
    <t>104.112</t>
  </si>
  <si>
    <t>28.07.2020</t>
  </si>
  <si>
    <t>104.477</t>
  </si>
  <si>
    <t>27.07.2020</t>
  </si>
  <si>
    <t>102.381</t>
  </si>
  <si>
    <t>24.07.2020</t>
  </si>
  <si>
    <t>102.292</t>
  </si>
  <si>
    <t>23.07.2020</t>
  </si>
  <si>
    <t>104.291</t>
  </si>
  <si>
    <t>22.07.2020</t>
  </si>
  <si>
    <t>104.312</t>
  </si>
  <si>
    <t>21.07.2020</t>
  </si>
  <si>
    <t>104.426</t>
  </si>
  <si>
    <t>20.07.2020</t>
  </si>
  <si>
    <t>102.888</t>
  </si>
  <si>
    <t>17.07.2020</t>
  </si>
  <si>
    <t>100.554</t>
  </si>
  <si>
    <t>16.07.2020</t>
  </si>
  <si>
    <t>101.791</t>
  </si>
  <si>
    <t>15.07.2020</t>
  </si>
  <si>
    <t>100.444</t>
  </si>
  <si>
    <t>14.07.2020</t>
  </si>
  <si>
    <t>98.699</t>
  </si>
  <si>
    <t>13.07.2020</t>
  </si>
  <si>
    <t>100.027</t>
  </si>
  <si>
    <t>10.07.2020</t>
  </si>
  <si>
    <t>99.160</t>
  </si>
  <si>
    <t>09.07.2020</t>
  </si>
  <si>
    <t>99.770</t>
  </si>
  <si>
    <t>08.07.2020</t>
  </si>
  <si>
    <t>97.765</t>
  </si>
  <si>
    <t>07.07.2020</t>
  </si>
  <si>
    <t>98.937</t>
  </si>
  <si>
    <t>06.07.2020</t>
  </si>
  <si>
    <t>96.776</t>
  </si>
  <si>
    <t>03.07.2020</t>
  </si>
  <si>
    <t>96.237</t>
  </si>
  <si>
    <t>02.07.2020</t>
  </si>
  <si>
    <t>96.206</t>
  </si>
  <si>
    <t>01.07.2020</t>
  </si>
  <si>
    <t>95.062</t>
  </si>
  <si>
    <t>30.06.2020</t>
  </si>
  <si>
    <t>95.728</t>
  </si>
  <si>
    <t>29.06.2020</t>
  </si>
  <si>
    <t>93.837</t>
  </si>
  <si>
    <t>26.06.2020</t>
  </si>
  <si>
    <t>95.979</t>
  </si>
  <si>
    <t>25.06.2020</t>
  </si>
  <si>
    <t>94.382</t>
  </si>
  <si>
    <t>24.06.2020</t>
  </si>
  <si>
    <t>95.974</t>
  </si>
  <si>
    <t>23.06.2020</t>
  </si>
  <si>
    <t>95.344</t>
  </si>
  <si>
    <t>22.06.2020</t>
  </si>
  <si>
    <t>96.572</t>
  </si>
  <si>
    <t>19.06.2020</t>
  </si>
  <si>
    <t>96.138</t>
  </si>
  <si>
    <t>18.06.2020</t>
  </si>
  <si>
    <t>95.547</t>
  </si>
  <si>
    <t>17.06.2020</t>
  </si>
  <si>
    <t>93.531</t>
  </si>
  <si>
    <t>16.06.2020</t>
  </si>
  <si>
    <t>92.387</t>
  </si>
  <si>
    <t>15.06.2020</t>
  </si>
  <si>
    <t>92.780</t>
  </si>
  <si>
    <t>12.06.2020</t>
  </si>
  <si>
    <t>94.677</t>
  </si>
  <si>
    <t>10.06.2020</t>
  </si>
  <si>
    <t>96.747</t>
  </si>
  <si>
    <t>09.06.2020</t>
  </si>
  <si>
    <t>97.644</t>
  </si>
  <si>
    <t>08.06.2020</t>
  </si>
  <si>
    <t>94.640</t>
  </si>
  <si>
    <t>05.06.2020</t>
  </si>
  <si>
    <t>93.839</t>
  </si>
  <si>
    <t>04.06.2020</t>
  </si>
  <si>
    <t>92.993</t>
  </si>
  <si>
    <t>03.06.2020</t>
  </si>
  <si>
    <t>91.048</t>
  </si>
  <si>
    <t>02.06.2020</t>
  </si>
  <si>
    <t>88.622</t>
  </si>
  <si>
    <t>01.06.2020</t>
  </si>
  <si>
    <t>87.395</t>
  </si>
  <si>
    <t>29.05.2020</t>
  </si>
  <si>
    <t>86.951</t>
  </si>
  <si>
    <t>28.05.2020</t>
  </si>
  <si>
    <t>87.946</t>
  </si>
  <si>
    <t>27.05.2020</t>
  </si>
  <si>
    <t>85.468</t>
  </si>
  <si>
    <t>26.05.2020</t>
  </si>
  <si>
    <t>85.668</t>
  </si>
  <si>
    <t>25.05.2020</t>
  </si>
  <si>
    <t>82.198</t>
  </si>
  <si>
    <t>22.05.2020</t>
  </si>
  <si>
    <t>83.027</t>
  </si>
  <si>
    <t>21.05.2020</t>
  </si>
  <si>
    <t>81.320</t>
  </si>
  <si>
    <t>20.05.2020</t>
  </si>
  <si>
    <t>80.747</t>
  </si>
  <si>
    <t>19.05.2020</t>
  </si>
  <si>
    <t>81.197</t>
  </si>
  <si>
    <t>18.05.2020</t>
  </si>
  <si>
    <t>77.576</t>
  </si>
  <si>
    <t>15.05.2020</t>
  </si>
  <si>
    <t>79.011</t>
  </si>
  <si>
    <t>14.05.2020</t>
  </si>
  <si>
    <t>77.770</t>
  </si>
  <si>
    <t>13.05.2020</t>
  </si>
  <si>
    <t>77.877</t>
  </si>
  <si>
    <t>12.05.2020</t>
  </si>
  <si>
    <t>79.065</t>
  </si>
  <si>
    <t>11.05.2020</t>
  </si>
  <si>
    <t>80.263</t>
  </si>
  <si>
    <t>08.05.2020</t>
  </si>
  <si>
    <t>78.152</t>
  </si>
  <si>
    <t>07.05.2020</t>
  </si>
  <si>
    <t>79.072</t>
  </si>
  <si>
    <t>06.05.2020</t>
  </si>
  <si>
    <t>79.473</t>
  </si>
  <si>
    <t>05.05.2020</t>
  </si>
  <si>
    <t>78.887</t>
  </si>
  <si>
    <t>04.05.2020</t>
  </si>
  <si>
    <t>80.501</t>
  </si>
  <si>
    <t>30.04.2020</t>
  </si>
  <si>
    <t>83.169</t>
  </si>
  <si>
    <t>29.04.2020</t>
  </si>
  <si>
    <t>81.313</t>
  </si>
  <si>
    <t>28.04.2020</t>
  </si>
  <si>
    <t>78.243</t>
  </si>
  <si>
    <t>27.04.2020</t>
  </si>
  <si>
    <t>75.334</t>
  </si>
  <si>
    <t>24.04.2020</t>
  </si>
  <si>
    <t>79.667</t>
  </si>
  <si>
    <t>23.04.2020</t>
  </si>
  <si>
    <t>80.690</t>
  </si>
  <si>
    <t>22.04.2020</t>
  </si>
  <si>
    <t>78.973</t>
  </si>
  <si>
    <t>20.04.2020</t>
  </si>
  <si>
    <t>78.989</t>
  </si>
  <si>
    <t>17.04.2020</t>
  </si>
  <si>
    <t>77.817</t>
  </si>
  <si>
    <t>16.04.2020</t>
  </si>
  <si>
    <t>78.837</t>
  </si>
  <si>
    <t>15.04.2020</t>
  </si>
  <si>
    <t>79.911</t>
  </si>
  <si>
    <t>14.04.2020</t>
  </si>
  <si>
    <t>78.848</t>
  </si>
  <si>
    <t>13.04.2020</t>
  </si>
  <si>
    <t>77.682</t>
  </si>
  <si>
    <t>09.04.2020</t>
  </si>
  <si>
    <t>78.640</t>
  </si>
  <si>
    <t>08.04.2020</t>
  </si>
  <si>
    <t>76.335</t>
  </si>
  <si>
    <t>07.04.2020</t>
  </si>
  <si>
    <t>74.078</t>
  </si>
  <si>
    <t>06.04.2020</t>
  </si>
  <si>
    <t>69.556</t>
  </si>
  <si>
    <t>03.04.2020</t>
  </si>
  <si>
    <t>72.241</t>
  </si>
  <si>
    <t>02.04.2020</t>
  </si>
  <si>
    <t>70.969</t>
  </si>
  <si>
    <t>01.04.2020</t>
  </si>
  <si>
    <t>73.011</t>
  </si>
  <si>
    <t>31.03.2020</t>
  </si>
  <si>
    <t>74.629</t>
  </si>
  <si>
    <t>30.03.2020</t>
  </si>
  <si>
    <t>73.431</t>
  </si>
  <si>
    <t>27.03.2020</t>
  </si>
  <si>
    <t>77.708</t>
  </si>
  <si>
    <t>26.03.2020</t>
  </si>
  <si>
    <t>74.956</t>
  </si>
  <si>
    <t>25.03.2020</t>
  </si>
  <si>
    <t>69.727</t>
  </si>
  <si>
    <t>24.03.2020</t>
  </si>
  <si>
    <t>63.604</t>
  </si>
  <si>
    <t>23.03.2020</t>
  </si>
  <si>
    <t>67.067</t>
  </si>
  <si>
    <t>20.03.2020</t>
  </si>
  <si>
    <t>68.344</t>
  </si>
  <si>
    <t>19.03.2020</t>
  </si>
  <si>
    <t>66.883</t>
  </si>
  <si>
    <t>18.03.2020</t>
  </si>
  <si>
    <t>74.576</t>
  </si>
  <si>
    <t>17.03.2020</t>
  </si>
  <si>
    <t>71.178</t>
  </si>
  <si>
    <t>16.03.2020</t>
  </si>
  <si>
    <t>82.565</t>
  </si>
  <si>
    <t>13.03.2020</t>
  </si>
  <si>
    <t>72.621</t>
  </si>
  <si>
    <t>12.03.2020</t>
  </si>
  <si>
    <t>85.103</t>
  </si>
  <si>
    <t>11.03.2020</t>
  </si>
  <si>
    <t>92.202</t>
  </si>
  <si>
    <t>10.03.2020</t>
  </si>
  <si>
    <t>86.071</t>
  </si>
  <si>
    <t>09.03.2020</t>
  </si>
  <si>
    <t>97.982</t>
  </si>
  <si>
    <t>06.03.2020</t>
  </si>
  <si>
    <t>102.230</t>
  </si>
  <si>
    <t>05.03.2020</t>
  </si>
  <si>
    <t>107.217</t>
  </si>
  <si>
    <t>04.03.2020</t>
  </si>
  <si>
    <t>105.540</t>
  </si>
  <si>
    <t>03.03.2020</t>
  </si>
  <si>
    <t>106.630</t>
  </si>
  <si>
    <t>02.03.2020</t>
  </si>
  <si>
    <t>104.260</t>
  </si>
  <si>
    <t>28.02.2020</t>
  </si>
  <si>
    <t>102.984</t>
  </si>
  <si>
    <t>27.02.2020</t>
  </si>
  <si>
    <t>105.711</t>
  </si>
  <si>
    <t>26.02.2020</t>
  </si>
  <si>
    <t>113.647</t>
  </si>
  <si>
    <t>21.02.2020</t>
  </si>
  <si>
    <t>114.585</t>
  </si>
  <si>
    <t>20.02.2020</t>
  </si>
  <si>
    <t>116.518</t>
  </si>
  <si>
    <t>19.02.2020</t>
  </si>
  <si>
    <t>114.982</t>
  </si>
  <si>
    <t>18.02.2020</t>
  </si>
  <si>
    <t>115.309</t>
  </si>
  <si>
    <t>17.02.2020</t>
  </si>
  <si>
    <t>114.381</t>
  </si>
  <si>
    <t>14.02.2020</t>
  </si>
  <si>
    <t>115.663</t>
  </si>
  <si>
    <t>13.02.2020</t>
  </si>
  <si>
    <t>116.660</t>
  </si>
  <si>
    <t>12.02.2020</t>
  </si>
  <si>
    <t>115.371</t>
  </si>
  <si>
    <t>11.02.2020</t>
  </si>
  <si>
    <t>112.574</t>
  </si>
  <si>
    <t>10.02.2020</t>
  </si>
  <si>
    <t>113.771</t>
  </si>
  <si>
    <t>07.02.2020</t>
  </si>
  <si>
    <t>115.190</t>
  </si>
  <si>
    <t>06.02.2020</t>
  </si>
  <si>
    <t>116.033</t>
  </si>
  <si>
    <t>05.02.2020</t>
  </si>
  <si>
    <t>115.563</t>
  </si>
  <si>
    <t>04.02.2020</t>
  </si>
  <si>
    <t>114.631</t>
  </si>
  <si>
    <t>03.02.2020</t>
  </si>
  <si>
    <t>113.761</t>
  </si>
  <si>
    <t>31.01.2020</t>
  </si>
  <si>
    <t>115.518</t>
  </si>
  <si>
    <t>30.01.2020</t>
  </si>
  <si>
    <t>115.375</t>
  </si>
  <si>
    <t>29.01.2020</t>
  </si>
  <si>
    <t>116.494</t>
  </si>
  <si>
    <t>28.01.2020</t>
  </si>
  <si>
    <t>114.482</t>
  </si>
  <si>
    <t>27.01.2020</t>
  </si>
  <si>
    <t>118.347</t>
  </si>
  <si>
    <t>24.01.2020</t>
  </si>
  <si>
    <t>119.528</t>
  </si>
  <si>
    <t>23.01.2020</t>
  </si>
  <si>
    <t>118.391</t>
  </si>
  <si>
    <t>22.01.2020</t>
  </si>
  <si>
    <t>117.035</t>
  </si>
  <si>
    <t>21.01.2020</t>
  </si>
  <si>
    <t>20.01.2020</t>
  </si>
  <si>
    <t>118.478</t>
  </si>
  <si>
    <t>17.01.2020</t>
  </si>
  <si>
    <t>116.710</t>
  </si>
  <si>
    <t>16.01.2020</t>
  </si>
  <si>
    <t>116.415</t>
  </si>
  <si>
    <t>15.01.2020</t>
  </si>
  <si>
    <t>117.632</t>
  </si>
  <si>
    <t>14.01.2020</t>
  </si>
  <si>
    <t>117.325</t>
  </si>
  <si>
    <t>13.01.2020</t>
  </si>
  <si>
    <t>115.503</t>
  </si>
  <si>
    <t>10.01.2020</t>
  </si>
  <si>
    <t>115.948</t>
  </si>
  <si>
    <t>09.01.2020</t>
  </si>
  <si>
    <t>116.248</t>
  </si>
  <si>
    <t>08.01.2020</t>
  </si>
  <si>
    <t>116.667</t>
  </si>
  <si>
    <t>07.01.2020</t>
  </si>
  <si>
    <t>116.872</t>
  </si>
  <si>
    <t>06.01.2020</t>
  </si>
  <si>
    <t>117.707</t>
  </si>
  <si>
    <t>03.01.2020</t>
  </si>
  <si>
    <t>118.564</t>
  </si>
  <si>
    <t>02.01.2020</t>
  </si>
  <si>
    <t>115.652</t>
  </si>
  <si>
    <t>30.12.2019</t>
  </si>
  <si>
    <t>116.530</t>
  </si>
  <si>
    <t>27.12.2019</t>
  </si>
  <si>
    <t>117.205</t>
  </si>
  <si>
    <t>26.12.2019</t>
  </si>
  <si>
    <t>115.864</t>
  </si>
  <si>
    <t>23.12.2019</t>
  </si>
  <si>
    <t>115.119</t>
  </si>
  <si>
    <t>20.12.2019</t>
  </si>
  <si>
    <t>115.133</t>
  </si>
  <si>
    <t>19.12.2019</t>
  </si>
  <si>
    <t>114.313</t>
  </si>
  <si>
    <t>18.12.2019</t>
  </si>
  <si>
    <t>112.618</t>
  </si>
  <si>
    <t>17.12.2019</t>
  </si>
  <si>
    <t>16.12.2019</t>
  </si>
  <si>
    <t>112.565</t>
  </si>
  <si>
    <t>13.12.2019</t>
  </si>
  <si>
    <t>112.205</t>
  </si>
  <si>
    <t>12.12.2019</t>
  </si>
  <si>
    <t>110.963</t>
  </si>
  <si>
    <t>11.12.2019</t>
  </si>
  <si>
    <t>110.672</t>
  </si>
  <si>
    <t>10.12.2019</t>
  </si>
  <si>
    <t>110.973</t>
  </si>
  <si>
    <t>09.12.2019</t>
  </si>
  <si>
    <t>111.125</t>
  </si>
  <si>
    <t>06.12.2019</t>
  </si>
  <si>
    <t>110.623</t>
  </si>
  <si>
    <t>05.12.2019</t>
  </si>
  <si>
    <t>110.297</t>
  </si>
  <si>
    <t>04.12.2019</t>
  </si>
  <si>
    <t>108.962</t>
  </si>
  <si>
    <t>03.12.2019</t>
  </si>
  <si>
    <t>108.931</t>
  </si>
  <si>
    <t>02.12.2019</t>
  </si>
  <si>
    <t>108.233</t>
  </si>
  <si>
    <t>29.11.2019</t>
  </si>
  <si>
    <t>108.290</t>
  </si>
  <si>
    <t>28.11.2019</t>
  </si>
  <si>
    <t>107.708</t>
  </si>
  <si>
    <t>27.11.2019</t>
  </si>
  <si>
    <t>107.059</t>
  </si>
  <si>
    <t>26.11.2019</t>
  </si>
  <si>
    <t>108.424</t>
  </si>
  <si>
    <t>25.11.2019</t>
  </si>
  <si>
    <t>108.692</t>
  </si>
  <si>
    <t>22.11.2019</t>
  </si>
  <si>
    <t>107.497</t>
  </si>
  <si>
    <t>21.11.2019</t>
  </si>
  <si>
    <t>105.866</t>
  </si>
  <si>
    <t>19.11.2019</t>
  </si>
  <si>
    <t>106.269</t>
  </si>
  <si>
    <t>18.11.2019</t>
  </si>
  <si>
    <t>106.566</t>
  </si>
  <si>
    <t>14.11.2019</t>
  </si>
  <si>
    <t>106.052</t>
  </si>
  <si>
    <t>13.11.2019</t>
  </si>
  <si>
    <t>106.751</t>
  </si>
  <si>
    <t>12.11.2019</t>
  </si>
  <si>
    <t>108.368</t>
  </si>
  <si>
    <t>11.11.2019</t>
  </si>
  <si>
    <t>107.622</t>
  </si>
  <si>
    <t>08.11.2019</t>
  </si>
  <si>
    <t>109.572</t>
  </si>
  <si>
    <t>07.11.2019</t>
  </si>
  <si>
    <t>108.360</t>
  </si>
  <si>
    <t>06.11.2019</t>
  </si>
  <si>
    <t>108.719</t>
  </si>
  <si>
    <t>05.11.2019</t>
  </si>
  <si>
    <t>108.779</t>
  </si>
  <si>
    <t>04.11.2019</t>
  </si>
  <si>
    <t>108.196</t>
  </si>
  <si>
    <t>01.11.2019</t>
  </si>
  <si>
    <t>107.221</t>
  </si>
  <si>
    <t>31.10.2019</t>
  </si>
  <si>
    <t>30.10.2019</t>
  </si>
  <si>
    <t>107.557</t>
  </si>
  <si>
    <t>29.10.2019</t>
  </si>
  <si>
    <t>108.189</t>
  </si>
  <si>
    <t>28.10.2019</t>
  </si>
  <si>
    <t>107.366</t>
  </si>
  <si>
    <t>25.10.2019</t>
  </si>
  <si>
    <t>106.990</t>
  </si>
  <si>
    <t>24.10.2019</t>
  </si>
  <si>
    <t>107.553</t>
  </si>
  <si>
    <t>23.10.2019</t>
  </si>
  <si>
    <t>107.381</t>
  </si>
  <si>
    <t>22.10.2019</t>
  </si>
  <si>
    <t>21.10.2019</t>
  </si>
  <si>
    <t>18.10.2019</t>
  </si>
  <si>
    <t>105.012</t>
  </si>
  <si>
    <t>17.10.2019</t>
  </si>
  <si>
    <t>105.389</t>
  </si>
  <si>
    <t>16.10.2019</t>
  </si>
  <si>
    <t>104.486</t>
  </si>
  <si>
    <t>15.10.2019</t>
  </si>
  <si>
    <t>104.299</t>
  </si>
  <si>
    <t>14.10.2019</t>
  </si>
  <si>
    <t>103.834</t>
  </si>
  <si>
    <t>11.10.2019</t>
  </si>
  <si>
    <t>101.819</t>
  </si>
  <si>
    <t>10.10.2019</t>
  </si>
  <si>
    <t>101.244</t>
  </si>
  <si>
    <t>09.10.2019</t>
  </si>
  <si>
    <t>100.005</t>
  </si>
  <si>
    <t>08.10.2019</t>
  </si>
  <si>
    <t>100.565</t>
  </si>
  <si>
    <t>07.10.2019</t>
  </si>
  <si>
    <t>102.546</t>
  </si>
  <si>
    <t>04.10.2019</t>
  </si>
  <si>
    <t>101.516</t>
  </si>
  <si>
    <t>03.10.2019</t>
  </si>
  <si>
    <t>101.031</t>
  </si>
  <si>
    <t>02.10.2019</t>
  </si>
  <si>
    <t>104.049</t>
  </si>
  <si>
    <t>01.10.2019</t>
  </si>
  <si>
    <t>104.745</t>
  </si>
  <si>
    <t>30.09.2019</t>
  </si>
  <si>
    <t>105.077</t>
  </si>
  <si>
    <t>27.09.2019</t>
  </si>
  <si>
    <t>105.319</t>
  </si>
  <si>
    <t>26.09.2019</t>
  </si>
  <si>
    <t>104.485</t>
  </si>
  <si>
    <t>25.09.2019</t>
  </si>
  <si>
    <t>103.857</t>
  </si>
  <si>
    <t>24.09.2019</t>
  </si>
  <si>
    <t>104.638</t>
  </si>
  <si>
    <t>23.09.2019</t>
  </si>
  <si>
    <t>104.817</t>
  </si>
  <si>
    <t>20.09.2019</t>
  </si>
  <si>
    <t>104.339</t>
  </si>
  <si>
    <t>19.09.2019</t>
  </si>
  <si>
    <t>104.555</t>
  </si>
  <si>
    <t>18.09.2019</t>
  </si>
  <si>
    <t>104.616</t>
  </si>
  <si>
    <t>17.09.2019</t>
  </si>
  <si>
    <t>103.680</t>
  </si>
  <si>
    <t>16.09.2019</t>
  </si>
  <si>
    <t>103.496</t>
  </si>
  <si>
    <t>13.09.2019</t>
  </si>
  <si>
    <t>104.371</t>
  </si>
  <si>
    <t>12.09.2019</t>
  </si>
  <si>
    <t>103.453</t>
  </si>
  <si>
    <t>11.09.2019</t>
  </si>
  <si>
    <t>10.09.2019</t>
  </si>
  <si>
    <t>103.180</t>
  </si>
  <si>
    <t>09.09.2019</t>
  </si>
  <si>
    <t>102.937</t>
  </si>
  <si>
    <t>06.09.2019</t>
  </si>
  <si>
    <t>102.247</t>
  </si>
  <si>
    <t>05.09.2019</t>
  </si>
  <si>
    <t>101.204</t>
  </si>
  <si>
    <t>04.09.2019</t>
  </si>
  <si>
    <t>99.706</t>
  </si>
  <si>
    <t>03.09.2019</t>
  </si>
  <si>
    <t>100.626</t>
  </si>
  <si>
    <t>02.09.2019</t>
  </si>
  <si>
    <t>101.133</t>
  </si>
  <si>
    <t>30.08.2019</t>
  </si>
  <si>
    <t>100.526</t>
  </si>
  <si>
    <t>29.08.2019</t>
  </si>
  <si>
    <t>98.194</t>
  </si>
  <si>
    <t>28.08.2019</t>
  </si>
  <si>
    <t>97.273</t>
  </si>
  <si>
    <t>27.08.2019</t>
  </si>
  <si>
    <t>96.434</t>
  </si>
  <si>
    <t>26.08.2019</t>
  </si>
  <si>
    <t>97.687</t>
  </si>
  <si>
    <t>23.08.2019</t>
  </si>
  <si>
    <t>100.007</t>
  </si>
  <si>
    <t>22.08.2019</t>
  </si>
  <si>
    <t>101.209</t>
  </si>
  <si>
    <t>21.08.2019</t>
  </si>
  <si>
    <t>99.227</t>
  </si>
  <si>
    <t>20.08.2019</t>
  </si>
  <si>
    <t>99.472</t>
  </si>
  <si>
    <t>19.08.2019</t>
  </si>
  <si>
    <t>99.810</t>
  </si>
  <si>
    <t>16.08.2019</t>
  </si>
  <si>
    <t>99.059</t>
  </si>
  <si>
    <t>15.08.2019</t>
  </si>
  <si>
    <t>100.262</t>
  </si>
  <si>
    <t>14.08.2019</t>
  </si>
  <si>
    <t>103.270</t>
  </si>
  <si>
    <t>13.08.2019</t>
  </si>
  <si>
    <t>101.912</t>
  </si>
  <si>
    <t>12.08.2019</t>
  </si>
  <si>
    <t>103.946</t>
  </si>
  <si>
    <t>09.08.2019</t>
  </si>
  <si>
    <t>104.102</t>
  </si>
  <si>
    <t>08.08.2019</t>
  </si>
  <si>
    <t>102.782</t>
  </si>
  <si>
    <t>07.08.2019</t>
  </si>
  <si>
    <t>102.163</t>
  </si>
  <si>
    <t>06.08.2019</t>
  </si>
  <si>
    <t>05.08.2019</t>
  </si>
  <si>
    <t>102.658</t>
  </si>
  <si>
    <t>02.08.2019</t>
  </si>
  <si>
    <t>102.122</t>
  </si>
  <si>
    <t>01.08.2019</t>
  </si>
  <si>
    <t>31.07.2019</t>
  </si>
  <si>
    <t>102.946</t>
  </si>
  <si>
    <t>30.07.2019</t>
  </si>
  <si>
    <t>103.483</t>
  </si>
  <si>
    <t>29.07.2019</t>
  </si>
  <si>
    <t>102.817</t>
  </si>
  <si>
    <t>26.07.2019</t>
  </si>
  <si>
    <t>102.654</t>
  </si>
  <si>
    <t>25.07.2019</t>
  </si>
  <si>
    <t>104.119</t>
  </si>
  <si>
    <t>24.07.2019</t>
  </si>
  <si>
    <t>103.707</t>
  </si>
  <si>
    <t>23.07.2019</t>
  </si>
  <si>
    <t>103.949</t>
  </si>
  <si>
    <t>22.07.2019</t>
  </si>
  <si>
    <t>103.452</t>
  </si>
  <si>
    <t>19.07.2019</t>
  </si>
  <si>
    <t>104.716</t>
  </si>
  <si>
    <t>18.07.2019</t>
  </si>
  <si>
    <t>103.859</t>
  </si>
  <si>
    <t>17.07.2019</t>
  </si>
  <si>
    <t>103.775</t>
  </si>
  <si>
    <t>16.07.2019</t>
  </si>
  <si>
    <t>103.805</t>
  </si>
  <si>
    <t>15.07.2019</t>
  </si>
  <si>
    <t>103.909</t>
  </si>
  <si>
    <t>12.07.2019</t>
  </si>
  <si>
    <t>105.158</t>
  </si>
  <si>
    <t>11.07.2019</t>
  </si>
  <si>
    <t>105.818</t>
  </si>
  <si>
    <t>10.07.2019</t>
  </si>
  <si>
    <t>104.537</t>
  </si>
  <si>
    <t>08.07.2019</t>
  </si>
  <si>
    <t>104.090</t>
  </si>
  <si>
    <t>05.07.2019</t>
  </si>
  <si>
    <t>103.628</t>
  </si>
  <si>
    <t>04.07.2019</t>
  </si>
  <si>
    <t>102.047</t>
  </si>
  <si>
    <t>03.07.2019</t>
  </si>
  <si>
    <t>100.576</t>
  </si>
  <si>
    <t>02.07.2019</t>
  </si>
  <si>
    <t>101.342</t>
  </si>
  <si>
    <t>01.07.2019</t>
  </si>
  <si>
    <t>100.973</t>
  </si>
  <si>
    <t>28.06.2019</t>
  </si>
  <si>
    <t>100.726</t>
  </si>
  <si>
    <t>27.06.2019</t>
  </si>
  <si>
    <t>100.689</t>
  </si>
  <si>
    <t>26.06.2019</t>
  </si>
  <si>
    <t>100.095</t>
  </si>
  <si>
    <t>25.06.2019</t>
  </si>
  <si>
    <t>102.061</t>
  </si>
  <si>
    <t>24.06.2019</t>
  </si>
  <si>
    <t>102.018</t>
  </si>
  <si>
    <t>21.06.2019</t>
  </si>
  <si>
    <t>100.305</t>
  </si>
  <si>
    <t>19.06.2019</t>
  </si>
  <si>
    <t>99.403</t>
  </si>
  <si>
    <t>18.06.2019</t>
  </si>
  <si>
    <t>97.633</t>
  </si>
  <si>
    <t>17.06.2019</t>
  </si>
  <si>
    <t>98.038</t>
  </si>
  <si>
    <t>14.06.2019</t>
  </si>
  <si>
    <t>98.776</t>
  </si>
  <si>
    <t>13.06.2019</t>
  </si>
  <si>
    <t>98.321</t>
  </si>
  <si>
    <t>12.06.2019</t>
  </si>
  <si>
    <t>98.960</t>
  </si>
  <si>
    <t>11.06.2019</t>
  </si>
  <si>
    <t>97.467</t>
  </si>
  <si>
    <t>10.06.2019</t>
  </si>
  <si>
    <t>97.828</t>
  </si>
  <si>
    <t>07.06.2019</t>
  </si>
  <si>
    <t>97.205</t>
  </si>
  <si>
    <t>06.06.2019</t>
  </si>
  <si>
    <t>96.002</t>
  </si>
  <si>
    <t>05.06.2019</t>
  </si>
  <si>
    <t>97.381</t>
  </si>
  <si>
    <t>04.06.2019</t>
  </si>
  <si>
    <t>97.020</t>
  </si>
  <si>
    <t>03.06.2019</t>
  </si>
  <si>
    <t>97.036</t>
  </si>
  <si>
    <t>31.05.2019</t>
  </si>
  <si>
    <t>97.420</t>
  </si>
  <si>
    <t>30.05.2019</t>
  </si>
  <si>
    <t>96.566</t>
  </si>
  <si>
    <t>29.05.2019</t>
  </si>
  <si>
    <t>96.389</t>
  </si>
  <si>
    <t>28.05.2019</t>
  </si>
  <si>
    <t>94.863</t>
  </si>
  <si>
    <t>27.05.2019</t>
  </si>
  <si>
    <t>93.626</t>
  </si>
  <si>
    <t>24.05.2019</t>
  </si>
  <si>
    <t>93.912</t>
  </si>
  <si>
    <t>23.05.2019</t>
  </si>
  <si>
    <t>94.360</t>
  </si>
  <si>
    <t>22.05.2019</t>
  </si>
  <si>
    <t>94.485</t>
  </si>
  <si>
    <t>21.05.2019</t>
  </si>
  <si>
    <t>91.946</t>
  </si>
  <si>
    <t>20.05.2019</t>
  </si>
  <si>
    <t>90.006</t>
  </si>
  <si>
    <t>17.05.2019</t>
  </si>
  <si>
    <t>90.023</t>
  </si>
  <si>
    <t>16.05.2019</t>
  </si>
  <si>
    <t>91.622</t>
  </si>
  <si>
    <t>15.05.2019</t>
  </si>
  <si>
    <t>92.088</t>
  </si>
  <si>
    <t>14.05.2019</t>
  </si>
  <si>
    <t>91.736</t>
  </si>
  <si>
    <t>13.05.2019</t>
  </si>
  <si>
    <t>94.252</t>
  </si>
  <si>
    <t>10.05.2019</t>
  </si>
  <si>
    <t>94.809</t>
  </si>
  <si>
    <t>09.05.2019</t>
  </si>
  <si>
    <t>95.597</t>
  </si>
  <si>
    <t>08.05.2019</t>
  </si>
  <si>
    <t>94.389</t>
  </si>
  <si>
    <t>07.05.2019</t>
  </si>
  <si>
    <t>95.009</t>
  </si>
  <si>
    <t>06.05.2019</t>
  </si>
  <si>
    <t>03.05.2019</t>
  </si>
  <si>
    <t>95.521</t>
  </si>
  <si>
    <t>02.05.2019</t>
  </si>
  <si>
    <t>96.339</t>
  </si>
  <si>
    <t>30.04.2019</t>
  </si>
  <si>
    <t>96.191</t>
  </si>
  <si>
    <t>29.04.2019</t>
  </si>
  <si>
    <t>96.254</t>
  </si>
  <si>
    <t>26.04.2019</t>
  </si>
  <si>
    <t>96.552</t>
  </si>
  <si>
    <t>25.04.2019</t>
  </si>
  <si>
    <t>95.027</t>
  </si>
  <si>
    <t>24.04.2019</t>
  </si>
  <si>
    <t>95.923</t>
  </si>
  <si>
    <t>23.04.2019</t>
  </si>
  <si>
    <t>94.590</t>
  </si>
  <si>
    <t>22.04.2019</t>
  </si>
  <si>
    <t>94.578</t>
  </si>
  <si>
    <t>18.04.2019</t>
  </si>
  <si>
    <t>93.285</t>
  </si>
  <si>
    <t>17.04.2019</t>
  </si>
  <si>
    <t>94.337</t>
  </si>
  <si>
    <t>16.04.2019</t>
  </si>
  <si>
    <t>93.082</t>
  </si>
  <si>
    <t>15.04.2019</t>
  </si>
  <si>
    <t>92.875</t>
  </si>
  <si>
    <t>12.04.2019</t>
  </si>
  <si>
    <t>94.747</t>
  </si>
  <si>
    <t>11.04.2019</t>
  </si>
  <si>
    <t>95.954</t>
  </si>
  <si>
    <t>10.04.2019</t>
  </si>
  <si>
    <t>96.292</t>
  </si>
  <si>
    <t>09.04.2019</t>
  </si>
  <si>
    <t>97.366</t>
  </si>
  <si>
    <t>08.04.2019</t>
  </si>
  <si>
    <t>97.110</t>
  </si>
  <si>
    <t>05.04.2019</t>
  </si>
  <si>
    <t>96.319</t>
  </si>
  <si>
    <t>04.04.2019</t>
  </si>
  <si>
    <t>94.503</t>
  </si>
  <si>
    <t>03.04.2019</t>
  </si>
  <si>
    <t>95.392</t>
  </si>
  <si>
    <t>02.04.2019</t>
  </si>
  <si>
    <t>96.062</t>
  </si>
  <si>
    <t>01.04.2019</t>
  </si>
  <si>
    <t>95.423</t>
  </si>
  <si>
    <t>29.03.2019</t>
  </si>
  <si>
    <t>94.402</t>
  </si>
  <si>
    <t>28.03.2019</t>
  </si>
  <si>
    <t>91.901</t>
  </si>
  <si>
    <t>27.03.2019</t>
  </si>
  <si>
    <t>95.297</t>
  </si>
  <si>
    <t>26.03.2019</t>
  </si>
  <si>
    <t>93.668</t>
  </si>
  <si>
    <t>25.03.2019</t>
  </si>
  <si>
    <t>93.735</t>
  </si>
  <si>
    <t>22.03.2019</t>
  </si>
  <si>
    <t>96.725</t>
  </si>
  <si>
    <t>21.03.2019</t>
  </si>
  <si>
    <t>98.041</t>
  </si>
  <si>
    <t>20.03.2019</t>
  </si>
  <si>
    <t>99.588</t>
  </si>
  <si>
    <t>19.03.2019</t>
  </si>
  <si>
    <t>99.991</t>
  </si>
  <si>
    <t>18.03.2019</t>
  </si>
  <si>
    <t>99.141</t>
  </si>
  <si>
    <t>15.03.2019</t>
  </si>
  <si>
    <t>98.605</t>
  </si>
  <si>
    <t>14.03.2019</t>
  </si>
  <si>
    <t>98.905</t>
  </si>
  <si>
    <t>13.03.2019</t>
  </si>
  <si>
    <t>97.831</t>
  </si>
  <si>
    <t>12.03.2019</t>
  </si>
  <si>
    <t>11.03.2019</t>
  </si>
  <si>
    <t>95.384</t>
  </si>
  <si>
    <t>08.03.2019</t>
  </si>
  <si>
    <t>94.340</t>
  </si>
  <si>
    <t>07.03.2019</t>
  </si>
  <si>
    <t>94.216</t>
  </si>
  <si>
    <t>06.03.2019</t>
  </si>
  <si>
    <t>01.03.2019</t>
  </si>
  <si>
    <t>95.584</t>
  </si>
  <si>
    <t>28.02.2019</t>
  </si>
  <si>
    <t>97.307</t>
  </si>
  <si>
    <t>27.02.2019</t>
  </si>
  <si>
    <t>97.602</t>
  </si>
  <si>
    <t>26.02.2019</t>
  </si>
  <si>
    <t>97.242</t>
  </si>
  <si>
    <t>25.02.2019</t>
  </si>
  <si>
    <t>97.881</t>
  </si>
  <si>
    <t>22.02.2019</t>
  </si>
  <si>
    <t>96.929</t>
  </si>
  <si>
    <t>21.02.2019</t>
  </si>
  <si>
    <t>96.546</t>
  </si>
  <si>
    <t>20.02.2019</t>
  </si>
  <si>
    <t>97.661</t>
  </si>
  <si>
    <t>19.02.2019</t>
  </si>
  <si>
    <t>96.513</t>
  </si>
  <si>
    <t>18.02.2019</t>
  </si>
  <si>
    <t>97.527</t>
  </si>
  <si>
    <t>15.02.2019</t>
  </si>
  <si>
    <t>98.015</t>
  </si>
  <si>
    <t>14.02.2019</t>
  </si>
  <si>
    <t>95.843</t>
  </si>
  <si>
    <t>13.02.2019</t>
  </si>
  <si>
    <t>96.169</t>
  </si>
  <si>
    <t>12.02.2019</t>
  </si>
  <si>
    <t>94.420</t>
  </si>
  <si>
    <t>11.02.2019</t>
  </si>
  <si>
    <t>95.351</t>
  </si>
  <si>
    <t>08.02.2019</t>
  </si>
  <si>
    <t>94.401</t>
  </si>
  <si>
    <t>07.02.2019</t>
  </si>
  <si>
    <t>94.654</t>
  </si>
  <si>
    <t>06.02.2019</t>
  </si>
  <si>
    <t>98.308</t>
  </si>
  <si>
    <t>05.02.2019</t>
  </si>
  <si>
    <t>98.587</t>
  </si>
  <si>
    <t>04.02.2019</t>
  </si>
  <si>
    <t>97.861</t>
  </si>
  <si>
    <t>01.02.2019</t>
  </si>
  <si>
    <t>97.395</t>
  </si>
  <si>
    <t>31.01.2019</t>
  </si>
  <si>
    <t>96.996</t>
  </si>
  <si>
    <t>30.01.2019</t>
  </si>
  <si>
    <t>95.643</t>
  </si>
  <si>
    <t>29.01.2019</t>
  </si>
  <si>
    <t>95.508</t>
  </si>
  <si>
    <t>28.01.2019</t>
  </si>
  <si>
    <t>97.674</t>
  </si>
  <si>
    <t>24.01.2019</t>
  </si>
  <si>
    <t>96.558</t>
  </si>
  <si>
    <t>23.01.2019</t>
  </si>
  <si>
    <t>95.116</t>
  </si>
  <si>
    <t>22.01.2019</t>
  </si>
  <si>
    <t>96.008</t>
  </si>
  <si>
    <t>21.01.2019</t>
  </si>
  <si>
    <t>96.093</t>
  </si>
  <si>
    <t>18.01.2019</t>
  </si>
  <si>
    <t>95.386</t>
  </si>
  <si>
    <t>17.01.2019</t>
  </si>
  <si>
    <t>94.393</t>
  </si>
  <si>
    <t>16.01.2019</t>
  </si>
  <si>
    <t>94.057</t>
  </si>
  <si>
    <t>15.01.2019</t>
  </si>
  <si>
    <t>94.474</t>
  </si>
  <si>
    <t>14.01.2019</t>
  </si>
  <si>
    <t>93.645</t>
  </si>
  <si>
    <t>11.01.2019</t>
  </si>
  <si>
    <t>93.806</t>
  </si>
  <si>
    <t>10.01.2019</t>
  </si>
  <si>
    <t>93.599</t>
  </si>
  <si>
    <t>09.01.2019</t>
  </si>
  <si>
    <t>92.033</t>
  </si>
  <si>
    <t>08.01.2019</t>
  </si>
  <si>
    <t>91.699</t>
  </si>
  <si>
    <t>07.01.2019</t>
  </si>
  <si>
    <t>91.845</t>
  </si>
  <si>
    <t>04.01.2019</t>
  </si>
  <si>
    <t>91.577</t>
  </si>
  <si>
    <t>03.01.2019</t>
  </si>
  <si>
    <t>91.011</t>
  </si>
  <si>
    <t>02.01.2019</t>
  </si>
  <si>
    <t>87.887</t>
  </si>
  <si>
    <t>28.12.2018</t>
  </si>
  <si>
    <t>85.469</t>
  </si>
  <si>
    <t>27.12.2018</t>
  </si>
  <si>
    <t>85.141</t>
  </si>
  <si>
    <t>26.12.2018</t>
  </si>
  <si>
    <t>85.684</t>
  </si>
  <si>
    <t>21.12.2018</t>
  </si>
  <si>
    <t>85.269</t>
  </si>
  <si>
    <t>20.12.2018</t>
  </si>
  <si>
    <t>85.678</t>
  </si>
  <si>
    <t>19.12.2018</t>
  </si>
  <si>
    <t>86.617</t>
  </si>
  <si>
    <t>18.12.2018</t>
  </si>
  <si>
    <t>86.400</t>
  </si>
  <si>
    <t>17.12.2018</t>
  </si>
  <si>
    <t>87.448</t>
  </si>
  <si>
    <t>14.12.2018</t>
  </si>
  <si>
    <t>87.838</t>
  </si>
  <si>
    <t>13.12.2018</t>
  </si>
  <si>
    <t>86.979</t>
  </si>
  <si>
    <t>12.12.2018</t>
  </si>
  <si>
    <t>86.420</t>
  </si>
  <si>
    <t>11.12.2018</t>
  </si>
  <si>
    <t>85.918</t>
  </si>
  <si>
    <t>10.12.2018</t>
  </si>
  <si>
    <t>88.115</t>
  </si>
  <si>
    <t>07.12.2018</t>
  </si>
  <si>
    <t>88.849</t>
  </si>
  <si>
    <t>06.12.2018</t>
  </si>
  <si>
    <t>88.933</t>
  </si>
  <si>
    <t>05.12.2018</t>
  </si>
  <si>
    <t>88.644</t>
  </si>
  <si>
    <t>04.12.2018</t>
  </si>
  <si>
    <t>89.820</t>
  </si>
  <si>
    <t>03.12.2018</t>
  </si>
  <si>
    <t>89.511</t>
  </si>
  <si>
    <t>30.11.2018</t>
  </si>
  <si>
    <t>89.709</t>
  </si>
  <si>
    <t>29.11.2018</t>
  </si>
  <si>
    <t>89.249</t>
  </si>
  <si>
    <t>28.11.2018</t>
  </si>
  <si>
    <t>87.891</t>
  </si>
  <si>
    <t>27.11.2018</t>
  </si>
  <si>
    <t>85.547</t>
  </si>
  <si>
    <t>26.11.2018</t>
  </si>
  <si>
    <t>86.237</t>
  </si>
  <si>
    <t>23.11.2018</t>
  </si>
  <si>
    <t>87.479</t>
  </si>
  <si>
    <t>22.11.2018</t>
  </si>
  <si>
    <t>87.269</t>
  </si>
  <si>
    <t>21.11.2018</t>
  </si>
  <si>
    <t>87.896</t>
  </si>
  <si>
    <t>19.11.2018</t>
  </si>
  <si>
    <t>88.472</t>
  </si>
  <si>
    <t>16.11.2018</t>
  </si>
  <si>
    <t>85.975</t>
  </si>
  <si>
    <t>14.11.2018</t>
  </si>
  <si>
    <t>84.898</t>
  </si>
  <si>
    <t>13.11.2018</t>
  </si>
  <si>
    <t>85.531</t>
  </si>
  <si>
    <t>12.11.2018</t>
  </si>
  <si>
    <t>85.644</t>
  </si>
  <si>
    <t>09.11.2018</t>
  </si>
  <si>
    <t>85.620</t>
  </si>
  <si>
    <t>08.11.2018</t>
  </si>
  <si>
    <t>87.719</t>
  </si>
  <si>
    <t>07.11.2018</t>
  </si>
  <si>
    <t>88.676</t>
  </si>
  <si>
    <t>06.11.2018</t>
  </si>
  <si>
    <t>89.587</t>
  </si>
  <si>
    <t>05.11.2018</t>
  </si>
  <si>
    <t>88.418</t>
  </si>
  <si>
    <t>01.11.2018</t>
  </si>
  <si>
    <t>87.428</t>
  </si>
  <si>
    <t>31.10.2018</t>
  </si>
  <si>
    <t>86.889</t>
  </si>
  <si>
    <t>30.10.2018</t>
  </si>
  <si>
    <t>83.802</t>
  </si>
  <si>
    <t>29.10.2018</t>
  </si>
  <si>
    <t>85.728</t>
  </si>
  <si>
    <t>26.10.2018</t>
  </si>
  <si>
    <t>84.084</t>
  </si>
  <si>
    <t>25.10.2018</t>
  </si>
  <si>
    <t>83.124</t>
  </si>
  <si>
    <t>24.10.2018</t>
  </si>
  <si>
    <t>85.302</t>
  </si>
  <si>
    <t>23.10.2018</t>
  </si>
  <si>
    <t>85.595</t>
  </si>
  <si>
    <t>22.10.2018</t>
  </si>
  <si>
    <t>84.222</t>
  </si>
  <si>
    <t>19.10.2018</t>
  </si>
  <si>
    <t>83.845</t>
  </si>
  <si>
    <t>18.10.2018</t>
  </si>
  <si>
    <t>85.760</t>
  </si>
  <si>
    <t>17.10.2018</t>
  </si>
  <si>
    <t>85.714</t>
  </si>
  <si>
    <t>16.10.2018</t>
  </si>
  <si>
    <t>83.420</t>
  </si>
  <si>
    <t>15.10.2018</t>
  </si>
  <si>
    <t>82.922</t>
  </si>
  <si>
    <t>11.10.2018</t>
  </si>
  <si>
    <t>83.700</t>
  </si>
  <si>
    <t>10.10.2018</t>
  </si>
  <si>
    <t>86.084</t>
  </si>
  <si>
    <t>09.10.2018</t>
  </si>
  <si>
    <t>86.053</t>
  </si>
  <si>
    <t>08.10.2018</t>
  </si>
  <si>
    <t>82.324</t>
  </si>
  <si>
    <t>05.10.2018</t>
  </si>
  <si>
    <t>82.972</t>
  </si>
  <si>
    <t>04.10.2018</t>
  </si>
  <si>
    <t>83.275</t>
  </si>
  <si>
    <t>03.10.2018</t>
  </si>
  <si>
    <t>81.624</t>
  </si>
  <si>
    <t>02.10.2018</t>
  </si>
  <si>
    <t>78.625</t>
  </si>
  <si>
    <t>01.10.2018</t>
  </si>
  <si>
    <t>79.350</t>
  </si>
  <si>
    <t>28.09.2018</t>
  </si>
  <si>
    <t>80.000</t>
  </si>
  <si>
    <t>27.09.2018</t>
  </si>
  <si>
    <t>78.676</t>
  </si>
  <si>
    <t>26.09.2018</t>
  </si>
  <si>
    <t>78.634</t>
  </si>
  <si>
    <t>25.09.2018</t>
  </si>
  <si>
    <t>77.980</t>
  </si>
  <si>
    <t>24.09.2018</t>
  </si>
  <si>
    <t>79.447</t>
  </si>
  <si>
    <t>21.09.2018</t>
  </si>
  <si>
    <t>78.116</t>
  </si>
  <si>
    <t>20.09.2018</t>
  </si>
  <si>
    <t>78.169</t>
  </si>
  <si>
    <t>19.09.2018</t>
  </si>
  <si>
    <t>78.268</t>
  </si>
  <si>
    <t>18.09.2018</t>
  </si>
  <si>
    <t>76.781</t>
  </si>
  <si>
    <t>17.09.2018</t>
  </si>
  <si>
    <t>75.428</t>
  </si>
  <si>
    <t>14.09.2018</t>
  </si>
  <si>
    <t>74.687</t>
  </si>
  <si>
    <t>13.09.2018</t>
  </si>
  <si>
    <t>75.126</t>
  </si>
  <si>
    <t>12.09.2018</t>
  </si>
  <si>
    <t>74.680</t>
  </si>
  <si>
    <t>11.09.2018</t>
  </si>
  <si>
    <t>76.437</t>
  </si>
  <si>
    <t>10.09.2018</t>
  </si>
  <si>
    <t>76.416</t>
  </si>
  <si>
    <t>06.09.2018</t>
  </si>
  <si>
    <t>75.098</t>
  </si>
  <si>
    <t>05.09.2018</t>
  </si>
  <si>
    <t>74.712</t>
  </si>
  <si>
    <t>04.09.2018</t>
  </si>
  <si>
    <t>76.192</t>
  </si>
  <si>
    <t>03.09.2018</t>
  </si>
  <si>
    <t>76.675</t>
  </si>
  <si>
    <t>31.08.2018</t>
  </si>
  <si>
    <t>76.386</t>
  </si>
  <si>
    <t>30.08.2018</t>
  </si>
  <si>
    <t>78.389</t>
  </si>
  <si>
    <t>29.08.2018</t>
  </si>
  <si>
    <t>77.472</t>
  </si>
  <si>
    <t>28.08.2018</t>
  </si>
  <si>
    <t>77.928</t>
  </si>
  <si>
    <t>27.08.2018</t>
  </si>
  <si>
    <t>76.264</t>
  </si>
  <si>
    <t>24.08.2018</t>
  </si>
  <si>
    <t>75.647</t>
  </si>
  <si>
    <t>23.08.2018</t>
  </si>
  <si>
    <t>76.898</t>
  </si>
  <si>
    <t>22.08.2018</t>
  </si>
  <si>
    <t>75.171</t>
  </si>
  <si>
    <t>21.08.2018</t>
  </si>
  <si>
    <t>76.327</t>
  </si>
  <si>
    <t>20.08.2018</t>
  </si>
  <si>
    <t>76.029</t>
  </si>
  <si>
    <t>17.08.2018</t>
  </si>
  <si>
    <t>76.817</t>
  </si>
  <si>
    <t>16.08.2018</t>
  </si>
  <si>
    <t>77.085</t>
  </si>
  <si>
    <t>15.08.2018</t>
  </si>
  <si>
    <t>78.614</t>
  </si>
  <si>
    <t>14.08.2018</t>
  </si>
  <si>
    <t>77.499</t>
  </si>
  <si>
    <t>13.08.2018</t>
  </si>
  <si>
    <t>76.513</t>
  </si>
  <si>
    <t>10.08.2018</t>
  </si>
  <si>
    <t>78.766</t>
  </si>
  <si>
    <t>09.08.2018</t>
  </si>
  <si>
    <t>79.171</t>
  </si>
  <si>
    <t>08.08.2018</t>
  </si>
  <si>
    <t>80.347</t>
  </si>
  <si>
    <t>07.08.2018</t>
  </si>
  <si>
    <t>81.093</t>
  </si>
  <si>
    <t>06.08.2018</t>
  </si>
  <si>
    <t>81.445</t>
  </si>
  <si>
    <t>03.08.2018</t>
  </si>
  <si>
    <t>79.656</t>
  </si>
  <si>
    <t>02.08.2018</t>
  </si>
  <si>
    <t>79.237</t>
  </si>
  <si>
    <t>01.08.2018</t>
  </si>
  <si>
    <t>79.213</t>
  </si>
  <si>
    <t>31.07.2018</t>
  </si>
  <si>
    <t>80.279</t>
  </si>
  <si>
    <t>30.07.2018</t>
  </si>
  <si>
    <t>79.866</t>
  </si>
  <si>
    <t>27.07.2018</t>
  </si>
  <si>
    <t>79.405</t>
  </si>
  <si>
    <t>26.07.2018</t>
  </si>
  <si>
    <t>80.242</t>
  </si>
  <si>
    <t>25.07.2018</t>
  </si>
  <si>
    <t>79.154</t>
  </si>
  <si>
    <t>24.07.2018</t>
  </si>
  <si>
    <t>78.005</t>
  </si>
  <si>
    <t>23.07.2018</t>
  </si>
  <si>
    <t>78.571</t>
  </si>
  <si>
    <t>20.07.2018</t>
  </si>
  <si>
    <t>77.500</t>
  </si>
  <si>
    <t>19.07.2018</t>
  </si>
  <si>
    <t>77.360</t>
  </si>
  <si>
    <t>18.07.2018</t>
  </si>
  <si>
    <t>78.124</t>
  </si>
  <si>
    <t>17.07.2018</t>
  </si>
  <si>
    <t>76.653</t>
  </si>
  <si>
    <t>16.07.2018</t>
  </si>
  <si>
    <t>76.587</t>
  </si>
  <si>
    <t>13.07.2018</t>
  </si>
  <si>
    <t>75.856</t>
  </si>
  <si>
    <t>12.07.2018</t>
  </si>
  <si>
    <t>74.403</t>
  </si>
  <si>
    <t>11.07.2018</t>
  </si>
  <si>
    <t>74.862</t>
  </si>
  <si>
    <t>10.07.2018</t>
  </si>
  <si>
    <t>75.015</t>
  </si>
  <si>
    <t>06.07.2018</t>
  </si>
  <si>
    <t>74.558</t>
  </si>
  <si>
    <t>05.07.2018</t>
  </si>
  <si>
    <t>74.751</t>
  </si>
  <si>
    <t>04.07.2018</t>
  </si>
  <si>
    <t>73.667</t>
  </si>
  <si>
    <t>03.07.2018</t>
  </si>
  <si>
    <t>72.848</t>
  </si>
  <si>
    <t>02.07.2018</t>
  </si>
  <si>
    <t>72.763</t>
  </si>
  <si>
    <t>29.06.2018</t>
  </si>
  <si>
    <t>71.779</t>
  </si>
  <si>
    <t>28.06.2018</t>
  </si>
  <si>
    <t>70.609</t>
  </si>
  <si>
    <t>27.06.2018</t>
  </si>
  <si>
    <t>71.405</t>
  </si>
  <si>
    <t>26.06.2018</t>
  </si>
  <si>
    <t>70.968</t>
  </si>
  <si>
    <t>25.06.2018</t>
  </si>
  <si>
    <t>70.642</t>
  </si>
  <si>
    <t>22.06.2018</t>
  </si>
  <si>
    <t>70.077</t>
  </si>
  <si>
    <t>21.06.2018</t>
  </si>
  <si>
    <t>72.117</t>
  </si>
  <si>
    <t>20.06.2018</t>
  </si>
  <si>
    <t>71.397</t>
  </si>
  <si>
    <t>19.06.2018</t>
  </si>
  <si>
    <t>69.811</t>
  </si>
  <si>
    <t>18.06.2018</t>
  </si>
  <si>
    <t>70.757</t>
  </si>
  <si>
    <t>15.06.2018</t>
  </si>
  <si>
    <t>71.421</t>
  </si>
  <si>
    <t>14.06.2018</t>
  </si>
  <si>
    <t>72.151</t>
  </si>
  <si>
    <t>13.06.2018</t>
  </si>
  <si>
    <t>72.757</t>
  </si>
  <si>
    <t>12.06.2018</t>
  </si>
  <si>
    <t>72.308</t>
  </si>
  <si>
    <t>11.06.2018</t>
  </si>
  <si>
    <t>72.943</t>
  </si>
  <si>
    <t>08.06.2018</t>
  </si>
  <si>
    <t>73.848</t>
  </si>
  <si>
    <t>07.06.2018</t>
  </si>
  <si>
    <t>76.117</t>
  </si>
  <si>
    <t>06.06.2018</t>
  </si>
  <si>
    <t>76.641</t>
  </si>
  <si>
    <t>05.06.2018</t>
  </si>
  <si>
    <t>78.595</t>
  </si>
  <si>
    <t>04.06.2018</t>
  </si>
  <si>
    <t>77.244</t>
  </si>
  <si>
    <t>01.06.2018</t>
  </si>
  <si>
    <t>76.779</t>
  </si>
  <si>
    <t>30.05.2018</t>
  </si>
  <si>
    <t>76.058</t>
  </si>
  <si>
    <t>29.05.2018</t>
  </si>
  <si>
    <t>75.361</t>
  </si>
  <si>
    <t>28.05.2018</t>
  </si>
  <si>
    <t>78.886</t>
  </si>
  <si>
    <t>25.05.2018</t>
  </si>
  <si>
    <t>80.123</t>
  </si>
  <si>
    <t>24.05.2018</t>
  </si>
  <si>
    <t>80.860</t>
  </si>
  <si>
    <t>23.05.2018</t>
  </si>
  <si>
    <t>82.742</t>
  </si>
  <si>
    <t>22.05.2018</t>
  </si>
  <si>
    <t>81.817</t>
  </si>
  <si>
    <t>21.05.2018</t>
  </si>
  <si>
    <t>83.095</t>
  </si>
  <si>
    <t>18.05.2018</t>
  </si>
  <si>
    <t>83.614</t>
  </si>
  <si>
    <t>17.05.2018</t>
  </si>
  <si>
    <t>86.537</t>
  </si>
  <si>
    <t>16.05.2018</t>
  </si>
  <si>
    <t>85.122</t>
  </si>
  <si>
    <t>15.05.2018</t>
  </si>
  <si>
    <t>85.225</t>
  </si>
  <si>
    <t>14.05.2018</t>
  </si>
  <si>
    <t>85.222</t>
  </si>
  <si>
    <t>11.05.2018</t>
  </si>
  <si>
    <t>85.861</t>
  </si>
  <si>
    <t>10.05.2018</t>
  </si>
  <si>
    <t>84.284</t>
  </si>
  <si>
    <t>09.05.2018</t>
  </si>
  <si>
    <t>82.977</t>
  </si>
  <si>
    <t>08.05.2018</t>
  </si>
  <si>
    <t>82.715</t>
  </si>
  <si>
    <t>07.05.2018</t>
  </si>
  <si>
    <t>83.122</t>
  </si>
  <si>
    <t>04.05.2018</t>
  </si>
  <si>
    <t>83.286</t>
  </si>
  <si>
    <t>03.05.2018</t>
  </si>
  <si>
    <t>84.547</t>
  </si>
  <si>
    <t>02.05.2018</t>
  </si>
  <si>
    <t>86.111</t>
  </si>
  <si>
    <t>30.04.2018</t>
  </si>
  <si>
    <t>86.443</t>
  </si>
  <si>
    <t>27.04.2018</t>
  </si>
  <si>
    <t>86.383</t>
  </si>
  <si>
    <t>26.04.2018</t>
  </si>
  <si>
    <t>85.051</t>
  </si>
  <si>
    <t>25.04.2018</t>
  </si>
  <si>
    <t>85.466</t>
  </si>
  <si>
    <t>24.04.2018</t>
  </si>
  <si>
    <t>85.603</t>
  </si>
  <si>
    <t>23.04.2018</t>
  </si>
  <si>
    <t>85.520</t>
  </si>
  <si>
    <t>20.04.2018</t>
  </si>
  <si>
    <t>85.823</t>
  </si>
  <si>
    <t>19.04.2018</t>
  </si>
  <si>
    <t>85.775</t>
  </si>
  <si>
    <t>18.04.2018</t>
  </si>
  <si>
    <t>84.090</t>
  </si>
  <si>
    <t>17.04.2018</t>
  </si>
  <si>
    <t>82.862</t>
  </si>
  <si>
    <t>16.04.2018</t>
  </si>
  <si>
    <t>84.328</t>
  </si>
  <si>
    <t>13.04.2018</t>
  </si>
  <si>
    <t>85.441</t>
  </si>
  <si>
    <t>12.04.2018</t>
  </si>
  <si>
    <t>85.246</t>
  </si>
  <si>
    <t>11.04.2018</t>
  </si>
  <si>
    <t>84.494</t>
  </si>
  <si>
    <t>10.04.2018</t>
  </si>
  <si>
    <t>83.312</t>
  </si>
  <si>
    <t>09.04.2018</t>
  </si>
  <si>
    <t>84.832</t>
  </si>
  <si>
    <t>06.04.2018</t>
  </si>
  <si>
    <t>85.210</t>
  </si>
  <si>
    <t>05.04.2018</t>
  </si>
  <si>
    <t>84.374</t>
  </si>
  <si>
    <t>04.04.2018</t>
  </si>
  <si>
    <t>84.610</t>
  </si>
  <si>
    <t>03.04.2018</t>
  </si>
  <si>
    <t>84.669</t>
  </si>
  <si>
    <t>02.04.2018</t>
  </si>
  <si>
    <t>85.365</t>
  </si>
  <si>
    <t>29.03.2018</t>
  </si>
  <si>
    <t>83.874</t>
  </si>
  <si>
    <t>28.03.2018</t>
  </si>
  <si>
    <t>83.806</t>
  </si>
  <si>
    <t>27.03.2018</t>
  </si>
  <si>
    <t>26.03.2018</t>
  </si>
  <si>
    <t>84.377</t>
  </si>
  <si>
    <t>23.03.2018</t>
  </si>
  <si>
    <t>84.766</t>
  </si>
  <si>
    <t>22.03.2018</t>
  </si>
  <si>
    <t>84.984</t>
  </si>
  <si>
    <t>21.03.2018</t>
  </si>
  <si>
    <t>84.166</t>
  </si>
  <si>
    <t>20.03.2018</t>
  </si>
  <si>
    <t>83.919</t>
  </si>
  <si>
    <t>19.03.2018</t>
  </si>
  <si>
    <t>84.886</t>
  </si>
  <si>
    <t>16.03.2018</t>
  </si>
  <si>
    <t>84.928</t>
  </si>
  <si>
    <t>15.03.2018</t>
  </si>
  <si>
    <t>86.051</t>
  </si>
  <si>
    <t>14.03.2018</t>
  </si>
  <si>
    <t>13.03.2018</t>
  </si>
  <si>
    <t>86.902</t>
  </si>
  <si>
    <t>12.03.2018</t>
  </si>
  <si>
    <t>86.386</t>
  </si>
  <si>
    <t>09.03.2018</t>
  </si>
  <si>
    <t>84.987</t>
  </si>
  <si>
    <t>08.03.2018</t>
  </si>
  <si>
    <t>85.510</t>
  </si>
  <si>
    <t>07.03.2018</t>
  </si>
  <si>
    <t>85.653</t>
  </si>
  <si>
    <t>06.03.2018</t>
  </si>
  <si>
    <t>86.023</t>
  </si>
  <si>
    <t>05.03.2018</t>
  </si>
  <si>
    <t>85.761</t>
  </si>
  <si>
    <t>02.03.2018</t>
  </si>
  <si>
    <t>85.378</t>
  </si>
  <si>
    <t>01.03.2018</t>
  </si>
  <si>
    <t>85.337</t>
  </si>
  <si>
    <t>28.02.2018</t>
  </si>
  <si>
    <t>86.939</t>
  </si>
  <si>
    <t>27.02.2018</t>
  </si>
  <si>
    <t>87.649</t>
  </si>
  <si>
    <t>26.02.2018</t>
  </si>
  <si>
    <t>87.296</t>
  </si>
  <si>
    <t>23.02.2018</t>
  </si>
  <si>
    <t>86.690</t>
  </si>
  <si>
    <t>22.02.2018</t>
  </si>
  <si>
    <t>86.050</t>
  </si>
  <si>
    <t>21.02.2018</t>
  </si>
  <si>
    <t>85.804</t>
  </si>
  <si>
    <t>20.02.2018</t>
  </si>
  <si>
    <t>84.792</t>
  </si>
  <si>
    <t>19.02.2018</t>
  </si>
  <si>
    <t>84.525</t>
  </si>
  <si>
    <t>16.02.2018</t>
  </si>
  <si>
    <t>84.291</t>
  </si>
  <si>
    <t>15.02.2018</t>
  </si>
  <si>
    <t>83.551</t>
  </si>
  <si>
    <t>14.02.2018</t>
  </si>
  <si>
    <t>80.901</t>
  </si>
  <si>
    <t>09.02.2018</t>
  </si>
  <si>
    <t>81.532</t>
  </si>
  <si>
    <t>08.02.2018</t>
  </si>
  <si>
    <t>82.773</t>
  </si>
  <si>
    <t>07.02.2018</t>
  </si>
  <si>
    <t>83.894</t>
  </si>
  <si>
    <t>06.02.2018</t>
  </si>
  <si>
    <t>81.857</t>
  </si>
  <si>
    <t>05.02.2018</t>
  </si>
  <si>
    <t>84.040</t>
  </si>
  <si>
    <t>02.02.2018</t>
  </si>
  <si>
    <t>85.495</t>
  </si>
  <si>
    <t>01.02.2018</t>
  </si>
  <si>
    <t>84.913</t>
  </si>
  <si>
    <t>31.01.2018</t>
  </si>
  <si>
    <t>84.485</t>
  </si>
  <si>
    <t>30.01.2018</t>
  </si>
  <si>
    <t>84.697</t>
  </si>
  <si>
    <t>29.01.2018</t>
  </si>
  <si>
    <t>26.01.2018</t>
  </si>
  <si>
    <t>83.680</t>
  </si>
  <si>
    <t>24.01.2018</t>
  </si>
  <si>
    <t>80.679</t>
  </si>
  <si>
    <t>23.01.2018</t>
  </si>
  <si>
    <t>81.676</t>
  </si>
  <si>
    <t>22.01.2018</t>
  </si>
  <si>
    <t>81.220</t>
  </si>
  <si>
    <t>19.01.2018</t>
  </si>
  <si>
    <t>80.965</t>
  </si>
  <si>
    <t>18.01.2018</t>
  </si>
  <si>
    <t>81.185</t>
  </si>
  <si>
    <t>17.01.2018</t>
  </si>
  <si>
    <t>79.832</t>
  </si>
  <si>
    <t>16.01.2018</t>
  </si>
  <si>
    <t>79.751</t>
  </si>
  <si>
    <t>15.01.2018</t>
  </si>
  <si>
    <t>79.349</t>
  </si>
  <si>
    <t>12.01.2018</t>
  </si>
  <si>
    <t>79.365</t>
  </si>
  <si>
    <t>11.01.2018</t>
  </si>
  <si>
    <t>78.201</t>
  </si>
  <si>
    <t>10.01.2018</t>
  </si>
  <si>
    <t>78.864</t>
  </si>
  <si>
    <t>09.01.2018</t>
  </si>
  <si>
    <t>79.379</t>
  </si>
  <si>
    <t>08.01.2018</t>
  </si>
  <si>
    <t>79.070</t>
  </si>
  <si>
    <t>05.01.2018</t>
  </si>
  <si>
    <t>78.644</t>
  </si>
  <si>
    <t>04.01.2018</t>
  </si>
  <si>
    <t>77.998</t>
  </si>
  <si>
    <t>03.01.2018</t>
  </si>
  <si>
    <t>77.889</t>
  </si>
  <si>
    <t>02.01.2018</t>
  </si>
  <si>
    <t>76.403</t>
  </si>
  <si>
    <t>28.12.2017</t>
  </si>
  <si>
    <t>76.077</t>
  </si>
  <si>
    <t>27.12.2017</t>
  </si>
  <si>
    <t>75.708</t>
  </si>
  <si>
    <t>26.12.2017</t>
  </si>
  <si>
    <t>75.187</t>
  </si>
  <si>
    <t>22.12.2017</t>
  </si>
  <si>
    <t>75.128</t>
  </si>
  <si>
    <t>21.12.2017</t>
  </si>
  <si>
    <t>73.367</t>
  </si>
  <si>
    <t>20.12.2017</t>
  </si>
  <si>
    <t>72.680</t>
  </si>
  <si>
    <t>19.12.2017</t>
  </si>
  <si>
    <t>73.122</t>
  </si>
  <si>
    <t>18.12.2017</t>
  </si>
  <si>
    <t>15.12.2017</t>
  </si>
  <si>
    <t>72.428</t>
  </si>
  <si>
    <t>14.12.2017</t>
  </si>
  <si>
    <t>72.913</t>
  </si>
  <si>
    <t>13.12.2017</t>
  </si>
  <si>
    <t>73.827</t>
  </si>
  <si>
    <t>12.12.2017</t>
  </si>
  <si>
    <t>72.800</t>
  </si>
  <si>
    <t>11.12.2017</t>
  </si>
  <si>
    <t>72.775</t>
  </si>
  <si>
    <t>08.12.2017</t>
  </si>
  <si>
    <t>72.489</t>
  </si>
  <si>
    <t>07.12.2017</t>
  </si>
  <si>
    <t>73.268</t>
  </si>
  <si>
    <t>06.12.2017</t>
  </si>
  <si>
    <t>72.535</t>
  </si>
  <si>
    <t>05.12.2017</t>
  </si>
  <si>
    <t>73.090</t>
  </si>
  <si>
    <t>04.12.2017</t>
  </si>
  <si>
    <t>72.266</t>
  </si>
  <si>
    <t>01.12.2017</t>
  </si>
  <si>
    <t>71.955</t>
  </si>
  <si>
    <t>30.11.2017</t>
  </si>
  <si>
    <t>72.700</t>
  </si>
  <si>
    <t>29.11.2017</t>
  </si>
  <si>
    <t>74.146</t>
  </si>
  <si>
    <t>28.11.2017</t>
  </si>
  <si>
    <t>74.060</t>
  </si>
  <si>
    <t>27.11.2017</t>
  </si>
  <si>
    <t>74.157</t>
  </si>
  <si>
    <t>24.11.2017</t>
  </si>
  <si>
    <t>74.503</t>
  </si>
  <si>
    <t>23.11.2017</t>
  </si>
  <si>
    <t>74.519</t>
  </si>
  <si>
    <t>22.11.2017</t>
  </si>
  <si>
    <t>74.611</t>
  </si>
  <si>
    <t>21.11.2017</t>
  </si>
  <si>
    <t>73.439</t>
  </si>
  <si>
    <t>17.11.2017</t>
  </si>
  <si>
    <t>72.512</t>
  </si>
  <si>
    <t>16.11.2017</t>
  </si>
  <si>
    <t>70.827</t>
  </si>
  <si>
    <t>14.11.2017</t>
  </si>
  <si>
    <t>72.442</t>
  </si>
  <si>
    <t>13.11.2017</t>
  </si>
  <si>
    <t>72.167</t>
  </si>
  <si>
    <t>10.11.2017</t>
  </si>
  <si>
    <t>72.932</t>
  </si>
  <si>
    <t>09.11.2017</t>
  </si>
  <si>
    <t>74.363</t>
  </si>
  <si>
    <t>08.11.2017</t>
  </si>
  <si>
    <t>72.468</t>
  </si>
  <si>
    <t>07.11.2017</t>
  </si>
  <si>
    <t>74.306</t>
  </si>
  <si>
    <t>06.11.2017</t>
  </si>
  <si>
    <t>73.911</t>
  </si>
  <si>
    <t>03.11.2017</t>
  </si>
  <si>
    <t>73.834</t>
  </si>
  <si>
    <t>01.11.2017</t>
  </si>
  <si>
    <t>74.310</t>
  </si>
  <si>
    <t>31.10.2017</t>
  </si>
  <si>
    <t>74.798</t>
  </si>
  <si>
    <t>30.10.2017</t>
  </si>
  <si>
    <t>75.973</t>
  </si>
  <si>
    <t>27.10.2017</t>
  </si>
  <si>
    <t>75.898</t>
  </si>
  <si>
    <t>26.10.2017</t>
  </si>
  <si>
    <t>76.671</t>
  </si>
  <si>
    <t>25.10.2017</t>
  </si>
  <si>
    <t>76.350</t>
  </si>
  <si>
    <t>24.10.2017</t>
  </si>
  <si>
    <t>75.426</t>
  </si>
  <si>
    <t>23.10.2017</t>
  </si>
  <si>
    <t>76.398</t>
  </si>
  <si>
    <t>20.10.2017</t>
  </si>
  <si>
    <t>76.291</t>
  </si>
  <si>
    <t>19.10.2017</t>
  </si>
  <si>
    <t>76.591</t>
  </si>
  <si>
    <t>18.10.2017</t>
  </si>
  <si>
    <t>76.211</t>
  </si>
  <si>
    <t>17.10.2017</t>
  </si>
  <si>
    <t>76.892</t>
  </si>
  <si>
    <t>16.10.2017</t>
  </si>
  <si>
    <t>76.985</t>
  </si>
  <si>
    <t>13.10.2017</t>
  </si>
  <si>
    <t>76.659</t>
  </si>
  <si>
    <t>11.10.2017</t>
  </si>
  <si>
    <t>76.910</t>
  </si>
  <si>
    <t>10.10.2017</t>
  </si>
  <si>
    <t>75.745</t>
  </si>
  <si>
    <t>09.10.2017</t>
  </si>
  <si>
    <t>76.055</t>
  </si>
  <si>
    <t>06.10.2017</t>
  </si>
  <si>
    <t>76.618</t>
  </si>
  <si>
    <t>05.10.2017</t>
  </si>
  <si>
    <t>76.592</t>
  </si>
  <si>
    <t>04.10.2017</t>
  </si>
  <si>
    <t>76.763</t>
  </si>
  <si>
    <t>03.10.2017</t>
  </si>
  <si>
    <t>02.10.2017</t>
  </si>
  <si>
    <t>74.295</t>
  </si>
  <si>
    <t>29.09.2017</t>
  </si>
  <si>
    <t>73.571</t>
  </si>
  <si>
    <t>28.09.2017</t>
  </si>
  <si>
    <t>73.808</t>
  </si>
  <si>
    <t>27.09.2017</t>
  </si>
  <si>
    <t>74.358</t>
  </si>
  <si>
    <t>26.09.2017</t>
  </si>
  <si>
    <t>74.443</t>
  </si>
  <si>
    <t>25.09.2017</t>
  </si>
  <si>
    <t>75.381</t>
  </si>
  <si>
    <t>22.09.2017</t>
  </si>
  <si>
    <t>75.618</t>
  </si>
  <si>
    <t>21.09.2017</t>
  </si>
  <si>
    <t>76.014</t>
  </si>
  <si>
    <t>20.09.2017</t>
  </si>
  <si>
    <t>75.974</t>
  </si>
  <si>
    <t>19.09.2017</t>
  </si>
  <si>
    <t>75.990</t>
  </si>
  <si>
    <t>18.09.2017</t>
  </si>
  <si>
    <t>75.758</t>
  </si>
  <si>
    <t>15.09.2017</t>
  </si>
  <si>
    <t>74.656</t>
  </si>
  <si>
    <t>14.09.2017</t>
  </si>
  <si>
    <t>74.787</t>
  </si>
  <si>
    <t>13.09.2017</t>
  </si>
  <si>
    <t>74.543</t>
  </si>
  <si>
    <t>12.09.2017</t>
  </si>
  <si>
    <t>74.322</t>
  </si>
  <si>
    <t>11.09.2017</t>
  </si>
  <si>
    <t>73.096</t>
  </si>
  <si>
    <t>08.09.2017</t>
  </si>
  <si>
    <t>73.413</t>
  </si>
  <si>
    <t>06.09.2017</t>
  </si>
  <si>
    <t>72.157</t>
  </si>
  <si>
    <t>05.09.2017</t>
  </si>
  <si>
    <t>72.134</t>
  </si>
  <si>
    <t>04.09.2017</t>
  </si>
  <si>
    <t>71.921</t>
  </si>
  <si>
    <t>01.09.2017</t>
  </si>
  <si>
    <t>70.848</t>
  </si>
  <si>
    <t>31.08.2017</t>
  </si>
  <si>
    <t>70.887</t>
  </si>
  <si>
    <t>30.08.2017</t>
  </si>
  <si>
    <t>71.328</t>
  </si>
  <si>
    <t>29.08.2017</t>
  </si>
  <si>
    <t>71.005</t>
  </si>
  <si>
    <t>28.08.2017</t>
  </si>
  <si>
    <t>71.074</t>
  </si>
  <si>
    <t>25.08.2017</t>
  </si>
  <si>
    <t>71.138</t>
  </si>
  <si>
    <t>24.08.2017</t>
  </si>
  <si>
    <t>70.482</t>
  </si>
  <si>
    <t>23.08.2017</t>
  </si>
  <si>
    <t>70.011</t>
  </si>
  <si>
    <t>22.08.2017</t>
  </si>
  <si>
    <t>68.645</t>
  </si>
  <si>
    <t>21.08.2017</t>
  </si>
  <si>
    <t>68.713</t>
  </si>
  <si>
    <t>18.08.2017</t>
  </si>
  <si>
    <t>67.990</t>
  </si>
  <si>
    <t>17.08.2017</t>
  </si>
  <si>
    <t>68.596</t>
  </si>
  <si>
    <t>16.08.2017</t>
  </si>
  <si>
    <t>68.356</t>
  </si>
  <si>
    <t>15.08.2017</t>
  </si>
  <si>
    <t>68.296</t>
  </si>
  <si>
    <t>14.08.2017</t>
  </si>
  <si>
    <t>67.364</t>
  </si>
  <si>
    <t>11.08.2017</t>
  </si>
  <si>
    <t>66.992</t>
  </si>
  <si>
    <t>10.08.2017</t>
  </si>
  <si>
    <t>67.671</t>
  </si>
  <si>
    <t>09.08.2017</t>
  </si>
  <si>
    <t>67.894</t>
  </si>
  <si>
    <t>08.08.2017</t>
  </si>
  <si>
    <t>67.936</t>
  </si>
  <si>
    <t>07.08.2017</t>
  </si>
  <si>
    <t>66.898</t>
  </si>
  <si>
    <t>04.08.2017</t>
  </si>
  <si>
    <t>66.783</t>
  </si>
  <si>
    <t>03.08.2017</t>
  </si>
  <si>
    <t>67.136</t>
  </si>
  <si>
    <t>02.08.2017</t>
  </si>
  <si>
    <t>66.504</t>
  </si>
  <si>
    <t>01.08.2017</t>
  </si>
  <si>
    <t>65.925</t>
  </si>
  <si>
    <t>31.07.2017</t>
  </si>
  <si>
    <t>65.503</t>
  </si>
  <si>
    <t>28.07.2017</t>
  </si>
  <si>
    <t>65.253</t>
  </si>
  <si>
    <t>27.07.2017</t>
  </si>
  <si>
    <t>65.013</t>
  </si>
  <si>
    <t>26.07.2017</t>
  </si>
  <si>
    <t>65.668</t>
  </si>
  <si>
    <t>25.07.2017</t>
  </si>
  <si>
    <t>65.101</t>
  </si>
  <si>
    <t>24.07.2017</t>
  </si>
  <si>
    <t>64.695</t>
  </si>
  <si>
    <t>21.07.2017</t>
  </si>
  <si>
    <t>64.936</t>
  </si>
  <si>
    <t>20.07.2017</t>
  </si>
  <si>
    <t>65.178</t>
  </si>
  <si>
    <t>19.07.2017</t>
  </si>
  <si>
    <t>65.337</t>
  </si>
  <si>
    <t>18.07.2017</t>
  </si>
  <si>
    <t>65.208</t>
  </si>
  <si>
    <t>17.07.2017</t>
  </si>
  <si>
    <t>65.431</t>
  </si>
  <si>
    <t>14.07.2017</t>
  </si>
  <si>
    <t>13.07.2017</t>
  </si>
  <si>
    <t>64.854</t>
  </si>
  <si>
    <t>12.07.2017</t>
  </si>
  <si>
    <t>63.840</t>
  </si>
  <si>
    <t>11.07.2017</t>
  </si>
  <si>
    <t>63.027</t>
  </si>
  <si>
    <t>10.07.2017</t>
  </si>
  <si>
    <t>62.322</t>
  </si>
  <si>
    <t>07.07.2017</t>
  </si>
  <si>
    <t>62.474</t>
  </si>
  <si>
    <t>06.07.2017</t>
  </si>
  <si>
    <t>63.156</t>
  </si>
  <si>
    <t>05.07.2017</t>
  </si>
  <si>
    <t>63.215</t>
  </si>
  <si>
    <t>04.07.2017</t>
  </si>
  <si>
    <t>63.268</t>
  </si>
  <si>
    <t>03.07.2017</t>
  </si>
  <si>
    <t>62.901</t>
  </si>
  <si>
    <t>30.06.2017</t>
  </si>
  <si>
    <t>62.238</t>
  </si>
  <si>
    <t>29.06.2017</t>
  </si>
  <si>
    <t>62.010</t>
  </si>
  <si>
    <t>28.06.2017</t>
  </si>
  <si>
    <t>61.684</t>
  </si>
  <si>
    <t>27.06.2017</t>
  </si>
  <si>
    <t>62.188</t>
  </si>
  <si>
    <t>26.06.2017</t>
  </si>
  <si>
    <t>61.088</t>
  </si>
  <si>
    <t>23.06.2017</t>
  </si>
  <si>
    <t>61.272</t>
  </si>
  <si>
    <t>22.06.2017</t>
  </si>
  <si>
    <t>60.762</t>
  </si>
  <si>
    <t>21.06.2017</t>
  </si>
  <si>
    <t>60.783</t>
  </si>
  <si>
    <t>20.06.2017</t>
  </si>
  <si>
    <t>62.011</t>
  </si>
  <si>
    <t>19.06.2017</t>
  </si>
  <si>
    <t>61.620</t>
  </si>
  <si>
    <t>16.06.2017</t>
  </si>
  <si>
    <t>61.911</t>
  </si>
  <si>
    <t>14.06.2017</t>
  </si>
  <si>
    <t>61.831</t>
  </si>
  <si>
    <t>13.06.2017</t>
  </si>
  <si>
    <t>61.708</t>
  </si>
  <si>
    <t>12.06.2017</t>
  </si>
  <si>
    <t>62.219</t>
  </si>
  <si>
    <t>09.06.2017</t>
  </si>
  <si>
    <t>62.755</t>
  </si>
  <si>
    <t>08.06.2017</t>
  </si>
  <si>
    <t>63.171</t>
  </si>
  <si>
    <t>07.06.2017</t>
  </si>
  <si>
    <t>62.955</t>
  </si>
  <si>
    <t>06.06.2017</t>
  </si>
  <si>
    <t>62.450</t>
  </si>
  <si>
    <t>05.06.2017</t>
  </si>
  <si>
    <t>62.503</t>
  </si>
  <si>
    <t>02.06.2017</t>
  </si>
  <si>
    <t>62.289</t>
  </si>
  <si>
    <t>01.06.2017</t>
  </si>
  <si>
    <t>62.711</t>
  </si>
  <si>
    <t>31.05.2017</t>
  </si>
  <si>
    <t>63.961</t>
  </si>
  <si>
    <t>30.05.2017</t>
  </si>
  <si>
    <t>63.765</t>
  </si>
  <si>
    <t>29.05.2017</t>
  </si>
  <si>
    <t>64.055</t>
  </si>
  <si>
    <t>26.05.2017</t>
  </si>
  <si>
    <t>63.228</t>
  </si>
  <si>
    <t>25.05.2017</t>
  </si>
  <si>
    <t>63.256</t>
  </si>
  <si>
    <t>24.05.2017</t>
  </si>
  <si>
    <t>62.673</t>
  </si>
  <si>
    <t>23.05.2017</t>
  </si>
  <si>
    <t>61.670</t>
  </si>
  <si>
    <t>22.05.2017</t>
  </si>
  <si>
    <t>62.638</t>
  </si>
  <si>
    <t>19.05.2017</t>
  </si>
  <si>
    <t>61.597</t>
  </si>
  <si>
    <t>18.05.2017</t>
  </si>
  <si>
    <t>67.536</t>
  </si>
  <si>
    <t>17.05.2017</t>
  </si>
  <si>
    <t>68.674</t>
  </si>
  <si>
    <t>16.05.2017</t>
  </si>
  <si>
    <t>68.473</t>
  </si>
  <si>
    <t>15.05.2017</t>
  </si>
  <si>
    <t>68.227</t>
  </si>
  <si>
    <t>12.05.2017</t>
  </si>
  <si>
    <t>11.05.2017</t>
  </si>
  <si>
    <t>67.355</t>
  </si>
  <si>
    <t>10.05.2017</t>
  </si>
  <si>
    <t>66.284</t>
  </si>
  <si>
    <t>09.05.2017</t>
  </si>
  <si>
    <t>65.533</t>
  </si>
  <si>
    <t>08.05.2017</t>
  </si>
  <si>
    <t>65.705</t>
  </si>
  <si>
    <t>05.05.2017</t>
  </si>
  <si>
    <t>64.869</t>
  </si>
  <si>
    <t>04.05.2017</t>
  </si>
  <si>
    <t>66.069</t>
  </si>
  <si>
    <t>03.05.2017</t>
  </si>
  <si>
    <t>66.720</t>
  </si>
  <si>
    <t>02.05.2017</t>
  </si>
  <si>
    <t>65.404</t>
  </si>
  <si>
    <t>28.04.2017</t>
  </si>
  <si>
    <t>64.679</t>
  </si>
  <si>
    <t>27.04.2017</t>
  </si>
  <si>
    <t>64.872</t>
  </si>
  <si>
    <t>26.04.2017</t>
  </si>
  <si>
    <t>65.144</t>
  </si>
  <si>
    <t>25.04.2017</t>
  </si>
  <si>
    <t>64.384</t>
  </si>
  <si>
    <t>24.04.2017</t>
  </si>
  <si>
    <t>63.761</t>
  </si>
  <si>
    <t>20.04.2017</t>
  </si>
  <si>
    <t>63.406</t>
  </si>
  <si>
    <t>19.04.2017</t>
  </si>
  <si>
    <t>64.165</t>
  </si>
  <si>
    <t>18.04.2017</t>
  </si>
  <si>
    <t>64.336</t>
  </si>
  <si>
    <t>17.04.2017</t>
  </si>
  <si>
    <t>62.828</t>
  </si>
  <si>
    <t>13.04.2017</t>
  </si>
  <si>
    <t>63.891</t>
  </si>
  <si>
    <t>12.04.2017</t>
  </si>
  <si>
    <t>64.362</t>
  </si>
  <si>
    <t>11.04.2017</t>
  </si>
  <si>
    <t>64.650</t>
  </si>
  <si>
    <t>10.04.2017</t>
  </si>
  <si>
    <t>64.593</t>
  </si>
  <si>
    <t>07.04.2017</t>
  </si>
  <si>
    <t>64.202</t>
  </si>
  <si>
    <t>06.04.2017</t>
  </si>
  <si>
    <t>64.775</t>
  </si>
  <si>
    <t>05.04.2017</t>
  </si>
  <si>
    <t>65.770</t>
  </si>
  <si>
    <t>04.04.2017</t>
  </si>
  <si>
    <t>65.212</t>
  </si>
  <si>
    <t>03.04.2017</t>
  </si>
  <si>
    <t>64.989</t>
  </si>
  <si>
    <t>31.03.2017</t>
  </si>
  <si>
    <t>65.266</t>
  </si>
  <si>
    <t>30.03.2017</t>
  </si>
  <si>
    <t>65.541</t>
  </si>
  <si>
    <t>29.03.2017</t>
  </si>
  <si>
    <t>64.636</t>
  </si>
  <si>
    <t>28.03.2017</t>
  </si>
  <si>
    <t>64.308</t>
  </si>
  <si>
    <t>27.03.2017</t>
  </si>
  <si>
    <t>63.829</t>
  </si>
  <si>
    <t>24.03.2017</t>
  </si>
  <si>
    <t>63.554</t>
  </si>
  <si>
    <t>23.03.2017</t>
  </si>
  <si>
    <t>63.521</t>
  </si>
  <si>
    <t>22.03.2017</t>
  </si>
  <si>
    <t>62.980</t>
  </si>
  <si>
    <t>21.03.2017</t>
  </si>
  <si>
    <t>64.884</t>
  </si>
  <si>
    <t>20.03.2017</t>
  </si>
  <si>
    <t>64.210</t>
  </si>
  <si>
    <t>17.03.2017</t>
  </si>
  <si>
    <t>65.783</t>
  </si>
  <si>
    <t>16.03.2017</t>
  </si>
  <si>
    <t>66.232</t>
  </si>
  <si>
    <t>15.03.2017</t>
  </si>
  <si>
    <t>64.702</t>
  </si>
  <si>
    <t>14.03.2017</t>
  </si>
  <si>
    <t>65.511</t>
  </si>
  <si>
    <t>13.03.2017</t>
  </si>
  <si>
    <t>64.674</t>
  </si>
  <si>
    <t>10.03.2017</t>
  </si>
  <si>
    <t>64.586</t>
  </si>
  <si>
    <t>09.03.2017</t>
  </si>
  <si>
    <t>64.718</t>
  </si>
  <si>
    <t>08.03.2017</t>
  </si>
  <si>
    <t>65.748</t>
  </si>
  <si>
    <t>07.03.2017</t>
  </si>
  <si>
    <t>66.343</t>
  </si>
  <si>
    <t>06.03.2017</t>
  </si>
  <si>
    <t>66.786</t>
  </si>
  <si>
    <t>03.03.2017</t>
  </si>
  <si>
    <t>65.860</t>
  </si>
  <si>
    <t>02.03.2017</t>
  </si>
  <si>
    <t>67.000</t>
  </si>
  <si>
    <t>01.03.2017</t>
  </si>
  <si>
    <t>66.661</t>
  </si>
  <si>
    <t>24.02.2017</t>
  </si>
  <si>
    <t>67.458</t>
  </si>
  <si>
    <t>23.02.2017</t>
  </si>
  <si>
    <t>68.590</t>
  </si>
  <si>
    <t>22.02.2017</t>
  </si>
  <si>
    <t>69.052</t>
  </si>
  <si>
    <t>21.02.2017</t>
  </si>
  <si>
    <t>68.536</t>
  </si>
  <si>
    <t>20.02.2017</t>
  </si>
  <si>
    <t>67.756</t>
  </si>
  <si>
    <t>17.02.2017</t>
  </si>
  <si>
    <t>67.814</t>
  </si>
  <si>
    <t>16.02.2017</t>
  </si>
  <si>
    <t>67.979</t>
  </si>
  <si>
    <t>15.02.2017</t>
  </si>
  <si>
    <t>66.712</t>
  </si>
  <si>
    <t>14.02.2017</t>
  </si>
  <si>
    <t>66.971</t>
  </si>
  <si>
    <t>13.02.2017</t>
  </si>
  <si>
    <t>66.125</t>
  </si>
  <si>
    <t>10.02.2017</t>
  </si>
  <si>
    <t>64.965</t>
  </si>
  <si>
    <t>09.02.2017</t>
  </si>
  <si>
    <t>64.850</t>
  </si>
  <si>
    <t>08.02.2017</t>
  </si>
  <si>
    <t>64.200</t>
  </si>
  <si>
    <t>07.02.2017</t>
  </si>
  <si>
    <t>64.022</t>
  </si>
  <si>
    <t>06.02.2017</t>
  </si>
  <si>
    <t>64.957</t>
  </si>
  <si>
    <t>03.02.2017</t>
  </si>
  <si>
    <t>64.579</t>
  </si>
  <si>
    <t>02.02.2017</t>
  </si>
  <si>
    <t>64.835</t>
  </si>
  <si>
    <t>01.02.2017</t>
  </si>
  <si>
    <t>64.687</t>
  </si>
  <si>
    <t>31.01.2017</t>
  </si>
  <si>
    <t>64.310</t>
  </si>
  <si>
    <t>30.01.2017</t>
  </si>
  <si>
    <t>66.025</t>
  </si>
  <si>
    <t>27.01.2017</t>
  </si>
  <si>
    <t>66.195</t>
  </si>
  <si>
    <t>26.01.2017</t>
  </si>
  <si>
    <t>65.842</t>
  </si>
  <si>
    <t>24.01.2017</t>
  </si>
  <si>
    <t>65.752</t>
  </si>
  <si>
    <t>23.01.2017</t>
  </si>
  <si>
    <t>64.519</t>
  </si>
  <si>
    <t>20.01.2017</t>
  </si>
  <si>
    <t>63.951</t>
  </si>
  <si>
    <t>19.01.2017</t>
  </si>
  <si>
    <t>64.145</t>
  </si>
  <si>
    <t>18.01.2017</t>
  </si>
  <si>
    <t>64.360</t>
  </si>
  <si>
    <t>17.01.2017</t>
  </si>
  <si>
    <t>63.827</t>
  </si>
  <si>
    <t>16.01.2017</t>
  </si>
  <si>
    <t>63.652</t>
  </si>
  <si>
    <t>13.01.2017</t>
  </si>
  <si>
    <t>63.940</t>
  </si>
  <si>
    <t>12.01.2017</t>
  </si>
  <si>
    <t>62.448</t>
  </si>
  <si>
    <t>11.01.2017</t>
  </si>
  <si>
    <t>62.134</t>
  </si>
  <si>
    <t>10.01.2017</t>
  </si>
  <si>
    <t>61.710</t>
  </si>
  <si>
    <t>09.01.2017</t>
  </si>
  <si>
    <t>61.680</t>
  </si>
  <si>
    <t>06.01.2017</t>
  </si>
  <si>
    <t>62.072</t>
  </si>
  <si>
    <t>05.01.2017</t>
  </si>
  <si>
    <t>61.594</t>
  </si>
  <si>
    <t>04.01.2017</t>
  </si>
  <si>
    <t>61.811</t>
  </si>
  <si>
    <t>03.01.2017</t>
  </si>
  <si>
    <t>59.631</t>
  </si>
  <si>
    <t>02.01.2017</t>
  </si>
  <si>
    <t>60.227</t>
  </si>
  <si>
    <t>29.12.2016</t>
  </si>
  <si>
    <t>59.782</t>
  </si>
  <si>
    <t>28.12.2016</t>
  </si>
  <si>
    <t>58.688</t>
  </si>
  <si>
    <t>27.12.2016</t>
  </si>
  <si>
    <t>58.627</t>
  </si>
  <si>
    <t>26.12.2016</t>
  </si>
  <si>
    <t>57.941</t>
  </si>
  <si>
    <t>23.12.2016</t>
  </si>
  <si>
    <t>57.255</t>
  </si>
  <si>
    <t>22.12.2016</t>
  </si>
  <si>
    <t>57.646</t>
  </si>
  <si>
    <t>21.12.2016</t>
  </si>
  <si>
    <t>57.583</t>
  </si>
  <si>
    <t>20.12.2016</t>
  </si>
  <si>
    <t>57.116</t>
  </si>
  <si>
    <t>19.12.2016</t>
  </si>
  <si>
    <t>58.390</t>
  </si>
  <si>
    <t>16.12.2016</t>
  </si>
  <si>
    <t>58.398</t>
  </si>
  <si>
    <t>15.12.2016</t>
  </si>
  <si>
    <t>58.214</t>
  </si>
  <si>
    <t>14.12.2016</t>
  </si>
  <si>
    <t>59.280</t>
  </si>
  <si>
    <t>13.12.2016</t>
  </si>
  <si>
    <t>59.178</t>
  </si>
  <si>
    <t>12.12.2016</t>
  </si>
  <si>
    <t>60.517</t>
  </si>
  <si>
    <t>09.12.2016</t>
  </si>
  <si>
    <t>60.688</t>
  </si>
  <si>
    <t>08.12.2016</t>
  </si>
  <si>
    <t>61.430</t>
  </si>
  <si>
    <t>07.12.2016</t>
  </si>
  <si>
    <t>61.111</t>
  </si>
  <si>
    <t>06.12.2016</t>
  </si>
  <si>
    <t>59.828</t>
  </si>
  <si>
    <t>05.12.2016</t>
  </si>
  <si>
    <t>60.322</t>
  </si>
  <si>
    <t>02.12.2016</t>
  </si>
  <si>
    <t>59.499</t>
  </si>
  <si>
    <t>01.12.2016</t>
  </si>
  <si>
    <t>61.906</t>
  </si>
  <si>
    <t>30.11.2016</t>
  </si>
  <si>
    <t>60.994</t>
  </si>
  <si>
    <t>29.11.2016</t>
  </si>
  <si>
    <t>62.859</t>
  </si>
  <si>
    <t>28.11.2016</t>
  </si>
  <si>
    <t>61.559</t>
  </si>
  <si>
    <t>25.11.2016</t>
  </si>
  <si>
    <t>61.394</t>
  </si>
  <si>
    <t>24.11.2016</t>
  </si>
  <si>
    <t>61.999</t>
  </si>
  <si>
    <t>23.11.2016</t>
  </si>
  <si>
    <t>61.956</t>
  </si>
  <si>
    <t>22.11.2016</t>
  </si>
  <si>
    <t>61.072</t>
  </si>
  <si>
    <t>21.11.2016</t>
  </si>
  <si>
    <t>59.963</t>
  </si>
  <si>
    <t>18.11.2016</t>
  </si>
  <si>
    <t>59.770</t>
  </si>
  <si>
    <t>17.11.2016</t>
  </si>
  <si>
    <t>60.763</t>
  </si>
  <si>
    <t>16.11.2016</t>
  </si>
  <si>
    <t>59.658</t>
  </si>
  <si>
    <t>14.11.2016</t>
  </si>
  <si>
    <t>59.183</t>
  </si>
  <si>
    <t>11.11.2016</t>
  </si>
  <si>
    <t>61.199</t>
  </si>
  <si>
    <t>10.11.2016</t>
  </si>
  <si>
    <t>63.261</t>
  </si>
  <si>
    <t>09.11.2016</t>
  </si>
  <si>
    <t>64.157</t>
  </si>
  <si>
    <t>08.11.2016</t>
  </si>
  <si>
    <t>64.052</t>
  </si>
  <si>
    <t>07.11.2016</t>
  </si>
  <si>
    <t>61.601</t>
  </si>
  <si>
    <t>04.11.2016</t>
  </si>
  <si>
    <t>61.749</t>
  </si>
  <si>
    <t>03.11.2016</t>
  </si>
  <si>
    <t>63.325</t>
  </si>
  <si>
    <t>01.11.2016</t>
  </si>
  <si>
    <t>64.922</t>
  </si>
  <si>
    <t>31.10.2016</t>
  </si>
  <si>
    <t>64.312</t>
  </si>
  <si>
    <t>28.10.2016</t>
  </si>
  <si>
    <t>64.251</t>
  </si>
  <si>
    <t>27.10.2016</t>
  </si>
  <si>
    <t>26.10.2016</t>
  </si>
  <si>
    <t>63.860</t>
  </si>
  <si>
    <t>25.10.2016</t>
  </si>
  <si>
    <t>64.059</t>
  </si>
  <si>
    <t>24.10.2016</t>
  </si>
  <si>
    <t>64.141</t>
  </si>
  <si>
    <t>21.10.2016</t>
  </si>
  <si>
    <t>63.838</t>
  </si>
  <si>
    <t>20.10.2016</t>
  </si>
  <si>
    <t>63.495</t>
  </si>
  <si>
    <t>19.10.2016</t>
  </si>
  <si>
    <t>63.784</t>
  </si>
  <si>
    <t>18.10.2016</t>
  </si>
  <si>
    <t>62.701</t>
  </si>
  <si>
    <t>17.10.2016</t>
  </si>
  <si>
    <t>61.768</t>
  </si>
  <si>
    <t>14.10.2016</t>
  </si>
  <si>
    <t>61.120</t>
  </si>
  <si>
    <t>13.10.2016</t>
  </si>
  <si>
    <t>61.020</t>
  </si>
  <si>
    <t>11.10.2016</t>
  </si>
  <si>
    <t>61.668</t>
  </si>
  <si>
    <t>10.10.2016</t>
  </si>
  <si>
    <t>61.130</t>
  </si>
  <si>
    <t>07.10.2016</t>
  </si>
  <si>
    <t>60.645</t>
  </si>
  <si>
    <t>06.10.2016</t>
  </si>
  <si>
    <t>60.254</t>
  </si>
  <si>
    <t>05.10.2016</t>
  </si>
  <si>
    <t>59.340</t>
  </si>
  <si>
    <t>04.10.2016</t>
  </si>
  <si>
    <t>59.461</t>
  </si>
  <si>
    <t>03.10.2016</t>
  </si>
  <si>
    <t>58.370</t>
  </si>
  <si>
    <t>30.09.2016</t>
  </si>
  <si>
    <t>58.350</t>
  </si>
  <si>
    <t>29.09.2016</t>
  </si>
  <si>
    <t>59.346</t>
  </si>
  <si>
    <t>28.09.2016</t>
  </si>
  <si>
    <t>58.383</t>
  </si>
  <si>
    <t>27.09.2016</t>
  </si>
  <si>
    <t>58.066</t>
  </si>
  <si>
    <t>26.09.2016</t>
  </si>
  <si>
    <t>58.697</t>
  </si>
  <si>
    <t>23.09.2016</t>
  </si>
  <si>
    <t>58.992</t>
  </si>
  <si>
    <t>22.09.2016</t>
  </si>
  <si>
    <t>58.408</t>
  </si>
  <si>
    <t>21.09.2016</t>
  </si>
  <si>
    <t>57.736</t>
  </si>
  <si>
    <t>20.09.2016</t>
  </si>
  <si>
    <t>57.356</t>
  </si>
  <si>
    <t>19.09.2016</t>
  </si>
  <si>
    <t>57.083</t>
  </si>
  <si>
    <t>16.09.2016</t>
  </si>
  <si>
    <t>57.909</t>
  </si>
  <si>
    <t>15.09.2016</t>
  </si>
  <si>
    <t>57.068</t>
  </si>
  <si>
    <t>14.09.2016</t>
  </si>
  <si>
    <t>56.812</t>
  </si>
  <si>
    <t>13.09.2016</t>
  </si>
  <si>
    <t>58.580</t>
  </si>
  <si>
    <t>12.09.2016</t>
  </si>
  <si>
    <t>57.998</t>
  </si>
  <si>
    <t>09.09.2016</t>
  </si>
  <si>
    <t>60.220</t>
  </si>
  <si>
    <t>08.09.2016</t>
  </si>
  <si>
    <t>60.129</t>
  </si>
  <si>
    <t>06.09.2016</t>
  </si>
  <si>
    <t>59.566</t>
  </si>
  <si>
    <t>05.09.2016</t>
  </si>
  <si>
    <t>59.616</t>
  </si>
  <si>
    <t>02.09.2016</t>
  </si>
  <si>
    <t>58.241</t>
  </si>
  <si>
    <t>01.09.2016</t>
  </si>
  <si>
    <t>57.901</t>
  </si>
  <si>
    <t>31.08.2016</t>
  </si>
  <si>
    <t>30.08.2016</t>
  </si>
  <si>
    <t>58.610</t>
  </si>
  <si>
    <t>29.08.2016</t>
  </si>
  <si>
    <t>57.717</t>
  </si>
  <si>
    <t>26.08.2016</t>
  </si>
  <si>
    <t>57.725</t>
  </si>
  <si>
    <t>25.08.2016</t>
  </si>
  <si>
    <t>57.718</t>
  </si>
  <si>
    <t>24.08.2016</t>
  </si>
  <si>
    <t>58.019</t>
  </si>
  <si>
    <t>23.08.2016</t>
  </si>
  <si>
    <t>57.781</t>
  </si>
  <si>
    <t>22.08.2016</t>
  </si>
  <si>
    <t>59.080</t>
  </si>
  <si>
    <t>19.08.2016</t>
  </si>
  <si>
    <t>59.158</t>
  </si>
  <si>
    <t>18.08.2016</t>
  </si>
  <si>
    <t>59.324</t>
  </si>
  <si>
    <t>17.08.2016</t>
  </si>
  <si>
    <t>58.847</t>
  </si>
  <si>
    <t>16.08.2016</t>
  </si>
  <si>
    <t>59.144</t>
  </si>
  <si>
    <t>15.08.2016</t>
  </si>
  <si>
    <t>58.316</t>
  </si>
  <si>
    <t>12.08.2016</t>
  </si>
  <si>
    <t>58.300</t>
  </si>
  <si>
    <t>11.08.2016</t>
  </si>
  <si>
    <t>56.925</t>
  </si>
  <si>
    <t>10.08.2016</t>
  </si>
  <si>
    <t>57.690</t>
  </si>
  <si>
    <t>09.08.2016</t>
  </si>
  <si>
    <t>57.637</t>
  </si>
  <si>
    <t>08.08.2016</t>
  </si>
  <si>
    <t>57.655</t>
  </si>
  <si>
    <t>05.08.2016</t>
  </si>
  <si>
    <t>57.609</t>
  </si>
  <si>
    <t>04.08.2016</t>
  </si>
  <si>
    <t>57.076</t>
  </si>
  <si>
    <t>03.08.2016</t>
  </si>
  <si>
    <t>56.157</t>
  </si>
  <si>
    <t>02.08.2016</t>
  </si>
  <si>
    <t>56.756</t>
  </si>
  <si>
    <t>01.08.2016</t>
  </si>
  <si>
    <t>57.309</t>
  </si>
  <si>
    <t>29.07.2016</t>
  </si>
  <si>
    <t>56.664</t>
  </si>
  <si>
    <t>28.07.2016</t>
  </si>
  <si>
    <t>56.853</t>
  </si>
  <si>
    <t>27.07.2016</t>
  </si>
  <si>
    <t>56.788</t>
  </si>
  <si>
    <t>26.07.2016</t>
  </si>
  <si>
    <t>56.876</t>
  </si>
  <si>
    <t>25.07.2016</t>
  </si>
  <si>
    <t>57.006</t>
  </si>
  <si>
    <t>22.07.2016</t>
  </si>
  <si>
    <t>56.641</t>
  </si>
  <si>
    <t>21.07.2016</t>
  </si>
  <si>
    <t>56.578</t>
  </si>
  <si>
    <t>20.07.2016</t>
  </si>
  <si>
    <t>56.699</t>
  </si>
  <si>
    <t>19.07.2016</t>
  </si>
  <si>
    <t>56.487</t>
  </si>
  <si>
    <t>18.07.2016</t>
  </si>
  <si>
    <t>55.573</t>
  </si>
  <si>
    <t>15.07.2016</t>
  </si>
  <si>
    <t>55.482</t>
  </si>
  <si>
    <t>14.07.2016</t>
  </si>
  <si>
    <t>54.601</t>
  </si>
  <si>
    <t>13.07.2016</t>
  </si>
  <si>
    <t>54.256</t>
  </si>
  <si>
    <t>12.07.2016</t>
  </si>
  <si>
    <t>53.961</t>
  </si>
  <si>
    <t>11.07.2016</t>
  </si>
  <si>
    <t>53.143</t>
  </si>
  <si>
    <t>08.07.2016</t>
  </si>
  <si>
    <t>52.020</t>
  </si>
  <si>
    <t>07.07.2016</t>
  </si>
  <si>
    <t>51.902</t>
  </si>
  <si>
    <t>06.07.2016</t>
  </si>
  <si>
    <t>51.842</t>
  </si>
  <si>
    <t>05.07.2016</t>
  </si>
  <si>
    <t>52.565</t>
  </si>
  <si>
    <t>04.07.2016</t>
  </si>
  <si>
    <t>52.241</t>
  </si>
  <si>
    <t>01.07.2016</t>
  </si>
  <si>
    <t>51.540</t>
  </si>
  <si>
    <t>30.06.2016</t>
  </si>
  <si>
    <t>51.001</t>
  </si>
  <si>
    <t>29.06.2016</t>
  </si>
  <si>
    <t>50.009</t>
  </si>
  <si>
    <t>28.06.2016</t>
  </si>
  <si>
    <t>49.252</t>
  </si>
  <si>
    <t>27.06.2016</t>
  </si>
  <si>
    <t>50.106</t>
  </si>
  <si>
    <t>24.06.2016</t>
  </si>
  <si>
    <t>51.561</t>
  </si>
  <si>
    <t>23.06.2016</t>
  </si>
  <si>
    <t>50.161</t>
  </si>
  <si>
    <t>22.06.2016</t>
  </si>
  <si>
    <t>50.835</t>
  </si>
  <si>
    <t>21.06.2016</t>
  </si>
  <si>
    <t>50.326</t>
  </si>
  <si>
    <t>20.06.2016</t>
  </si>
  <si>
    <t>49.539</t>
  </si>
  <si>
    <t>17.06.2016</t>
  </si>
  <si>
    <t>49.409</t>
  </si>
  <si>
    <t>16.06.2016</t>
  </si>
  <si>
    <t>48.901</t>
  </si>
  <si>
    <t>15.06.2016</t>
  </si>
  <si>
    <t>48.649</t>
  </si>
  <si>
    <t>14.06.2016</t>
  </si>
  <si>
    <t>49.662</t>
  </si>
  <si>
    <t>13.06.2016</t>
  </si>
  <si>
    <t>49.419</t>
  </si>
  <si>
    <t>10.06.2016</t>
  </si>
  <si>
    <t>51.117</t>
  </si>
  <si>
    <t>09.06.2016</t>
  </si>
  <si>
    <t>51.633</t>
  </si>
  <si>
    <t>08.06.2016</t>
  </si>
  <si>
    <t>50.490</t>
  </si>
  <si>
    <t>07.06.2016</t>
  </si>
  <si>
    <t>50.432</t>
  </si>
  <si>
    <t>06.06.2016</t>
  </si>
  <si>
    <t>50.627</t>
  </si>
  <si>
    <t>03.06.2016</t>
  </si>
  <si>
    <t>49.888</t>
  </si>
  <si>
    <t>02.06.2016</t>
  </si>
  <si>
    <t>49.008</t>
  </si>
  <si>
    <t>01.06.2016</t>
  </si>
  <si>
    <t>48.468</t>
  </si>
  <si>
    <t>31.05.2016</t>
  </si>
  <si>
    <t>48.963</t>
  </si>
  <si>
    <t>30.05.2016</t>
  </si>
  <si>
    <t>49.051</t>
  </si>
  <si>
    <t>27.05.2016</t>
  </si>
  <si>
    <t>49.481</t>
  </si>
  <si>
    <t>25.05.2016</t>
  </si>
  <si>
    <t>49.347</t>
  </si>
  <si>
    <t>24.05.2016</t>
  </si>
  <si>
    <t>49.330</t>
  </si>
  <si>
    <t>23.05.2016</t>
  </si>
  <si>
    <t>49.709</t>
  </si>
  <si>
    <t>20.05.2016</t>
  </si>
  <si>
    <t>50.133</t>
  </si>
  <si>
    <t>19.05.2016</t>
  </si>
  <si>
    <t>50.556</t>
  </si>
  <si>
    <t>18.05.2016</t>
  </si>
  <si>
    <t>50.836</t>
  </si>
  <si>
    <t>17.05.2016</t>
  </si>
  <si>
    <t>51.795</t>
  </si>
  <si>
    <t>16.05.2016</t>
  </si>
  <si>
    <t>51.803</t>
  </si>
  <si>
    <t>13.05.2016</t>
  </si>
  <si>
    <t>53.236</t>
  </si>
  <si>
    <t>12.05.2016</t>
  </si>
  <si>
    <t>52.765</t>
  </si>
  <si>
    <t>11.05.2016</t>
  </si>
  <si>
    <t>53.072</t>
  </si>
  <si>
    <t>10.05.2016</t>
  </si>
  <si>
    <t>50.994</t>
  </si>
  <si>
    <t>09.05.2016</t>
  </si>
  <si>
    <t>51.717</t>
  </si>
  <si>
    <t>06.05.2016</t>
  </si>
  <si>
    <t>51.671</t>
  </si>
  <si>
    <t>05.05.2016</t>
  </si>
  <si>
    <t>52.569</t>
  </si>
  <si>
    <t>04.05.2016</t>
  </si>
  <si>
    <t>52.253</t>
  </si>
  <si>
    <t>03.05.2016</t>
  </si>
  <si>
    <t>53.557</t>
  </si>
  <si>
    <t>02.05.2016</t>
  </si>
  <si>
    <t>53.910</t>
  </si>
  <si>
    <t>29.04.2016</t>
  </si>
  <si>
    <t>54.317</t>
  </si>
  <si>
    <t>28.04.2016</t>
  </si>
  <si>
    <t>54.475</t>
  </si>
  <si>
    <t>27.04.2016</t>
  </si>
  <si>
    <t>53.094</t>
  </si>
  <si>
    <t>26.04.2016</t>
  </si>
  <si>
    <t>51.867</t>
  </si>
  <si>
    <t>25.04.2016</t>
  </si>
  <si>
    <t>52.911</t>
  </si>
  <si>
    <t>22.04.2016</t>
  </si>
  <si>
    <t>53.630</t>
  </si>
  <si>
    <t>20.04.2016</t>
  </si>
  <si>
    <t>53.711</t>
  </si>
  <si>
    <t>19.04.2016</t>
  </si>
  <si>
    <t>52.894</t>
  </si>
  <si>
    <t>18.04.2016</t>
  </si>
  <si>
    <t>53.229</t>
  </si>
  <si>
    <t>15.04.2016</t>
  </si>
  <si>
    <t>52.414</t>
  </si>
  <si>
    <t>14.04.2016</t>
  </si>
  <si>
    <t>53.150</t>
  </si>
  <si>
    <t>13.04.2016</t>
  </si>
  <si>
    <t>52.010</t>
  </si>
  <si>
    <t>12.04.2016</t>
  </si>
  <si>
    <t>50.166</t>
  </si>
  <si>
    <t>11.04.2016</t>
  </si>
  <si>
    <t>50.303</t>
  </si>
  <si>
    <t>08.04.2016</t>
  </si>
  <si>
    <t>48.517</t>
  </si>
  <si>
    <t>07.04.2016</t>
  </si>
  <si>
    <t>48.099</t>
  </si>
  <si>
    <t>06.04.2016</t>
  </si>
  <si>
    <t>49.054</t>
  </si>
  <si>
    <t>05.04.2016</t>
  </si>
  <si>
    <t>48.778</t>
  </si>
  <si>
    <t>04.04.2016</t>
  </si>
  <si>
    <t>01.04.2016</t>
  </si>
  <si>
    <t>50.054</t>
  </si>
  <si>
    <t>31.03.2016</t>
  </si>
  <si>
    <t>51.248</t>
  </si>
  <si>
    <t>30.03.2016</t>
  </si>
  <si>
    <t>51.155</t>
  </si>
  <si>
    <t>29.03.2016</t>
  </si>
  <si>
    <t>50.839</t>
  </si>
  <si>
    <t>28.03.2016</t>
  </si>
  <si>
    <t>49.687</t>
  </si>
  <si>
    <t>24.03.2016</t>
  </si>
  <si>
    <t>49.686</t>
  </si>
  <si>
    <t>23.03.2016</t>
  </si>
  <si>
    <t>51.005</t>
  </si>
  <si>
    <t>22.03.2016</t>
  </si>
  <si>
    <t>51.170</t>
  </si>
  <si>
    <t>21.03.2016</t>
  </si>
  <si>
    <t>50.816</t>
  </si>
  <si>
    <t>18.03.2016</t>
  </si>
  <si>
    <t>50.915</t>
  </si>
  <si>
    <t>17.03.2016</t>
  </si>
  <si>
    <t>47.770</t>
  </si>
  <si>
    <t>16.03.2016</t>
  </si>
  <si>
    <t>47.130</t>
  </si>
  <si>
    <t>15.03.2016</t>
  </si>
  <si>
    <t>48.866</t>
  </si>
  <si>
    <t>14.03.2016</t>
  </si>
  <si>
    <t>49.639</t>
  </si>
  <si>
    <t>11.03.2016</t>
  </si>
  <si>
    <t>49.574</t>
  </si>
  <si>
    <t>10.03.2016</t>
  </si>
  <si>
    <t>48.667</t>
  </si>
  <si>
    <t>09.03.2016</t>
  </si>
  <si>
    <t>49.102</t>
  </si>
  <si>
    <t>08.03.2016</t>
  </si>
  <si>
    <t>49.244</t>
  </si>
  <si>
    <t>07.03.2016</t>
  </si>
  <si>
    <t>49.089</t>
  </si>
  <si>
    <t>04.03.2016</t>
  </si>
  <si>
    <t>47.194</t>
  </si>
  <si>
    <t>03.03.2016</t>
  </si>
  <si>
    <t>44.900</t>
  </si>
  <si>
    <t>02.03.2016</t>
  </si>
  <si>
    <t>44.122</t>
  </si>
  <si>
    <t>01.03.2016</t>
  </si>
  <si>
    <t>42.795</t>
  </si>
  <si>
    <t>29.02.2016</t>
  </si>
  <si>
    <t>41.599</t>
  </si>
  <si>
    <t>26.02.2016</t>
  </si>
  <si>
    <t>41.889</t>
  </si>
  <si>
    <t>25.02.2016</t>
  </si>
  <si>
    <t>42.084</t>
  </si>
  <si>
    <t>24.02.2016</t>
  </si>
  <si>
    <t>42.521</t>
  </si>
  <si>
    <t>23.02.2016</t>
  </si>
  <si>
    <t>43.235</t>
  </si>
  <si>
    <t>22.02.2016</t>
  </si>
  <si>
    <t>41.544</t>
  </si>
  <si>
    <t>19.02.2016</t>
  </si>
  <si>
    <t>41.477</t>
  </si>
  <si>
    <t>18.02.2016</t>
  </si>
  <si>
    <t>41.624</t>
  </si>
  <si>
    <t>17.02.2016</t>
  </si>
  <si>
    <t>40.958</t>
  </si>
  <si>
    <t>16.02.2016</t>
  </si>
  <si>
    <t>40.093</t>
  </si>
  <si>
    <t>15.02.2016</t>
  </si>
  <si>
    <t>39.808</t>
  </si>
  <si>
    <t>12.02.2016</t>
  </si>
  <si>
    <t>39.324</t>
  </si>
  <si>
    <t>11.02.2016</t>
  </si>
  <si>
    <t>40.370</t>
  </si>
  <si>
    <t>10.02.2016</t>
  </si>
  <si>
    <t>40.592</t>
  </si>
  <si>
    <t>05.02.2016</t>
  </si>
  <si>
    <t>40.812</t>
  </si>
  <si>
    <t>04.02.2016</t>
  </si>
  <si>
    <t>39.589</t>
  </si>
  <si>
    <t>03.02.2016</t>
  </si>
  <si>
    <t>38.597</t>
  </si>
  <si>
    <t>02.02.2016</t>
  </si>
  <si>
    <t>40.564</t>
  </si>
  <si>
    <t>01.02.2016</t>
  </si>
  <si>
    <t>40.397</t>
  </si>
  <si>
    <t>29.01.2016</t>
  </si>
  <si>
    <t>38.635</t>
  </si>
  <si>
    <t>28.01.2016</t>
  </si>
  <si>
    <t>38.376</t>
  </si>
  <si>
    <t>27.01.2016</t>
  </si>
  <si>
    <t>37.501</t>
  </si>
  <si>
    <t>26.01.2016</t>
  </si>
  <si>
    <t>38.031</t>
  </si>
  <si>
    <t>22.01.2016</t>
  </si>
  <si>
    <t>37.737</t>
  </si>
  <si>
    <t>21.01.2016</t>
  </si>
  <si>
    <t>37.647</t>
  </si>
  <si>
    <t>20.01.2016</t>
  </si>
  <si>
    <t>38.056</t>
  </si>
  <si>
    <t>19.01.2016</t>
  </si>
  <si>
    <t>37.941</t>
  </si>
  <si>
    <t>18.01.2016</t>
  </si>
  <si>
    <t>38.572</t>
  </si>
  <si>
    <t>15.01.2016</t>
  </si>
  <si>
    <t>39.494</t>
  </si>
  <si>
    <t>14.01.2016</t>
  </si>
  <si>
    <t>38.944</t>
  </si>
  <si>
    <t>13.01.2016</t>
  </si>
  <si>
    <t>39.518</t>
  </si>
  <si>
    <t>12.01.2016</t>
  </si>
  <si>
    <t>39.955</t>
  </si>
  <si>
    <t>11.01.2016</t>
  </si>
  <si>
    <t>40.612</t>
  </si>
  <si>
    <t>08.01.2016</t>
  </si>
  <si>
    <t>40.695</t>
  </si>
  <si>
    <t>07.01.2016</t>
  </si>
  <si>
    <t>41.772</t>
  </si>
  <si>
    <t>06.01.2016</t>
  </si>
  <si>
    <t>42.410</t>
  </si>
  <si>
    <t>05.01.2016</t>
  </si>
  <si>
    <t>42.139</t>
  </si>
  <si>
    <t>04.01.2016</t>
  </si>
  <si>
    <t>43.349</t>
  </si>
  <si>
    <t>WACC Real</t>
  </si>
  <si>
    <t>Componente</t>
  </si>
  <si>
    <t>Spread TLP BNDES</t>
  </si>
  <si>
    <t>Balanço Patrimonial</t>
  </si>
  <si>
    <t>Ativo</t>
  </si>
  <si>
    <t>Passivo</t>
  </si>
  <si>
    <t>Financiamento</t>
  </si>
  <si>
    <t>Patrimônio Líquido</t>
  </si>
  <si>
    <t>Distribuição de Dividendos</t>
  </si>
  <si>
    <t xml:space="preserve">Vantagem de Longo Prazo PPP </t>
  </si>
  <si>
    <t>Arrecadação CIP - Mensal</t>
  </si>
  <si>
    <t>Resultado</t>
  </si>
  <si>
    <t xml:space="preserve"> +/- Lucro/Prejuízo do Exercício</t>
  </si>
  <si>
    <t>Caixa</t>
  </si>
  <si>
    <t xml:space="preserve"> = Saldo inicial</t>
  </si>
  <si>
    <t xml:space="preserve"> - Distribuição</t>
  </si>
  <si>
    <t xml:space="preserve"> = Saldo Final</t>
  </si>
  <si>
    <t>TIR, dividendos</t>
  </si>
  <si>
    <t>Lucro Real</t>
  </si>
  <si>
    <t>Base de Cálculo Tributos diretos LP</t>
  </si>
  <si>
    <t>Base de Cálculo Tributos diretos LR</t>
  </si>
  <si>
    <t xml:space="preserve">Cenário PPP </t>
  </si>
  <si>
    <t>Cenário de Custo Atual/ Disponibilidade</t>
  </si>
  <si>
    <t>Contratos</t>
  </si>
  <si>
    <t>Disponibilidade Anual</t>
  </si>
  <si>
    <t>Disponibilidade Mensal</t>
  </si>
  <si>
    <t>VANTAJOSIDADE LONGO PRAZO</t>
  </si>
  <si>
    <t>Liberação</t>
  </si>
  <si>
    <t>Amortização</t>
  </si>
  <si>
    <t>Juros</t>
  </si>
  <si>
    <t>Crédito de IR/CSLL</t>
  </si>
  <si>
    <t>Custo Financeiro</t>
  </si>
  <si>
    <t>Covenants</t>
  </si>
  <si>
    <t>ICSD</t>
  </si>
  <si>
    <t>Fluxo de Caixa, após atividades de financiamento</t>
  </si>
  <si>
    <t>Fluxo de Caixa, após atividades de financiamento - Acumulado</t>
  </si>
  <si>
    <t>Ativo Circulante</t>
  </si>
  <si>
    <t xml:space="preserve">  Caixa</t>
  </si>
  <si>
    <t>Ativo Não Circulante</t>
  </si>
  <si>
    <t xml:space="preserve">  Intangível, Imobilizado</t>
  </si>
  <si>
    <t>Empréstimos e Financiamento</t>
  </si>
  <si>
    <t>Análise de Sensibilidade</t>
  </si>
  <si>
    <t>Variação de Capex</t>
  </si>
  <si>
    <t>Variação de Opex</t>
  </si>
  <si>
    <t>Capex Total</t>
  </si>
  <si>
    <t>Opex Total</t>
  </si>
  <si>
    <t>TIR do Projeto</t>
  </si>
  <si>
    <t>Opex</t>
  </si>
  <si>
    <t>Value For Money (VfM)</t>
  </si>
  <si>
    <t>SMIU - Equipamentos</t>
  </si>
  <si>
    <t xml:space="preserve">SMIU - Equipamentos </t>
  </si>
  <si>
    <t xml:space="preserve">SMIU - Licenças </t>
  </si>
  <si>
    <t xml:space="preserve">SMIU - Ferramentas </t>
  </si>
  <si>
    <t>SMIU - Licenças</t>
  </si>
  <si>
    <t>SMIU - Serviços</t>
  </si>
  <si>
    <t xml:space="preserve">SMIU - Serviços </t>
  </si>
  <si>
    <t>SMIU - Telecomunicações</t>
  </si>
  <si>
    <t>MUNÍCIPIO</t>
  </si>
  <si>
    <t>VALOR CORRESPONDENTE</t>
  </si>
  <si>
    <t>% DO TOTAL</t>
  </si>
  <si>
    <t>AREIÓPOLIS</t>
  </si>
  <si>
    <t>BOTUCATU</t>
  </si>
  <si>
    <t>PARDINHO</t>
  </si>
  <si>
    <t>PRATÂNIA</t>
  </si>
  <si>
    <t>SÃO MANUEL</t>
  </si>
  <si>
    <t>Premissa Rateio</t>
  </si>
  <si>
    <t>Investimentos Totais</t>
  </si>
  <si>
    <t>Custos e Despesas Operacionais, Individuais</t>
  </si>
  <si>
    <t>Custos e Despesas Operacionais, Rateio</t>
  </si>
  <si>
    <t>Investimentos Individual</t>
  </si>
  <si>
    <t>Investimentos Rateio</t>
  </si>
  <si>
    <t>Composição de Custos Operacionais Individuais</t>
  </si>
  <si>
    <t>Composição de Investimento Individual</t>
  </si>
  <si>
    <t>Total Rateio (Capex+opex):</t>
  </si>
  <si>
    <t>Contraprestação Mensal Tecnologia</t>
  </si>
  <si>
    <t>Contraprestação Somatório</t>
  </si>
  <si>
    <t>VPL PSC 25 ANOS</t>
  </si>
  <si>
    <t>VPL PPP 25 ANOS</t>
  </si>
  <si>
    <t>VfM da PPP 25 anos</t>
  </si>
  <si>
    <t>CONTRATAÇÃO TRADICIONAL (Public Sector Comparator - PSC)</t>
  </si>
  <si>
    <t>CAPEX + BDI de Construção Civil</t>
  </si>
  <si>
    <t>PPP</t>
  </si>
  <si>
    <t>CONTRAPRESTAÇÃO 25 ANOS</t>
  </si>
  <si>
    <t>Seguros e Garantias</t>
  </si>
  <si>
    <t>Seguros</t>
  </si>
  <si>
    <t>% Assegurado</t>
  </si>
  <si>
    <t>Apólice (R$)</t>
  </si>
  <si>
    <t>Prêmio a.a.</t>
  </si>
  <si>
    <t>IOF</t>
  </si>
  <si>
    <t>Garantia de Execução do Contrato</t>
  </si>
  <si>
    <t>Garantia de Proposta</t>
  </si>
  <si>
    <t>Indicadores de viabilidade do Projeto (Global)</t>
  </si>
  <si>
    <t>Areiópolis</t>
  </si>
  <si>
    <t>Botucatu</t>
  </si>
  <si>
    <t>Pardinho</t>
  </si>
  <si>
    <t>Pratânia</t>
  </si>
  <si>
    <t>São Manuel</t>
  </si>
  <si>
    <t>Contraprestação  Anual</t>
  </si>
  <si>
    <t>Capex Individual</t>
  </si>
  <si>
    <t>Contraprestação  Mensal</t>
  </si>
  <si>
    <t>Capex Rateio</t>
  </si>
  <si>
    <t>TIR DE PROJETO (%)</t>
  </si>
  <si>
    <t>VPL (R$) - Projeto</t>
  </si>
  <si>
    <t xml:space="preserve">Payback  (Anos) - Projeto </t>
  </si>
  <si>
    <t>Opex Individual</t>
  </si>
  <si>
    <t>Valor do contrato</t>
  </si>
  <si>
    <t>Opex Rateio</t>
  </si>
  <si>
    <t>Resumo (Global)</t>
  </si>
  <si>
    <t xml:space="preserve">CAPEX Indiviual </t>
  </si>
  <si>
    <t>Contratos Mensal</t>
  </si>
  <si>
    <t>CAPEX Rateio</t>
  </si>
  <si>
    <t>CAPEX Total</t>
  </si>
  <si>
    <t>OPEX Individual</t>
  </si>
  <si>
    <t>Rateio</t>
  </si>
  <si>
    <t>Verificador Independente Mensal</t>
  </si>
  <si>
    <t>COSIP Mensal   (100%)</t>
  </si>
  <si>
    <t xml:space="preserve"> </t>
  </si>
  <si>
    <t>Funcionamento serviço</t>
  </si>
  <si>
    <t>Contraprestação Mensal Rateio</t>
  </si>
  <si>
    <t>ICSD Mínimo</t>
  </si>
  <si>
    <t>check ramp-up</t>
  </si>
  <si>
    <t>Rateio Ressarcimento</t>
  </si>
  <si>
    <t xml:space="preserve">Check Rateio </t>
  </si>
  <si>
    <t>Disponibilidade Mensal Areiopolis</t>
  </si>
  <si>
    <t>Disponibilidade Mensal Botucatu</t>
  </si>
  <si>
    <t>Disponibilidade Mensal Pardinho</t>
  </si>
  <si>
    <t>Disponibilidade Mensal Pratânia</t>
  </si>
  <si>
    <t>Disponibilidade Mensal São Manuel</t>
  </si>
  <si>
    <t>Viabilidade Mensal (%)</t>
  </si>
  <si>
    <t>Minimo adicional para viabilização (R$)</t>
  </si>
  <si>
    <t>Objeto</t>
  </si>
  <si>
    <t>TOTAL %</t>
  </si>
  <si>
    <t>Conjunto de videomonitoramento - 4 câmeras</t>
  </si>
  <si>
    <t>Conjunto de videomonitoramento - 8 câmeras</t>
  </si>
  <si>
    <t>Conjunto de videomonitoramento - 16 câmeras</t>
  </si>
  <si>
    <t>Conjunto de videomonitoramento - 1 PTZ Outdoor</t>
  </si>
  <si>
    <t>Conjunto de videomonitoramento - 2 cameras fixas I.A. facil outdoor</t>
  </si>
  <si>
    <t>Conjunto de wifi outdoor - 1 ap</t>
  </si>
  <si>
    <t>conjunto para expansão de videomonitoramento - 1 camera IP Indoor</t>
  </si>
  <si>
    <t>conjunto padrão de energia</t>
  </si>
  <si>
    <t>conjunto de alimentação fotovoltaico</t>
  </si>
  <si>
    <t>conjunto de equipamentos e sistemas para CCO</t>
  </si>
  <si>
    <t>conjunto de comunicação radio base</t>
  </si>
  <si>
    <t>conjunto de comunicação radio ponto a ponto cliente</t>
  </si>
  <si>
    <t>realocação de conjunto de videomonitoramento - PTZ Outdoor</t>
  </si>
  <si>
    <t>realocação de conjunto de videomonitoramento - cameras fixas outdoor</t>
  </si>
  <si>
    <t>realocação de camera indoor</t>
  </si>
  <si>
    <t>serviços de implantação</t>
  </si>
  <si>
    <t>suporte tecnico e manutenção</t>
  </si>
  <si>
    <t>operacional</t>
  </si>
  <si>
    <t>sobressalentes para manutenção</t>
  </si>
  <si>
    <t>Conjunto de videomonitoramento - 1 camera LPR outdoor</t>
  </si>
  <si>
    <t>Conjunto de videomonitoramento - 2 cameras LPR outdoor</t>
  </si>
  <si>
    <t>conjunto de alarme - 04 sensores - indoor</t>
  </si>
  <si>
    <t>conjunto de alarme - 08 sensores - indoor</t>
  </si>
  <si>
    <t>conjunto de alarme - 16 sensores - indoor</t>
  </si>
  <si>
    <t>conjunto para expansao de ponto de coleta de imagem 1 camera LPR - outdoor</t>
  </si>
  <si>
    <t>conjunto para expansão de alarme - 1 senso IR - indoor</t>
  </si>
  <si>
    <t>realocação de conjunto de ponto de coleta e imagem - 1 camera LPR - outdoor</t>
  </si>
  <si>
    <t>realocação de conjunto de ponto de coleta e imagem - 2 camera LPR - outdoor</t>
  </si>
  <si>
    <t>rede de fibra optica propria - outdoor</t>
  </si>
  <si>
    <t>1º Marco</t>
  </si>
  <si>
    <t>2º Marco</t>
  </si>
  <si>
    <t>%</t>
  </si>
  <si>
    <t>Descrição</t>
  </si>
  <si>
    <t>Implantação CCO</t>
  </si>
  <si>
    <t>Serviços</t>
  </si>
  <si>
    <t>indoor</t>
  </si>
  <si>
    <t>outdoor</t>
  </si>
  <si>
    <t>Data center /fibra/CCO</t>
  </si>
  <si>
    <t>Wifi e outros</t>
  </si>
  <si>
    <t>proxy mensuração desempenho</t>
  </si>
  <si>
    <t>Custos e Despesas Operacionais, Totais + seguros</t>
  </si>
  <si>
    <t>-</t>
  </si>
  <si>
    <t>Aporte Público</t>
  </si>
  <si>
    <t>Aportes Públicos</t>
  </si>
  <si>
    <t>CAPEX INICIAL</t>
  </si>
  <si>
    <t>Total do Aporte Público</t>
  </si>
  <si>
    <t>Aporte Público 0% Capex Inicial</t>
  </si>
  <si>
    <t>1º marco</t>
  </si>
  <si>
    <t>2º marco</t>
  </si>
  <si>
    <t>Meses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</si>
  <si>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</si>
  <si>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</si>
  <si>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</si>
  <si>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</si>
  <si>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</si>
  <si>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</si>
  <si>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</si>
  <si>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</si>
  <si>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</si>
  <si>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</si>
  <si>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</si>
  <si>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</si>
  <si>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Entradas</t>
  </si>
  <si>
    <t>Receita Operacional</t>
  </si>
  <si>
    <t>Saídas</t>
  </si>
  <si>
    <t>CUSTOS TOTAL:</t>
  </si>
  <si>
    <t>CAPEX INICIAL TOTAL:</t>
  </si>
  <si>
    <t>1. Videomonitoramento, alarmes e Wifi-Público</t>
  </si>
  <si>
    <t>2. Data Center e Infraestrutura do Centro de Controle Situacional (CCS)</t>
  </si>
  <si>
    <t>1.1. Equipamentos</t>
  </si>
  <si>
    <t>1.2. Materiais</t>
  </si>
  <si>
    <t>1.3. Licenças</t>
  </si>
  <si>
    <t>1.4. Serviços</t>
  </si>
  <si>
    <t>2.1. Equipamentos</t>
  </si>
  <si>
    <t>2.2. Materiais</t>
  </si>
  <si>
    <t>2.3. Licenças</t>
  </si>
  <si>
    <t>2.4. Serviços</t>
  </si>
  <si>
    <t>2.5. Ferramentas</t>
  </si>
  <si>
    <t>1.5. Estudos</t>
  </si>
  <si>
    <t>Taxa de Fiscalização do Consórcio</t>
  </si>
  <si>
    <t>MODELAGEM ECONÔMICO-FINANCEIRA SMART POLO CUESTA</t>
  </si>
  <si>
    <t>x</t>
  </si>
  <si>
    <t>Conta Vinculada</t>
  </si>
  <si>
    <t>Compartilhado</t>
  </si>
  <si>
    <t>CONTRAPRESTAÇÃO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</si>
</sst>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"/>
    <numFmt numFmtId="165" formatCode="_-* #,##0.0_-;\-* #,##0.0_-;_-* &quot;-&quot;??_-;_-@"/>
    <numFmt numFmtId="166" formatCode="_-* #,##0_-;\-* #,##0_-;_-* &quot;-&quot;??_-;_-@"/>
    <numFmt numFmtId="167" formatCode="0.0%"/>
    <numFmt numFmtId="168" formatCode="_-* #,##0.00_-;\-* #,##0.00_-;_-* &quot;-&quot;??_-;_-@"/>
    <numFmt numFmtId="169" formatCode="#,##0.0000"/>
    <numFmt numFmtId="170" formatCode="_-&quot;R$&quot;\ * #,##0.00_-;\-&quot;R$&quot;\ * #,##0.00_-;_-&quot;R$&quot;\ * &quot;-&quot;??_-;_-@"/>
    <numFmt numFmtId="171" formatCode="[$R$ -416]#,##0"/>
    <numFmt numFmtId="172" formatCode="_-* #,##0_-;\-* #,##0_-;_-* &quot;-&quot;??_-;_-@_-"/>
    <numFmt numFmtId="173" formatCode="&quot;R$&quot;\ #,##0.00"/>
    <numFmt numFmtId="174" formatCode="[$R$ -416]#,##0.00"/>
    <numFmt numFmtId="175" formatCode="&quot;ANO &quot;0#"/>
    <numFmt numFmtId="176" formatCode="_-* #,##0.00000000_-;\-* #,##0.00000000_-;_-* &quot;-&quot;??_-;_-@_-"/>
    <numFmt numFmtId="177" formatCode="dd/mm/yy"/>
    <numFmt numFmtId="178" formatCode="0.000%"/>
    <numFmt numFmtId="179" formatCode="_(* #,##0.00_);_(* \(#,##0.00\);_(* &quot;-&quot;??_);_(@_)"/>
    <numFmt numFmtId="180" formatCode="0.000000"/>
  </numFmts>
  <fonts count="59" x14ac:knownFonts="1">
    <font>
      <sz val="10"/>
      <color theme="1"/>
      <name val="Aptos Narrow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</font>
    <font>
      <b/>
      <sz val="10"/>
      <color theme="0"/>
      <name val="Aptos Narrow"/>
      <family val="2"/>
    </font>
    <font>
      <sz val="10"/>
      <color theme="0"/>
      <name val="Aptos Narrow"/>
      <family val="2"/>
    </font>
    <font>
      <b/>
      <sz val="10"/>
      <color theme="1"/>
      <name val="Aptos Narrow"/>
      <family val="2"/>
    </font>
    <font>
      <sz val="10"/>
      <color rgb="FF7F7F7F"/>
      <name val="Aptos Narrow"/>
      <family val="2"/>
    </font>
    <font>
      <b/>
      <sz val="10"/>
      <color rgb="FF9C5700"/>
      <name val="Aptos Narrow"/>
      <family val="2"/>
    </font>
    <font>
      <sz val="10"/>
      <color rgb="FF9C5700"/>
      <name val="Aptos Narrow"/>
      <family val="2"/>
    </font>
    <font>
      <i/>
      <sz val="10"/>
      <color rgb="FF7F7F7F"/>
      <name val="Aptos Narrow"/>
      <family val="2"/>
    </font>
    <font>
      <u/>
      <sz val="10"/>
      <color theme="0"/>
      <name val="Aptos Narrow"/>
      <family val="2"/>
    </font>
    <font>
      <sz val="10"/>
      <color rgb="FF9C0006"/>
      <name val="Aptos Narrow"/>
      <family val="2"/>
    </font>
    <font>
      <sz val="10"/>
      <color rgb="FFFFFFFF"/>
      <name val="Arial"/>
      <family val="2"/>
    </font>
    <font>
      <sz val="10"/>
      <color theme="1"/>
      <name val="Aptos Narrow"/>
      <family val="2"/>
      <scheme val="minor"/>
    </font>
    <font>
      <sz val="10"/>
      <color rgb="FF3F3F3F"/>
      <name val="Aptos Narrow"/>
      <family val="2"/>
    </font>
    <font>
      <b/>
      <sz val="10"/>
      <color rgb="FF3F3F3F"/>
      <name val="Aptos Narrow"/>
      <family val="2"/>
    </font>
    <font>
      <sz val="10"/>
      <color rgb="FFF2F2F2"/>
      <name val="Aptos Narrow"/>
      <family val="2"/>
    </font>
    <font>
      <b/>
      <u/>
      <sz val="10"/>
      <color theme="1"/>
      <name val="Aptos Narrow"/>
      <family val="2"/>
    </font>
    <font>
      <u/>
      <sz val="10"/>
      <color theme="1"/>
      <name val="Aptos Narrow"/>
      <family val="2"/>
    </font>
    <font>
      <u/>
      <sz val="10"/>
      <color theme="1"/>
      <name val="Aptos Narrow"/>
      <family val="2"/>
    </font>
    <font>
      <u/>
      <sz val="10"/>
      <color theme="1"/>
      <name val="Aptos Narrow"/>
      <family val="2"/>
    </font>
    <font>
      <b/>
      <sz val="11"/>
      <color theme="1"/>
      <name val="Aptos Narrow"/>
      <family val="2"/>
    </font>
    <font>
      <sz val="10"/>
      <name val="Aptos Narrow"/>
      <family val="2"/>
    </font>
    <font>
      <sz val="10"/>
      <color rgb="FF7F7F7F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ptos Narrow"/>
      <family val="2"/>
    </font>
    <font>
      <b/>
      <sz val="10"/>
      <color theme="1"/>
      <name val="Calibri"/>
      <family val="2"/>
    </font>
    <font>
      <sz val="12"/>
      <color rgb="FF000000"/>
      <name val="Calibri"/>
      <family val="2"/>
    </font>
    <font>
      <sz val="10"/>
      <name val="Aptos Narrow"/>
      <family val="2"/>
    </font>
    <font>
      <b/>
      <sz val="10"/>
      <color theme="1"/>
      <name val="Aptos Narrow"/>
      <family val="2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theme="1"/>
      <name val="Aptos Narrow"/>
      <family val="2"/>
      <scheme val="minor"/>
    </font>
    <font>
      <b/>
      <sz val="10"/>
      <name val="Aptos Narrow"/>
      <family val="2"/>
    </font>
    <font>
      <b/>
      <sz val="10"/>
      <name val="Calibri"/>
      <family val="2"/>
    </font>
    <font>
      <u/>
      <sz val="10"/>
      <color theme="10"/>
      <name val="Aptos Narrow"/>
      <family val="2"/>
      <scheme val="minor"/>
    </font>
    <font>
      <i/>
      <sz val="10"/>
      <color theme="0" tint="-0.499984740745262"/>
      <name val="Aptos Narrow"/>
      <family val="2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1"/>
      <color theme="0"/>
      <name val="Calibri"/>
      <family val="2"/>
    </font>
    <font>
      <b/>
      <sz val="10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0"/>
      <color theme="1"/>
      <name val="Aptos Narrow"/>
      <family val="2"/>
      <scheme val="minor"/>
    </font>
    <font>
      <sz val="11"/>
      <color theme="1"/>
      <name val="Aptos Narrow"/>
      <family val="2"/>
    </font>
    <font>
      <sz val="10"/>
      <name val="Aptos Narrow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ptos Narrow"/>
      <family val="2"/>
      <scheme val="major"/>
    </font>
    <font>
      <b/>
      <sz val="10"/>
      <color theme="0"/>
      <name val="Aptos Narrow"/>
      <family val="2"/>
      <scheme val="minor"/>
    </font>
    <font>
      <b/>
      <i/>
      <sz val="18"/>
      <color theme="0"/>
      <name val="Aptos Narrow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4"/>
      <color theme="0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434B3F"/>
        <bgColor rgb="FF434B3F"/>
      </patternFill>
    </fill>
    <fill>
      <patternFill patternType="solid">
        <fgColor theme="0"/>
        <bgColor theme="0"/>
      </patternFill>
    </fill>
    <fill>
      <patternFill patternType="solid">
        <fgColor rgb="FF0ABAB5"/>
        <bgColor rgb="FF0ABAB5"/>
      </patternFill>
    </fill>
    <fill>
      <patternFill patternType="solid">
        <fgColor rgb="FF0096FF"/>
        <bgColor rgb="FF0096FF"/>
      </patternFill>
    </fill>
    <fill>
      <patternFill patternType="solid">
        <fgColor rgb="FFE8E8E8"/>
        <bgColor rgb="FFE8E8E8"/>
      </patternFill>
    </fill>
    <fill>
      <patternFill patternType="solid">
        <fgColor rgb="FFFFEB9C"/>
        <bgColor rgb="FFFFEB9C"/>
      </patternFill>
    </fill>
    <fill>
      <patternFill patternType="solid">
        <fgColor rgb="FFFFC7CE"/>
        <bgColor rgb="FFFFC7CE"/>
      </patternFill>
    </fill>
    <fill>
      <patternFill patternType="solid">
        <fgColor rgb="FF005493"/>
        <bgColor rgb="FF005493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E8E8E8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227ACB"/>
        <bgColor indexed="64"/>
      </patternFill>
    </fill>
    <fill>
      <patternFill patternType="solid">
        <fgColor rgb="FFA3DB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96FF"/>
      </patternFill>
    </fill>
    <fill>
      <patternFill patternType="solid">
        <fgColor theme="0"/>
        <bgColor rgb="FF005493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rgb="FFFFEB9C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499984740745262"/>
        <bgColor rgb="FF0ABAB5"/>
      </patternFill>
    </fill>
    <fill>
      <patternFill patternType="solid">
        <fgColor theme="0"/>
        <bgColor rgb="FFFFEB9C"/>
      </patternFill>
    </fill>
    <fill>
      <patternFill patternType="solid">
        <fgColor rgb="FFAEABAB"/>
        <bgColor rgb="FFAEABAB"/>
      </patternFill>
    </fill>
    <fill>
      <patternFill patternType="solid">
        <fgColor rgb="FFBFBFBF"/>
        <bgColor rgb="FFBFBFBF"/>
      </patternFill>
    </fill>
    <fill>
      <patternFill patternType="solid">
        <fgColor rgb="FF1B2E5A"/>
        <bgColor indexed="64"/>
      </patternFill>
    </fill>
  </fills>
  <borders count="94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 style="thick">
        <color theme="0"/>
      </left>
      <right style="thick">
        <color theme="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 style="thick">
        <color theme="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otted">
        <color indexed="64"/>
      </top>
      <bottom style="dotted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hair">
        <color theme="1"/>
      </top>
      <bottom/>
      <diagonal/>
    </border>
    <border>
      <left style="thick">
        <color theme="0"/>
      </left>
      <right style="thick">
        <color theme="0"/>
      </right>
      <top style="thin">
        <color theme="1"/>
      </top>
      <bottom/>
      <diagonal/>
    </border>
    <border>
      <left/>
      <right/>
      <top style="thin">
        <color theme="1"/>
      </top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/>
      <right/>
      <top/>
      <bottom style="dotted">
        <color theme="1"/>
      </bottom>
      <diagonal/>
    </border>
    <border>
      <left/>
      <right/>
      <top style="dotted">
        <color theme="1"/>
      </top>
      <bottom style="hair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hair">
        <color rgb="FF000000"/>
      </bottom>
      <diagonal/>
    </border>
    <border>
      <left/>
      <right/>
      <top style="thin">
        <color indexed="64"/>
      </top>
      <bottom style="dotted">
        <color theme="1"/>
      </bottom>
      <diagonal/>
    </border>
    <border>
      <left/>
      <right/>
      <top style="dotted">
        <color rgb="FF000000"/>
      </top>
      <bottom style="dotted">
        <color theme="1"/>
      </bottom>
      <diagonal/>
    </border>
    <border>
      <left/>
      <right/>
      <top style="dotted">
        <color indexed="64"/>
      </top>
      <bottom style="dotted">
        <color theme="1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dotted">
        <color rgb="FF000000"/>
      </bottom>
      <diagonal/>
    </border>
    <border>
      <left/>
      <right/>
      <top style="thin">
        <color rgb="FF000000"/>
      </top>
      <bottom style="dotted">
        <color indexed="64"/>
      </bottom>
      <diagonal/>
    </border>
    <border>
      <left/>
      <right/>
      <top style="dotted">
        <color rgb="FF000000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dotted">
        <color theme="1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dotted">
        <color indexed="64"/>
      </top>
      <bottom style="thin">
        <color rgb="FF000000"/>
      </bottom>
      <diagonal/>
    </border>
    <border>
      <left/>
      <right/>
      <top style="dotted">
        <color theme="1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</borders>
  <cellStyleXfs count="19">
    <xf numFmtId="0" fontId="0" fillId="0" borderId="0"/>
    <xf numFmtId="44" fontId="16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4" fillId="0" borderId="36"/>
    <xf numFmtId="9" fontId="3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4" fillId="0" borderId="36"/>
    <xf numFmtId="44" fontId="4" fillId="0" borderId="36" applyFont="0" applyFill="0" applyBorder="0" applyAlignment="0" applyProtection="0"/>
    <xf numFmtId="9" fontId="4" fillId="0" borderId="36" applyFont="0" applyFill="0" applyBorder="0" applyAlignment="0" applyProtection="0"/>
    <xf numFmtId="0" fontId="41" fillId="0" borderId="36" applyNumberFormat="0" applyFill="0" applyBorder="0" applyAlignment="0" applyProtection="0"/>
    <xf numFmtId="9" fontId="16" fillId="0" borderId="36" applyFont="0" applyFill="0" applyBorder="0" applyAlignment="0" applyProtection="0"/>
    <xf numFmtId="0" fontId="16" fillId="0" borderId="36"/>
    <xf numFmtId="0" fontId="3" fillId="0" borderId="36"/>
    <xf numFmtId="44" fontId="3" fillId="0" borderId="36" applyFont="0" applyFill="0" applyBorder="0" applyAlignment="0" applyProtection="0"/>
    <xf numFmtId="43" fontId="16" fillId="0" borderId="36" applyFont="0" applyFill="0" applyBorder="0" applyAlignment="0" applyProtection="0"/>
    <xf numFmtId="43" fontId="3" fillId="0" borderId="36" applyFont="0" applyFill="0" applyBorder="0" applyAlignment="0" applyProtection="0"/>
    <xf numFmtId="0" fontId="3" fillId="0" borderId="36"/>
    <xf numFmtId="0" fontId="2" fillId="0" borderId="39" applyNumberFormat="0" applyAlignment="0">
      <alignment horizontal="left" vertical="center" wrapText="1"/>
      <protection locked="0"/>
    </xf>
    <xf numFmtId="0" fontId="1" fillId="0" borderId="36"/>
  </cellStyleXfs>
  <cellXfs count="658"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3" borderId="1" xfId="0" applyFont="1" applyFill="1" applyBorder="1" applyAlignment="1">
      <alignment vertical="center"/>
    </xf>
    <xf numFmtId="164" fontId="6" fillId="4" borderId="1" xfId="0" applyNumberFormat="1" applyFont="1" applyFill="1" applyBorder="1" applyAlignment="1">
      <alignment vertical="center"/>
    </xf>
    <xf numFmtId="16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165" fontId="5" fillId="0" borderId="0" xfId="0" applyNumberFormat="1" applyFont="1" applyAlignment="1">
      <alignment vertical="center"/>
    </xf>
    <xf numFmtId="0" fontId="7" fillId="4" borderId="1" xfId="0" applyFont="1" applyFill="1" applyBorder="1" applyAlignment="1">
      <alignment vertical="center"/>
    </xf>
    <xf numFmtId="3" fontId="7" fillId="4" borderId="1" xfId="0" applyNumberFormat="1" applyFont="1" applyFill="1" applyBorder="1" applyAlignment="1">
      <alignment vertical="center"/>
    </xf>
    <xf numFmtId="166" fontId="8" fillId="6" borderId="2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3" fontId="11" fillId="7" borderId="8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/>
    </xf>
    <xf numFmtId="3" fontId="10" fillId="7" borderId="4" xfId="0" applyNumberFormat="1" applyFont="1" applyFill="1" applyBorder="1" applyAlignment="1">
      <alignment vertical="center"/>
    </xf>
    <xf numFmtId="3" fontId="11" fillId="7" borderId="4" xfId="0" applyNumberFormat="1" applyFont="1" applyFill="1" applyBorder="1" applyAlignment="1">
      <alignment vertical="center"/>
    </xf>
    <xf numFmtId="0" fontId="5" fillId="0" borderId="10" xfId="0" applyFont="1" applyBorder="1" applyAlignment="1">
      <alignment vertical="center"/>
    </xf>
    <xf numFmtId="3" fontId="10" fillId="7" borderId="11" xfId="0" applyNumberFormat="1" applyFont="1" applyFill="1" applyBorder="1" applyAlignment="1">
      <alignment vertical="center"/>
    </xf>
    <xf numFmtId="3" fontId="11" fillId="7" borderId="11" xfId="0" applyNumberFormat="1" applyFont="1" applyFill="1" applyBorder="1" applyAlignment="1">
      <alignment vertical="center"/>
    </xf>
    <xf numFmtId="0" fontId="5" fillId="0" borderId="12" xfId="0" applyFont="1" applyBorder="1" applyAlignment="1">
      <alignment vertical="center"/>
    </xf>
    <xf numFmtId="3" fontId="5" fillId="0" borderId="12" xfId="0" applyNumberFormat="1" applyFont="1" applyBorder="1" applyAlignment="1">
      <alignment vertical="center"/>
    </xf>
    <xf numFmtId="0" fontId="9" fillId="0" borderId="10" xfId="0" applyFont="1" applyBorder="1" applyAlignment="1">
      <alignment vertical="center"/>
    </xf>
    <xf numFmtId="3" fontId="5" fillId="0" borderId="10" xfId="0" applyNumberFormat="1" applyFont="1" applyBorder="1" applyAlignment="1">
      <alignment vertical="center"/>
    </xf>
    <xf numFmtId="0" fontId="8" fillId="6" borderId="2" xfId="0" applyFont="1" applyFill="1" applyBorder="1" applyAlignment="1">
      <alignment vertical="center"/>
    </xf>
    <xf numFmtId="0" fontId="8" fillId="6" borderId="2" xfId="0" applyFont="1" applyFill="1" applyBorder="1" applyAlignment="1">
      <alignment horizontal="center" vertical="center"/>
    </xf>
    <xf numFmtId="3" fontId="8" fillId="6" borderId="2" xfId="0" applyNumberFormat="1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3" fontId="5" fillId="0" borderId="6" xfId="0" applyNumberFormat="1" applyFont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167" fontId="12" fillId="0" borderId="9" xfId="0" applyNumberFormat="1" applyFont="1" applyBorder="1" applyAlignment="1">
      <alignment vertical="center"/>
    </xf>
    <xf numFmtId="10" fontId="5" fillId="3" borderId="1" xfId="0" applyNumberFormat="1" applyFont="1" applyFill="1" applyBorder="1" applyAlignment="1">
      <alignment vertical="center"/>
    </xf>
    <xf numFmtId="3" fontId="11" fillId="3" borderId="1" xfId="0" applyNumberFormat="1" applyFont="1" applyFill="1" applyBorder="1" applyAlignment="1">
      <alignment vertical="center"/>
    </xf>
    <xf numFmtId="0" fontId="8" fillId="6" borderId="3" xfId="0" applyFont="1" applyFill="1" applyBorder="1" applyAlignment="1">
      <alignment vertical="center"/>
    </xf>
    <xf numFmtId="168" fontId="5" fillId="0" borderId="5" xfId="0" applyNumberFormat="1" applyFont="1" applyBorder="1" applyAlignment="1">
      <alignment vertical="center"/>
    </xf>
    <xf numFmtId="3" fontId="5" fillId="0" borderId="5" xfId="0" applyNumberFormat="1" applyFont="1" applyBorder="1" applyAlignment="1">
      <alignment vertical="center"/>
    </xf>
    <xf numFmtId="3" fontId="11" fillId="7" borderId="7" xfId="0" applyNumberFormat="1" applyFont="1" applyFill="1" applyBorder="1" applyAlignment="1">
      <alignment vertical="center"/>
    </xf>
    <xf numFmtId="0" fontId="9" fillId="0" borderId="9" xfId="0" applyFont="1" applyBorder="1" applyAlignment="1">
      <alignment vertical="center"/>
    </xf>
    <xf numFmtId="3" fontId="5" fillId="0" borderId="9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3" fillId="4" borderId="1" xfId="0" applyFont="1" applyFill="1" applyBorder="1" applyAlignment="1">
      <alignment vertical="center"/>
    </xf>
    <xf numFmtId="0" fontId="5" fillId="0" borderId="13" xfId="0" applyFont="1" applyBorder="1" applyAlignment="1">
      <alignment vertical="center"/>
    </xf>
    <xf numFmtId="3" fontId="5" fillId="0" borderId="13" xfId="0" applyNumberFormat="1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3" fontId="5" fillId="0" borderId="14" xfId="0" applyNumberFormat="1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167" fontId="11" fillId="7" borderId="16" xfId="0" applyNumberFormat="1" applyFont="1" applyFill="1" applyBorder="1" applyAlignment="1">
      <alignment horizontal="center" vertical="center"/>
    </xf>
    <xf numFmtId="4" fontId="5" fillId="0" borderId="15" xfId="0" applyNumberFormat="1" applyFont="1" applyBorder="1" applyAlignment="1">
      <alignment vertical="center"/>
    </xf>
    <xf numFmtId="3" fontId="5" fillId="0" borderId="15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3" xfId="0" applyFont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5" fillId="0" borderId="14" xfId="0" quotePrefix="1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vertical="center"/>
    </xf>
    <xf numFmtId="3" fontId="8" fillId="0" borderId="15" xfId="0" applyNumberFormat="1" applyFont="1" applyBorder="1" applyAlignment="1">
      <alignment vertical="center"/>
    </xf>
    <xf numFmtId="0" fontId="8" fillId="0" borderId="18" xfId="0" applyFont="1" applyBorder="1" applyAlignment="1">
      <alignment vertical="center"/>
    </xf>
    <xf numFmtId="3" fontId="8" fillId="0" borderId="18" xfId="0" applyNumberFormat="1" applyFont="1" applyBorder="1" applyAlignment="1">
      <alignment vertical="center"/>
    </xf>
    <xf numFmtId="0" fontId="8" fillId="0" borderId="18" xfId="0" applyFont="1" applyBorder="1" applyAlignment="1">
      <alignment horizontal="center" vertical="center"/>
    </xf>
    <xf numFmtId="167" fontId="10" fillId="7" borderId="2" xfId="0" applyNumberFormat="1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67" fontId="11" fillId="7" borderId="19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3" fontId="8" fillId="0" borderId="12" xfId="0" applyNumberFormat="1" applyFont="1" applyBorder="1" applyAlignment="1">
      <alignment vertical="center"/>
    </xf>
    <xf numFmtId="0" fontId="5" fillId="0" borderId="18" xfId="0" applyFont="1" applyBorder="1" applyAlignment="1">
      <alignment vertical="center"/>
    </xf>
    <xf numFmtId="0" fontId="14" fillId="8" borderId="2" xfId="0" applyFont="1" applyFill="1" applyBorder="1" applyAlignment="1">
      <alignment horizontal="center" vertical="center"/>
    </xf>
    <xf numFmtId="3" fontId="5" fillId="0" borderId="18" xfId="0" applyNumberFormat="1" applyFont="1" applyBorder="1" applyAlignment="1">
      <alignment vertical="center"/>
    </xf>
    <xf numFmtId="0" fontId="7" fillId="9" borderId="3" xfId="0" applyFont="1" applyFill="1" applyBorder="1" applyAlignment="1">
      <alignment vertical="center"/>
    </xf>
    <xf numFmtId="0" fontId="7" fillId="9" borderId="20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vertical="center"/>
    </xf>
    <xf numFmtId="0" fontId="15" fillId="5" borderId="1" xfId="0" applyFont="1" applyFill="1" applyBorder="1" applyAlignment="1">
      <alignment horizontal="center" vertical="center"/>
    </xf>
    <xf numFmtId="0" fontId="7" fillId="9" borderId="21" xfId="0" applyFont="1" applyFill="1" applyBorder="1" applyAlignment="1">
      <alignment vertical="center"/>
    </xf>
    <xf numFmtId="164" fontId="7" fillId="9" borderId="22" xfId="0" applyNumberFormat="1" applyFont="1" applyFill="1" applyBorder="1" applyAlignment="1">
      <alignment horizontal="center" vertical="center"/>
    </xf>
    <xf numFmtId="10" fontId="11" fillId="7" borderId="19" xfId="0" applyNumberFormat="1" applyFont="1" applyFill="1" applyBorder="1" applyAlignment="1">
      <alignment vertical="center"/>
    </xf>
    <xf numFmtId="10" fontId="5" fillId="0" borderId="13" xfId="0" applyNumberFormat="1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169" fontId="5" fillId="0" borderId="23" xfId="0" applyNumberFormat="1" applyFont="1" applyBorder="1" applyAlignment="1">
      <alignment vertical="center"/>
    </xf>
    <xf numFmtId="4" fontId="11" fillId="7" borderId="17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right" vertical="center"/>
    </xf>
    <xf numFmtId="164" fontId="7" fillId="9" borderId="24" xfId="0" applyNumberFormat="1" applyFont="1" applyFill="1" applyBorder="1" applyAlignment="1">
      <alignment horizontal="center" vertical="center"/>
    </xf>
    <xf numFmtId="4" fontId="8" fillId="6" borderId="2" xfId="0" applyNumberFormat="1" applyFont="1" applyFill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4" fontId="5" fillId="0" borderId="25" xfId="0" applyNumberFormat="1" applyFont="1" applyBorder="1" applyAlignment="1">
      <alignment vertical="center"/>
    </xf>
    <xf numFmtId="167" fontId="14" fillId="8" borderId="1" xfId="0" applyNumberFormat="1" applyFont="1" applyFill="1" applyBorder="1" applyAlignment="1">
      <alignment horizontal="center" vertical="center"/>
    </xf>
    <xf numFmtId="3" fontId="5" fillId="0" borderId="25" xfId="0" applyNumberFormat="1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0" fontId="16" fillId="0" borderId="0" xfId="0" applyFont="1" applyAlignment="1">
      <alignment vertical="center"/>
    </xf>
    <xf numFmtId="0" fontId="5" fillId="0" borderId="26" xfId="0" applyFont="1" applyBorder="1" applyAlignment="1">
      <alignment vertical="center"/>
    </xf>
    <xf numFmtId="3" fontId="5" fillId="0" borderId="26" xfId="0" applyNumberFormat="1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9" fontId="12" fillId="0" borderId="23" xfId="0" applyNumberFormat="1" applyFont="1" applyBorder="1" applyAlignment="1">
      <alignment vertical="center"/>
    </xf>
    <xf numFmtId="0" fontId="11" fillId="7" borderId="1" xfId="0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3" fontId="5" fillId="0" borderId="23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9" fontId="5" fillId="0" borderId="0" xfId="0" applyNumberFormat="1" applyFont="1" applyAlignment="1">
      <alignment vertical="center"/>
    </xf>
    <xf numFmtId="3" fontId="8" fillId="0" borderId="5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10" borderId="3" xfId="0" applyFont="1" applyFill="1" applyBorder="1" applyAlignment="1">
      <alignment vertical="center"/>
    </xf>
    <xf numFmtId="3" fontId="18" fillId="10" borderId="3" xfId="0" applyNumberFormat="1" applyFont="1" applyFill="1" applyBorder="1" applyAlignment="1">
      <alignment vertical="center"/>
    </xf>
    <xf numFmtId="3" fontId="18" fillId="10" borderId="20" xfId="0" applyNumberFormat="1" applyFont="1" applyFill="1" applyBorder="1" applyAlignment="1">
      <alignment vertical="center"/>
    </xf>
    <xf numFmtId="0" fontId="18" fillId="10" borderId="1" xfId="0" applyFont="1" applyFill="1" applyBorder="1" applyAlignment="1">
      <alignment vertical="center"/>
    </xf>
    <xf numFmtId="9" fontId="17" fillId="10" borderId="1" xfId="0" applyNumberFormat="1" applyFont="1" applyFill="1" applyBorder="1" applyAlignment="1">
      <alignment horizontal="right" vertical="center"/>
    </xf>
    <xf numFmtId="9" fontId="17" fillId="10" borderId="24" xfId="0" applyNumberFormat="1" applyFont="1" applyFill="1" applyBorder="1" applyAlignment="1">
      <alignment horizontal="right" vertical="center"/>
    </xf>
    <xf numFmtId="0" fontId="8" fillId="0" borderId="18" xfId="0" applyFont="1" applyBorder="1" applyAlignment="1">
      <alignment horizontal="right" vertical="center"/>
    </xf>
    <xf numFmtId="10" fontId="8" fillId="0" borderId="18" xfId="0" applyNumberFormat="1" applyFont="1" applyBorder="1" applyAlignment="1">
      <alignment horizontal="center" vertical="center"/>
    </xf>
    <xf numFmtId="9" fontId="5" fillId="0" borderId="25" xfId="0" applyNumberFormat="1" applyFont="1" applyBorder="1" applyAlignment="1">
      <alignment vertical="center"/>
    </xf>
    <xf numFmtId="0" fontId="18" fillId="10" borderId="21" xfId="0" applyFont="1" applyFill="1" applyBorder="1" applyAlignment="1">
      <alignment vertical="center"/>
    </xf>
    <xf numFmtId="3" fontId="18" fillId="10" borderId="21" xfId="0" applyNumberFormat="1" applyFont="1" applyFill="1" applyBorder="1" applyAlignment="1">
      <alignment vertical="center"/>
    </xf>
    <xf numFmtId="3" fontId="18" fillId="10" borderId="22" xfId="0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right" vertical="center"/>
    </xf>
    <xf numFmtId="167" fontId="5" fillId="0" borderId="13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3" fontId="5" fillId="0" borderId="14" xfId="0" applyNumberFormat="1" applyFont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2" fillId="0" borderId="18" xfId="0" applyFont="1" applyBorder="1" applyAlignment="1">
      <alignment vertical="center"/>
    </xf>
    <xf numFmtId="3" fontId="23" fillId="0" borderId="18" xfId="0" applyNumberFormat="1" applyFont="1" applyBorder="1" applyAlignment="1">
      <alignment vertical="center"/>
    </xf>
    <xf numFmtId="10" fontId="10" fillId="7" borderId="1" xfId="0" applyNumberFormat="1" applyFont="1" applyFill="1" applyBorder="1" applyAlignment="1">
      <alignment horizontal="center" vertical="center"/>
    </xf>
    <xf numFmtId="10" fontId="11" fillId="7" borderId="1" xfId="0" applyNumberFormat="1" applyFont="1" applyFill="1" applyBorder="1" applyAlignment="1">
      <alignment horizontal="center" vertical="center"/>
    </xf>
    <xf numFmtId="9" fontId="11" fillId="7" borderId="1" xfId="0" applyNumberFormat="1" applyFont="1" applyFill="1" applyBorder="1" applyAlignment="1">
      <alignment horizontal="center" vertical="center"/>
    </xf>
    <xf numFmtId="4" fontId="11" fillId="7" borderId="1" xfId="0" applyNumberFormat="1" applyFont="1" applyFill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11" fillId="7" borderId="1" xfId="0" applyNumberFormat="1" applyFont="1" applyFill="1" applyBorder="1" applyAlignment="1">
      <alignment horizontal="center" vertical="center"/>
    </xf>
    <xf numFmtId="170" fontId="5" fillId="0" borderId="0" xfId="0" applyNumberFormat="1" applyFont="1" applyAlignmen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3" fontId="26" fillId="0" borderId="0" xfId="0" applyNumberFormat="1" applyFont="1"/>
    <xf numFmtId="0" fontId="8" fillId="3" borderId="21" xfId="0" applyFont="1" applyFill="1" applyBorder="1"/>
    <xf numFmtId="0" fontId="5" fillId="3" borderId="21" xfId="0" applyFont="1" applyFill="1" applyBorder="1"/>
    <xf numFmtId="0" fontId="28" fillId="3" borderId="1" xfId="0" applyFont="1" applyFill="1" applyBorder="1"/>
    <xf numFmtId="0" fontId="8" fillId="3" borderId="1" xfId="0" applyFont="1" applyFill="1" applyBorder="1"/>
    <xf numFmtId="0" fontId="5" fillId="3" borderId="1" xfId="0" applyFont="1" applyFill="1" applyBorder="1"/>
    <xf numFmtId="167" fontId="27" fillId="3" borderId="1" xfId="0" applyNumberFormat="1" applyFont="1" applyFill="1" applyBorder="1" applyAlignment="1">
      <alignment horizontal="center"/>
    </xf>
    <xf numFmtId="10" fontId="5" fillId="3" borderId="1" xfId="0" applyNumberFormat="1" applyFont="1" applyFill="1" applyBorder="1"/>
    <xf numFmtId="2" fontId="5" fillId="3" borderId="1" xfId="0" applyNumberFormat="1" applyFont="1" applyFill="1" applyBorder="1"/>
    <xf numFmtId="10" fontId="27" fillId="3" borderId="1" xfId="0" applyNumberFormat="1" applyFont="1" applyFill="1" applyBorder="1" applyAlignment="1">
      <alignment horizontal="center"/>
    </xf>
    <xf numFmtId="167" fontId="29" fillId="3" borderId="1" xfId="0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right"/>
    </xf>
    <xf numFmtId="0" fontId="29" fillId="3" borderId="1" xfId="0" applyFont="1" applyFill="1" applyBorder="1" applyAlignment="1">
      <alignment horizontal="right"/>
    </xf>
    <xf numFmtId="9" fontId="5" fillId="3" borderId="1" xfId="0" applyNumberFormat="1" applyFont="1" applyFill="1" applyBorder="1"/>
    <xf numFmtId="10" fontId="8" fillId="3" borderId="1" xfId="0" applyNumberFormat="1" applyFont="1" applyFill="1" applyBorder="1"/>
    <xf numFmtId="0" fontId="30" fillId="3" borderId="1" xfId="0" applyFont="1" applyFill="1" applyBorder="1" applyAlignment="1">
      <alignment vertical="center"/>
    </xf>
    <xf numFmtId="0" fontId="5" fillId="11" borderId="0" xfId="0" applyFont="1" applyFill="1" applyAlignment="1">
      <alignment vertical="center"/>
    </xf>
    <xf numFmtId="166" fontId="32" fillId="6" borderId="2" xfId="0" applyNumberFormat="1" applyFont="1" applyFill="1" applyBorder="1" applyAlignment="1">
      <alignment vertical="center"/>
    </xf>
    <xf numFmtId="3" fontId="5" fillId="11" borderId="6" xfId="0" applyNumberFormat="1" applyFont="1" applyFill="1" applyBorder="1" applyAlignment="1">
      <alignment vertical="center"/>
    </xf>
    <xf numFmtId="0" fontId="5" fillId="11" borderId="9" xfId="0" applyFont="1" applyFill="1" applyBorder="1" applyAlignment="1">
      <alignment vertical="center"/>
    </xf>
    <xf numFmtId="44" fontId="5" fillId="0" borderId="12" xfId="1" applyFont="1" applyBorder="1" applyAlignment="1">
      <alignment vertical="center"/>
    </xf>
    <xf numFmtId="3" fontId="5" fillId="11" borderId="18" xfId="0" applyNumberFormat="1" applyFont="1" applyFill="1" applyBorder="1" applyAlignment="1">
      <alignment vertical="center"/>
    </xf>
    <xf numFmtId="44" fontId="5" fillId="0" borderId="0" xfId="1" applyFont="1" applyAlignment="1">
      <alignment vertical="center"/>
    </xf>
    <xf numFmtId="43" fontId="5" fillId="0" borderId="0" xfId="0" applyNumberFormat="1" applyFont="1" applyAlignment="1">
      <alignment vertical="center"/>
    </xf>
    <xf numFmtId="43" fontId="5" fillId="0" borderId="12" xfId="0" applyNumberFormat="1" applyFont="1" applyBorder="1" applyAlignment="1">
      <alignment vertical="center"/>
    </xf>
    <xf numFmtId="171" fontId="8" fillId="0" borderId="1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8" fillId="0" borderId="36" xfId="0" applyFont="1" applyBorder="1" applyAlignment="1">
      <alignment vertical="center"/>
    </xf>
    <xf numFmtId="3" fontId="5" fillId="0" borderId="43" xfId="0" applyNumberFormat="1" applyFont="1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10" fontId="8" fillId="0" borderId="36" xfId="0" applyNumberFormat="1" applyFont="1" applyBorder="1" applyAlignment="1">
      <alignment vertical="center"/>
    </xf>
    <xf numFmtId="10" fontId="36" fillId="0" borderId="36" xfId="0" applyNumberFormat="1" applyFont="1" applyBorder="1" applyAlignment="1">
      <alignment vertical="center"/>
    </xf>
    <xf numFmtId="10" fontId="36" fillId="0" borderId="36" xfId="0" applyNumberFormat="1" applyFont="1" applyBorder="1"/>
    <xf numFmtId="10" fontId="5" fillId="0" borderId="14" xfId="4" applyNumberFormat="1" applyFont="1" applyBorder="1" applyAlignment="1">
      <alignment vertical="center"/>
    </xf>
    <xf numFmtId="0" fontId="5" fillId="0" borderId="36" xfId="0" applyFont="1" applyBorder="1" applyAlignment="1">
      <alignment vertical="center"/>
    </xf>
    <xf numFmtId="166" fontId="31" fillId="3" borderId="36" xfId="0" applyNumberFormat="1" applyFont="1" applyFill="1" applyBorder="1" applyAlignment="1">
      <alignment vertical="center"/>
    </xf>
    <xf numFmtId="43" fontId="8" fillId="3" borderId="1" xfId="2" applyFont="1" applyFill="1" applyBorder="1" applyAlignment="1">
      <alignment vertical="center"/>
    </xf>
    <xf numFmtId="10" fontId="37" fillId="3" borderId="1" xfId="0" applyNumberFormat="1" applyFont="1" applyFill="1" applyBorder="1" applyAlignment="1">
      <alignment horizontal="center"/>
    </xf>
    <xf numFmtId="4" fontId="8" fillId="3" borderId="1" xfId="0" applyNumberFormat="1" applyFont="1" applyFill="1" applyBorder="1" applyAlignment="1">
      <alignment vertical="center"/>
    </xf>
    <xf numFmtId="4" fontId="5" fillId="0" borderId="9" xfId="0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4" fontId="5" fillId="0" borderId="5" xfId="0" applyNumberFormat="1" applyFont="1" applyBorder="1" applyAlignment="1">
      <alignment vertical="center"/>
    </xf>
    <xf numFmtId="10" fontId="5" fillId="0" borderId="43" xfId="4" applyNumberFormat="1" applyFont="1" applyBorder="1" applyAlignment="1">
      <alignment vertical="center"/>
    </xf>
    <xf numFmtId="43" fontId="5" fillId="0" borderId="5" xfId="2" applyFont="1" applyBorder="1" applyAlignment="1">
      <alignment vertical="center"/>
    </xf>
    <xf numFmtId="43" fontId="8" fillId="0" borderId="12" xfId="2" applyFont="1" applyBorder="1" applyAlignment="1">
      <alignment vertical="center"/>
    </xf>
    <xf numFmtId="172" fontId="8" fillId="6" borderId="2" xfId="2" applyNumberFormat="1" applyFont="1" applyFill="1" applyBorder="1" applyAlignment="1">
      <alignment horizontal="center" vertical="center"/>
    </xf>
    <xf numFmtId="3" fontId="5" fillId="0" borderId="36" xfId="0" applyNumberFormat="1" applyFont="1" applyBorder="1" applyAlignment="1">
      <alignment vertical="center"/>
    </xf>
    <xf numFmtId="3" fontId="5" fillId="11" borderId="36" xfId="0" applyNumberFormat="1" applyFont="1" applyFill="1" applyBorder="1" applyAlignment="1">
      <alignment vertical="center"/>
    </xf>
    <xf numFmtId="43" fontId="5" fillId="0" borderId="18" xfId="2" applyFont="1" applyBorder="1" applyAlignment="1">
      <alignment vertical="center"/>
    </xf>
    <xf numFmtId="166" fontId="7" fillId="3" borderId="8" xfId="0" applyNumberFormat="1" applyFont="1" applyFill="1" applyBorder="1" applyAlignment="1">
      <alignment vertical="center"/>
    </xf>
    <xf numFmtId="44" fontId="31" fillId="3" borderId="8" xfId="1" applyFont="1" applyFill="1" applyBorder="1" applyAlignment="1">
      <alignment vertical="center"/>
    </xf>
    <xf numFmtId="166" fontId="7" fillId="3" borderId="36" xfId="0" applyNumberFormat="1" applyFont="1" applyFill="1" applyBorder="1" applyAlignment="1">
      <alignment vertical="center"/>
    </xf>
    <xf numFmtId="166" fontId="8" fillId="13" borderId="36" xfId="0" applyNumberFormat="1" applyFont="1" applyFill="1" applyBorder="1" applyAlignment="1">
      <alignment vertical="center"/>
    </xf>
    <xf numFmtId="166" fontId="32" fillId="13" borderId="36" xfId="0" applyNumberFormat="1" applyFont="1" applyFill="1" applyBorder="1" applyAlignment="1">
      <alignment vertical="center"/>
    </xf>
    <xf numFmtId="0" fontId="5" fillId="11" borderId="36" xfId="0" applyFont="1" applyFill="1" applyBorder="1" applyAlignment="1">
      <alignment vertical="center"/>
    </xf>
    <xf numFmtId="3" fontId="8" fillId="13" borderId="36" xfId="0" applyNumberFormat="1" applyFont="1" applyFill="1" applyBorder="1" applyAlignment="1">
      <alignment vertical="center"/>
    </xf>
    <xf numFmtId="0" fontId="0" fillId="11" borderId="0" xfId="0" applyFill="1" applyAlignment="1">
      <alignment vertical="center"/>
    </xf>
    <xf numFmtId="166" fontId="7" fillId="3" borderId="45" xfId="0" applyNumberFormat="1" applyFont="1" applyFill="1" applyBorder="1" applyAlignment="1">
      <alignment vertical="center"/>
    </xf>
    <xf numFmtId="44" fontId="31" fillId="3" borderId="45" xfId="1" applyFont="1" applyFill="1" applyBorder="1" applyAlignment="1">
      <alignment vertical="center"/>
    </xf>
    <xf numFmtId="4" fontId="8" fillId="13" borderId="36" xfId="0" applyNumberFormat="1" applyFont="1" applyFill="1" applyBorder="1" applyAlignment="1">
      <alignment vertical="center"/>
    </xf>
    <xf numFmtId="3" fontId="10" fillId="7" borderId="45" xfId="0" applyNumberFormat="1" applyFont="1" applyFill="1" applyBorder="1" applyAlignment="1">
      <alignment vertical="center"/>
    </xf>
    <xf numFmtId="3" fontId="8" fillId="6" borderId="44" xfId="0" applyNumberFormat="1" applyFont="1" applyFill="1" applyBorder="1" applyAlignment="1">
      <alignment vertical="center"/>
    </xf>
    <xf numFmtId="10" fontId="11" fillId="7" borderId="45" xfId="0" applyNumberFormat="1" applyFont="1" applyFill="1" applyBorder="1" applyAlignment="1">
      <alignment vertical="center"/>
    </xf>
    <xf numFmtId="0" fontId="38" fillId="3" borderId="1" xfId="5" applyFill="1" applyBorder="1"/>
    <xf numFmtId="0" fontId="38" fillId="3" borderId="1" xfId="5" applyFill="1" applyBorder="1" applyAlignment="1">
      <alignment horizontal="left" vertical="center" wrapText="1"/>
    </xf>
    <xf numFmtId="10" fontId="39" fillId="0" borderId="45" xfId="0" applyNumberFormat="1" applyFont="1" applyBorder="1" applyAlignment="1">
      <alignment vertical="center"/>
    </xf>
    <xf numFmtId="10" fontId="39" fillId="0" borderId="6" xfId="0" applyNumberFormat="1" applyFont="1" applyBorder="1" applyAlignment="1">
      <alignment vertical="center"/>
    </xf>
    <xf numFmtId="10" fontId="5" fillId="0" borderId="13" xfId="0" applyNumberFormat="1" applyFont="1" applyBorder="1" applyAlignment="1">
      <alignment horizontal="center" vertical="center"/>
    </xf>
    <xf numFmtId="10" fontId="8" fillId="0" borderId="12" xfId="4" applyNumberFormat="1" applyFont="1" applyBorder="1" applyAlignment="1">
      <alignment vertical="center"/>
    </xf>
    <xf numFmtId="173" fontId="25" fillId="3" borderId="8" xfId="0" applyNumberFormat="1" applyFont="1" applyFill="1" applyBorder="1" applyAlignment="1">
      <alignment vertical="center"/>
    </xf>
    <xf numFmtId="173" fontId="25" fillId="0" borderId="6" xfId="0" applyNumberFormat="1" applyFont="1" applyBorder="1" applyAlignment="1">
      <alignment vertical="center"/>
    </xf>
    <xf numFmtId="43" fontId="5" fillId="0" borderId="9" xfId="0" applyNumberFormat="1" applyFont="1" applyBorder="1" applyAlignment="1">
      <alignment vertical="center"/>
    </xf>
    <xf numFmtId="173" fontId="0" fillId="0" borderId="0" xfId="0" applyNumberFormat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5" fillId="11" borderId="6" xfId="0" applyNumberFormat="1" applyFont="1" applyFill="1" applyBorder="1" applyAlignment="1">
      <alignment vertical="center"/>
    </xf>
    <xf numFmtId="10" fontId="29" fillId="3" borderId="1" xfId="0" applyNumberFormat="1" applyFont="1" applyFill="1" applyBorder="1" applyAlignment="1">
      <alignment horizontal="center"/>
    </xf>
    <xf numFmtId="10" fontId="5" fillId="3" borderId="21" xfId="0" applyNumberFormat="1" applyFont="1" applyFill="1" applyBorder="1"/>
    <xf numFmtId="4" fontId="5" fillId="0" borderId="14" xfId="0" applyNumberFormat="1" applyFont="1" applyBorder="1" applyAlignment="1">
      <alignment horizontal="right" vertical="center"/>
    </xf>
    <xf numFmtId="171" fontId="5" fillId="0" borderId="13" xfId="0" applyNumberFormat="1" applyFont="1" applyBorder="1" applyAlignment="1">
      <alignment vertical="center"/>
    </xf>
    <xf numFmtId="4" fontId="5" fillId="3" borderId="1" xfId="0" applyNumberFormat="1" applyFont="1" applyFill="1" applyBorder="1" applyAlignment="1">
      <alignment vertical="center"/>
    </xf>
    <xf numFmtId="4" fontId="8" fillId="6" borderId="3" xfId="0" applyNumberFormat="1" applyFont="1" applyFill="1" applyBorder="1" applyAlignment="1">
      <alignment vertical="center"/>
    </xf>
    <xf numFmtId="4" fontId="5" fillId="11" borderId="5" xfId="0" applyNumberFormat="1" applyFont="1" applyFill="1" applyBorder="1" applyAlignment="1">
      <alignment vertical="center"/>
    </xf>
    <xf numFmtId="4" fontId="10" fillId="7" borderId="2" xfId="0" applyNumberFormat="1" applyFont="1" applyFill="1" applyBorder="1" applyAlignment="1">
      <alignment horizontal="center" vertical="center"/>
    </xf>
    <xf numFmtId="174" fontId="8" fillId="0" borderId="13" xfId="0" applyNumberFormat="1" applyFont="1" applyBorder="1" applyAlignment="1">
      <alignment vertical="center"/>
    </xf>
    <xf numFmtId="0" fontId="42" fillId="0" borderId="0" xfId="0" applyFont="1" applyAlignment="1">
      <alignment vertical="center"/>
    </xf>
    <xf numFmtId="0" fontId="0" fillId="0" borderId="0" xfId="0"/>
    <xf numFmtId="175" fontId="43" fillId="17" borderId="52" xfId="3" applyNumberFormat="1" applyFont="1" applyFill="1" applyBorder="1" applyAlignment="1">
      <alignment horizontal="center" vertical="center"/>
    </xf>
    <xf numFmtId="0" fontId="40" fillId="18" borderId="38" xfId="0" applyFont="1" applyFill="1" applyBorder="1" applyAlignment="1">
      <alignment horizontal="center" vertical="center"/>
    </xf>
    <xf numFmtId="17" fontId="44" fillId="0" borderId="46" xfId="0" applyNumberFormat="1" applyFont="1" applyBorder="1" applyAlignment="1">
      <alignment horizontal="left" vertical="center" indent="2"/>
    </xf>
    <xf numFmtId="3" fontId="0" fillId="19" borderId="46" xfId="0" applyNumberFormat="1" applyFill="1" applyBorder="1" applyAlignment="1">
      <alignment horizontal="center"/>
    </xf>
    <xf numFmtId="173" fontId="0" fillId="11" borderId="46" xfId="1" applyNumberFormat="1" applyFont="1" applyFill="1" applyBorder="1" applyAlignment="1">
      <alignment horizontal="center"/>
    </xf>
    <xf numFmtId="3" fontId="0" fillId="11" borderId="46" xfId="0" applyNumberFormat="1" applyFill="1" applyBorder="1" applyAlignment="1">
      <alignment horizontal="center"/>
    </xf>
    <xf numFmtId="3" fontId="0" fillId="11" borderId="38" xfId="0" applyNumberFormat="1" applyFill="1" applyBorder="1" applyAlignment="1">
      <alignment horizontal="center"/>
    </xf>
    <xf numFmtId="0" fontId="0" fillId="11" borderId="0" xfId="0" applyFill="1"/>
    <xf numFmtId="17" fontId="44" fillId="11" borderId="46" xfId="0" applyNumberFormat="1" applyFont="1" applyFill="1" applyBorder="1" applyAlignment="1">
      <alignment horizontal="left" vertical="center" indent="2"/>
    </xf>
    <xf numFmtId="3" fontId="0" fillId="12" borderId="38" xfId="0" applyNumberFormat="1" applyFill="1" applyBorder="1" applyAlignment="1">
      <alignment horizontal="center"/>
    </xf>
    <xf numFmtId="44" fontId="42" fillId="0" borderId="36" xfId="1" applyFont="1" applyFill="1" applyBorder="1"/>
    <xf numFmtId="44" fontId="0" fillId="11" borderId="36" xfId="1" applyFont="1" applyFill="1" applyBorder="1"/>
    <xf numFmtId="0" fontId="0" fillId="0" borderId="38" xfId="0" applyBorder="1"/>
    <xf numFmtId="17" fontId="44" fillId="18" borderId="38" xfId="0" applyNumberFormat="1" applyFont="1" applyFill="1" applyBorder="1" applyAlignment="1">
      <alignment horizontal="left" vertical="center"/>
    </xf>
    <xf numFmtId="17" fontId="44" fillId="18" borderId="38" xfId="0" applyNumberFormat="1" applyFont="1" applyFill="1" applyBorder="1" applyAlignment="1">
      <alignment horizontal="center" vertical="center"/>
    </xf>
    <xf numFmtId="4" fontId="0" fillId="18" borderId="46" xfId="0" applyNumberFormat="1" applyFill="1" applyBorder="1" applyAlignment="1">
      <alignment horizontal="center"/>
    </xf>
    <xf numFmtId="4" fontId="0" fillId="11" borderId="38" xfId="0" applyNumberFormat="1" applyFill="1" applyBorder="1" applyAlignment="1">
      <alignment horizontal="center"/>
    </xf>
    <xf numFmtId="3" fontId="0" fillId="0" borderId="46" xfId="0" applyNumberFormat="1" applyBorder="1" applyAlignment="1">
      <alignment horizontal="center"/>
    </xf>
    <xf numFmtId="4" fontId="0" fillId="0" borderId="38" xfId="0" applyNumberFormat="1" applyBorder="1" applyAlignment="1">
      <alignment horizontal="center"/>
    </xf>
    <xf numFmtId="17" fontId="44" fillId="0" borderId="36" xfId="0" applyNumberFormat="1" applyFont="1" applyBorder="1" applyAlignment="1">
      <alignment horizontal="left" vertical="center" indent="2"/>
    </xf>
    <xf numFmtId="44" fontId="0" fillId="11" borderId="0" xfId="1" applyFont="1" applyFill="1"/>
    <xf numFmtId="0" fontId="16" fillId="0" borderId="0" xfId="0" applyFon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4" fontId="0" fillId="0" borderId="0" xfId="1" applyFont="1"/>
    <xf numFmtId="0" fontId="0" fillId="0" borderId="0" xfId="0" applyAlignment="1">
      <alignment horizontal="left"/>
    </xf>
    <xf numFmtId="44" fontId="16" fillId="0" borderId="0" xfId="1" applyFont="1"/>
    <xf numFmtId="44" fontId="0" fillId="0" borderId="0" xfId="0" applyNumberFormat="1"/>
    <xf numFmtId="0" fontId="16" fillId="0" borderId="0" xfId="0" applyFont="1" applyAlignment="1">
      <alignment horizontal="left"/>
    </xf>
    <xf numFmtId="44" fontId="0" fillId="0" borderId="0" xfId="1" applyFont="1" applyAlignment="1">
      <alignment horizontal="center"/>
    </xf>
    <xf numFmtId="10" fontId="0" fillId="0" borderId="0" xfId="4" applyNumberFormat="1" applyFont="1"/>
    <xf numFmtId="4" fontId="0" fillId="0" borderId="0" xfId="0" applyNumberFormat="1"/>
    <xf numFmtId="0" fontId="46" fillId="0" borderId="39" xfId="0" applyFont="1" applyBorder="1" applyAlignment="1">
      <alignment horizontal="right"/>
    </xf>
    <xf numFmtId="0" fontId="46" fillId="20" borderId="40" xfId="0" applyFont="1" applyFill="1" applyBorder="1"/>
    <xf numFmtId="0" fontId="46" fillId="20" borderId="38" xfId="0" applyFont="1" applyFill="1" applyBorder="1"/>
    <xf numFmtId="0" fontId="46" fillId="20" borderId="39" xfId="0" applyFont="1" applyFill="1" applyBorder="1" applyAlignment="1">
      <alignment horizontal="center"/>
    </xf>
    <xf numFmtId="0" fontId="46" fillId="20" borderId="41" xfId="0" applyFont="1" applyFill="1" applyBorder="1"/>
    <xf numFmtId="0" fontId="46" fillId="21" borderId="39" xfId="0" applyFont="1" applyFill="1" applyBorder="1" applyAlignment="1">
      <alignment horizontal="center"/>
    </xf>
    <xf numFmtId="0" fontId="46" fillId="0" borderId="38" xfId="0" applyFont="1" applyBorder="1"/>
    <xf numFmtId="0" fontId="46" fillId="0" borderId="41" xfId="0" applyFont="1" applyBorder="1"/>
    <xf numFmtId="0" fontId="46" fillId="0" borderId="0" xfId="0" applyFont="1"/>
    <xf numFmtId="0" fontId="46" fillId="0" borderId="40" xfId="0" applyFont="1" applyBorder="1" applyAlignment="1">
      <alignment horizontal="right"/>
    </xf>
    <xf numFmtId="0" fontId="46" fillId="22" borderId="40" xfId="0" applyFont="1" applyFill="1" applyBorder="1"/>
    <xf numFmtId="0" fontId="46" fillId="22" borderId="38" xfId="0" applyFont="1" applyFill="1" applyBorder="1"/>
    <xf numFmtId="0" fontId="46" fillId="22" borderId="41" xfId="0" applyFont="1" applyFill="1" applyBorder="1"/>
    <xf numFmtId="0" fontId="46" fillId="0" borderId="39" xfId="0" applyFont="1" applyBorder="1" applyAlignment="1">
      <alignment horizontal="center"/>
    </xf>
    <xf numFmtId="0" fontId="46" fillId="14" borderId="40" xfId="0" applyFont="1" applyFill="1" applyBorder="1"/>
    <xf numFmtId="0" fontId="46" fillId="14" borderId="38" xfId="0" applyFont="1" applyFill="1" applyBorder="1"/>
    <xf numFmtId="0" fontId="46" fillId="14" borderId="41" xfId="0" applyFont="1" applyFill="1" applyBorder="1"/>
    <xf numFmtId="0" fontId="46" fillId="0" borderId="0" xfId="0" applyFont="1" applyAlignment="1">
      <alignment horizontal="right"/>
    </xf>
    <xf numFmtId="0" fontId="45" fillId="16" borderId="39" xfId="0" applyFont="1" applyFill="1" applyBorder="1" applyAlignment="1">
      <alignment horizontal="center" vertical="center"/>
    </xf>
    <xf numFmtId="0" fontId="46" fillId="12" borderId="39" xfId="0" applyFont="1" applyFill="1" applyBorder="1"/>
    <xf numFmtId="0" fontId="46" fillId="11" borderId="39" xfId="0" applyFont="1" applyFill="1" applyBorder="1"/>
    <xf numFmtId="0" fontId="45" fillId="0" borderId="39" xfId="0" applyFont="1" applyBorder="1" applyAlignment="1">
      <alignment horizontal="center" vertical="center"/>
    </xf>
    <xf numFmtId="0" fontId="45" fillId="23" borderId="39" xfId="0" applyFont="1" applyFill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15" borderId="39" xfId="0" applyFont="1" applyFill="1" applyBorder="1" applyAlignment="1">
      <alignment horizontal="center" vertical="center"/>
    </xf>
    <xf numFmtId="0" fontId="45" fillId="12" borderId="39" xfId="0" applyFont="1" applyFill="1" applyBorder="1" applyAlignment="1">
      <alignment horizontal="center" vertical="center"/>
    </xf>
    <xf numFmtId="0" fontId="46" fillId="12" borderId="39" xfId="0" applyFont="1" applyFill="1" applyBorder="1" applyAlignment="1">
      <alignment horizontal="center" vertical="center"/>
    </xf>
    <xf numFmtId="0" fontId="46" fillId="15" borderId="39" xfId="0" applyFont="1" applyFill="1" applyBorder="1" applyAlignment="1">
      <alignment horizontal="center"/>
    </xf>
    <xf numFmtId="170" fontId="8" fillId="11" borderId="0" xfId="0" applyNumberFormat="1" applyFont="1" applyFill="1" applyAlignment="1">
      <alignment horizontal="center" vertical="center"/>
    </xf>
    <xf numFmtId="170" fontId="5" fillId="11" borderId="0" xfId="0" applyNumberFormat="1" applyFont="1" applyFill="1" applyAlignment="1">
      <alignment vertical="center"/>
    </xf>
    <xf numFmtId="44" fontId="5" fillId="11" borderId="0" xfId="0" applyNumberFormat="1" applyFont="1" applyFill="1" applyAlignment="1">
      <alignment vertical="center"/>
    </xf>
    <xf numFmtId="173" fontId="5" fillId="11" borderId="0" xfId="0" applyNumberFormat="1" applyFont="1" applyFill="1" applyAlignment="1">
      <alignment vertical="center"/>
    </xf>
    <xf numFmtId="44" fontId="5" fillId="11" borderId="0" xfId="1" applyFont="1" applyFill="1" applyAlignment="1">
      <alignment vertical="center"/>
    </xf>
    <xf numFmtId="4" fontId="7" fillId="4" borderId="1" xfId="0" applyNumberFormat="1" applyFont="1" applyFill="1" applyBorder="1" applyAlignment="1">
      <alignment vertical="center"/>
    </xf>
    <xf numFmtId="0" fontId="5" fillId="3" borderId="36" xfId="0" applyFont="1" applyFill="1" applyBorder="1" applyAlignment="1">
      <alignment vertical="center"/>
    </xf>
    <xf numFmtId="43" fontId="5" fillId="3" borderId="1" xfId="2" applyFont="1" applyFill="1" applyBorder="1"/>
    <xf numFmtId="3" fontId="0" fillId="0" borderId="0" xfId="0" applyNumberFormat="1" applyAlignment="1">
      <alignment vertical="center"/>
    </xf>
    <xf numFmtId="4" fontId="0" fillId="0" borderId="0" xfId="0" quotePrefix="1" applyNumberFormat="1"/>
    <xf numFmtId="0" fontId="5" fillId="3" borderId="36" xfId="0" applyFont="1" applyFill="1" applyBorder="1"/>
    <xf numFmtId="176" fontId="0" fillId="0" borderId="0" xfId="2" applyNumberFormat="1" applyFont="1"/>
    <xf numFmtId="177" fontId="0" fillId="0" borderId="0" xfId="0" applyNumberFormat="1" applyAlignment="1">
      <alignment horizontal="center" vertical="center"/>
    </xf>
    <xf numFmtId="10" fontId="0" fillId="0" borderId="0" xfId="0" applyNumberFormat="1"/>
    <xf numFmtId="177" fontId="0" fillId="12" borderId="0" xfId="0" applyNumberFormat="1" applyFill="1" applyAlignment="1">
      <alignment horizontal="center" vertical="center"/>
    </xf>
    <xf numFmtId="179" fontId="0" fillId="0" borderId="0" xfId="2" applyNumberFormat="1" applyFont="1" applyAlignment="1">
      <alignment horizontal="center"/>
    </xf>
    <xf numFmtId="179" fontId="34" fillId="0" borderId="0" xfId="2" applyNumberFormat="1" applyFont="1" applyAlignment="1">
      <alignment horizontal="center"/>
    </xf>
    <xf numFmtId="179" fontId="0" fillId="12" borderId="0" xfId="2" applyNumberFormat="1" applyFont="1" applyFill="1" applyAlignment="1">
      <alignment horizontal="center"/>
    </xf>
    <xf numFmtId="179" fontId="33" fillId="0" borderId="0" xfId="2" applyNumberFormat="1" applyAlignment="1">
      <alignment horizontal="center"/>
    </xf>
    <xf numFmtId="0" fontId="7" fillId="2" borderId="53" xfId="0" applyFont="1" applyFill="1" applyBorder="1" applyAlignment="1">
      <alignment vertical="center"/>
    </xf>
    <xf numFmtId="0" fontId="0" fillId="24" borderId="0" xfId="0" applyFill="1"/>
    <xf numFmtId="176" fontId="0" fillId="24" borderId="0" xfId="2" applyNumberFormat="1" applyFont="1" applyFill="1"/>
    <xf numFmtId="177" fontId="0" fillId="24" borderId="0" xfId="0" applyNumberFormat="1" applyFill="1" applyAlignment="1">
      <alignment horizontal="center" vertical="center"/>
    </xf>
    <xf numFmtId="179" fontId="0" fillId="24" borderId="0" xfId="2" applyNumberFormat="1" applyFont="1" applyFill="1" applyAlignment="1">
      <alignment horizontal="center"/>
    </xf>
    <xf numFmtId="178" fontId="0" fillId="24" borderId="0" xfId="4" applyNumberFormat="1" applyFont="1" applyFill="1" applyAlignment="1">
      <alignment horizontal="center"/>
    </xf>
    <xf numFmtId="0" fontId="16" fillId="0" borderId="36" xfId="0" applyFont="1" applyBorder="1"/>
    <xf numFmtId="0" fontId="6" fillId="5" borderId="54" xfId="0" applyFont="1" applyFill="1" applyBorder="1" applyAlignment="1">
      <alignment vertical="center"/>
    </xf>
    <xf numFmtId="0" fontId="6" fillId="25" borderId="1" xfId="0" applyFont="1" applyFill="1" applyBorder="1" applyAlignment="1">
      <alignment vertical="center"/>
    </xf>
    <xf numFmtId="0" fontId="42" fillId="0" borderId="54" xfId="0" applyFont="1" applyBorder="1" applyAlignment="1">
      <alignment vertical="center"/>
    </xf>
    <xf numFmtId="0" fontId="0" fillId="0" borderId="54" xfId="0" applyBorder="1" applyAlignment="1">
      <alignment vertical="center"/>
    </xf>
    <xf numFmtId="0" fontId="7" fillId="5" borderId="54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5" fillId="0" borderId="55" xfId="0" applyFont="1" applyBorder="1" applyAlignment="1">
      <alignment vertical="center"/>
    </xf>
    <xf numFmtId="3" fontId="8" fillId="0" borderId="54" xfId="0" applyNumberFormat="1" applyFont="1" applyBorder="1" applyAlignment="1">
      <alignment vertical="center"/>
    </xf>
    <xf numFmtId="3" fontId="8" fillId="0" borderId="55" xfId="0" applyNumberFormat="1" applyFont="1" applyBorder="1" applyAlignment="1">
      <alignment vertical="center"/>
    </xf>
    <xf numFmtId="172" fontId="5" fillId="0" borderId="15" xfId="2" applyNumberFormat="1" applyFont="1" applyBorder="1" applyAlignment="1">
      <alignment vertical="center"/>
    </xf>
    <xf numFmtId="172" fontId="8" fillId="0" borderId="13" xfId="2" applyNumberFormat="1" applyFont="1" applyBorder="1" applyAlignment="1">
      <alignment vertical="center"/>
    </xf>
    <xf numFmtId="0" fontId="36" fillId="26" borderId="54" xfId="0" applyFont="1" applyFill="1" applyBorder="1" applyAlignment="1">
      <alignment vertical="center"/>
    </xf>
    <xf numFmtId="0" fontId="25" fillId="26" borderId="54" xfId="0" applyFont="1" applyFill="1" applyBorder="1" applyAlignment="1">
      <alignment vertical="center"/>
    </xf>
    <xf numFmtId="3" fontId="18" fillId="27" borderId="20" xfId="0" applyNumberFormat="1" applyFont="1" applyFill="1" applyBorder="1" applyAlignment="1">
      <alignment vertical="center"/>
    </xf>
    <xf numFmtId="9" fontId="17" fillId="27" borderId="24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vertical="center"/>
    </xf>
    <xf numFmtId="0" fontId="25" fillId="3" borderId="36" xfId="0" applyFont="1" applyFill="1" applyBorder="1" applyAlignment="1">
      <alignment vertical="center"/>
    </xf>
    <xf numFmtId="173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172" fontId="25" fillId="0" borderId="54" xfId="2" applyNumberFormat="1" applyFont="1" applyBorder="1" applyAlignment="1">
      <alignment vertical="center"/>
    </xf>
    <xf numFmtId="172" fontId="25" fillId="0" borderId="0" xfId="0" applyNumberFormat="1" applyFont="1" applyAlignment="1">
      <alignment vertical="center"/>
    </xf>
    <xf numFmtId="172" fontId="25" fillId="26" borderId="54" xfId="0" applyNumberFormat="1" applyFont="1" applyFill="1" applyBorder="1" applyAlignment="1">
      <alignment vertical="center"/>
    </xf>
    <xf numFmtId="4" fontId="5" fillId="0" borderId="36" xfId="0" applyNumberFormat="1" applyFont="1" applyBorder="1" applyAlignment="1">
      <alignment vertical="center"/>
    </xf>
    <xf numFmtId="0" fontId="0" fillId="0" borderId="56" xfId="0" applyBorder="1" applyAlignment="1">
      <alignment vertical="center"/>
    </xf>
    <xf numFmtId="0" fontId="16" fillId="0" borderId="56" xfId="0" applyFont="1" applyBorder="1" applyAlignment="1">
      <alignment vertical="center"/>
    </xf>
    <xf numFmtId="0" fontId="0" fillId="0" borderId="36" xfId="0" applyBorder="1" applyAlignment="1">
      <alignment vertical="center"/>
    </xf>
    <xf numFmtId="172" fontId="0" fillId="0" borderId="56" xfId="2" applyNumberFormat="1" applyFont="1" applyBorder="1" applyAlignment="1">
      <alignment vertical="center"/>
    </xf>
    <xf numFmtId="172" fontId="42" fillId="0" borderId="54" xfId="2" applyNumberFormat="1" applyFont="1" applyBorder="1" applyAlignment="1">
      <alignment vertical="center"/>
    </xf>
    <xf numFmtId="3" fontId="18" fillId="10" borderId="57" xfId="0" applyNumberFormat="1" applyFont="1" applyFill="1" applyBorder="1" applyAlignment="1">
      <alignment vertical="center"/>
    </xf>
    <xf numFmtId="3" fontId="5" fillId="0" borderId="58" xfId="0" applyNumberFormat="1" applyFont="1" applyBorder="1" applyAlignment="1">
      <alignment vertical="center"/>
    </xf>
    <xf numFmtId="3" fontId="5" fillId="0" borderId="59" xfId="0" applyNumberFormat="1" applyFont="1" applyBorder="1" applyAlignment="1">
      <alignment vertical="center"/>
    </xf>
    <xf numFmtId="0" fontId="5" fillId="0" borderId="58" xfId="0" applyFont="1" applyBorder="1" applyAlignment="1">
      <alignment vertical="center"/>
    </xf>
    <xf numFmtId="0" fontId="5" fillId="0" borderId="59" xfId="0" applyFont="1" applyBorder="1" applyAlignment="1">
      <alignment vertical="center"/>
    </xf>
    <xf numFmtId="10" fontId="5" fillId="0" borderId="59" xfId="4" applyNumberFormat="1" applyFont="1" applyBorder="1" applyAlignment="1">
      <alignment vertical="center"/>
    </xf>
    <xf numFmtId="0" fontId="36" fillId="26" borderId="55" xfId="0" applyFont="1" applyFill="1" applyBorder="1" applyAlignment="1">
      <alignment vertical="center"/>
    </xf>
    <xf numFmtId="0" fontId="25" fillId="26" borderId="55" xfId="0" applyFont="1" applyFill="1" applyBorder="1" applyAlignment="1">
      <alignment vertical="center"/>
    </xf>
    <xf numFmtId="172" fontId="36" fillId="0" borderId="55" xfId="2" applyNumberFormat="1" applyFont="1" applyBorder="1" applyAlignment="1">
      <alignment vertical="center"/>
    </xf>
    <xf numFmtId="4" fontId="5" fillId="0" borderId="59" xfId="0" applyNumberFormat="1" applyFont="1" applyBorder="1" applyAlignment="1">
      <alignment vertical="center"/>
    </xf>
    <xf numFmtId="0" fontId="16" fillId="0" borderId="60" xfId="0" applyFont="1" applyBorder="1" applyAlignment="1">
      <alignment vertical="center"/>
    </xf>
    <xf numFmtId="0" fontId="0" fillId="0" borderId="60" xfId="0" applyBorder="1" applyAlignment="1">
      <alignment vertical="center"/>
    </xf>
    <xf numFmtId="3" fontId="0" fillId="0" borderId="61" xfId="0" applyNumberFormat="1" applyBorder="1" applyAlignment="1">
      <alignment vertical="center"/>
    </xf>
    <xf numFmtId="0" fontId="16" fillId="0" borderId="61" xfId="0" applyFont="1" applyBorder="1" applyAlignment="1">
      <alignment vertical="center"/>
    </xf>
    <xf numFmtId="0" fontId="0" fillId="0" borderId="61" xfId="0" applyBorder="1" applyAlignment="1">
      <alignment vertical="center"/>
    </xf>
    <xf numFmtId="0" fontId="16" fillId="0" borderId="59" xfId="0" applyFont="1" applyBorder="1" applyAlignment="1">
      <alignment vertical="center"/>
    </xf>
    <xf numFmtId="0" fontId="0" fillId="0" borderId="59" xfId="0" applyBorder="1" applyAlignment="1">
      <alignment vertical="center"/>
    </xf>
    <xf numFmtId="172" fontId="0" fillId="0" borderId="59" xfId="2" applyNumberFormat="1" applyFont="1" applyBorder="1" applyAlignment="1">
      <alignment vertical="center"/>
    </xf>
    <xf numFmtId="3" fontId="0" fillId="0" borderId="59" xfId="0" applyNumberFormat="1" applyBorder="1" applyAlignment="1">
      <alignment vertical="center"/>
    </xf>
    <xf numFmtId="3" fontId="0" fillId="0" borderId="60" xfId="0" applyNumberFormat="1" applyBorder="1" applyAlignment="1">
      <alignment vertical="center"/>
    </xf>
    <xf numFmtId="3" fontId="0" fillId="0" borderId="54" xfId="0" applyNumberFormat="1" applyBorder="1" applyAlignment="1">
      <alignment vertical="center"/>
    </xf>
    <xf numFmtId="0" fontId="8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0" fillId="0" borderId="64" xfId="0" applyFont="1" applyBorder="1" applyAlignment="1">
      <alignment horizontal="center"/>
    </xf>
    <xf numFmtId="0" fontId="50" fillId="0" borderId="34" xfId="0" applyFont="1" applyBorder="1" applyAlignment="1">
      <alignment horizontal="center"/>
    </xf>
    <xf numFmtId="10" fontId="5" fillId="0" borderId="65" xfId="4" applyNumberFormat="1" applyFont="1" applyBorder="1" applyAlignment="1">
      <alignment horizontal="center" vertical="center"/>
    </xf>
    <xf numFmtId="10" fontId="51" fillId="11" borderId="62" xfId="0" applyNumberFormat="1" applyFont="1" applyFill="1" applyBorder="1" applyAlignment="1">
      <alignment horizontal="center" wrapText="1"/>
    </xf>
    <xf numFmtId="0" fontId="8" fillId="18" borderId="65" xfId="0" applyFont="1" applyFill="1" applyBorder="1" applyAlignment="1">
      <alignment horizontal="center" vertical="center"/>
    </xf>
    <xf numFmtId="0" fontId="8" fillId="18" borderId="66" xfId="0" applyFont="1" applyFill="1" applyBorder="1" applyAlignment="1">
      <alignment horizontal="center" vertical="center"/>
    </xf>
    <xf numFmtId="0" fontId="52" fillId="0" borderId="23" xfId="0" applyFont="1" applyBorder="1"/>
    <xf numFmtId="10" fontId="5" fillId="0" borderId="0" xfId="0" applyNumberFormat="1" applyFont="1" applyAlignment="1">
      <alignment horizontal="center" vertical="center"/>
    </xf>
    <xf numFmtId="3" fontId="10" fillId="7" borderId="8" xfId="0" applyNumberFormat="1" applyFont="1" applyFill="1" applyBorder="1" applyAlignment="1">
      <alignment vertical="center"/>
    </xf>
    <xf numFmtId="0" fontId="5" fillId="11" borderId="67" xfId="0" applyFont="1" applyFill="1" applyBorder="1" applyAlignment="1">
      <alignment vertical="center"/>
    </xf>
    <xf numFmtId="0" fontId="53" fillId="28" borderId="39" xfId="0" applyFont="1" applyFill="1" applyBorder="1" applyAlignment="1">
      <alignment horizontal="center"/>
    </xf>
    <xf numFmtId="0" fontId="42" fillId="0" borderId="39" xfId="0" applyFont="1" applyBorder="1"/>
    <xf numFmtId="173" fontId="16" fillId="0" borderId="39" xfId="0" applyNumberFormat="1" applyFont="1" applyBorder="1" applyAlignment="1">
      <alignment horizontal="center"/>
    </xf>
    <xf numFmtId="10" fontId="16" fillId="0" borderId="39" xfId="4" applyNumberFormat="1" applyFont="1" applyBorder="1" applyAlignment="1">
      <alignment horizontal="center"/>
    </xf>
    <xf numFmtId="0" fontId="40" fillId="0" borderId="0" xfId="0" applyFont="1" applyAlignment="1">
      <alignment horizontal="right"/>
    </xf>
    <xf numFmtId="173" fontId="42" fillId="0" borderId="48" xfId="0" applyNumberFormat="1" applyFont="1" applyBorder="1" applyAlignment="1">
      <alignment horizontal="center"/>
    </xf>
    <xf numFmtId="0" fontId="8" fillId="3" borderId="36" xfId="0" applyFont="1" applyFill="1" applyBorder="1" applyAlignment="1">
      <alignment vertical="center"/>
    </xf>
    <xf numFmtId="43" fontId="8" fillId="3" borderId="36" xfId="2" applyFont="1" applyFill="1" applyBorder="1" applyAlignment="1">
      <alignment vertical="center"/>
    </xf>
    <xf numFmtId="4" fontId="8" fillId="3" borderId="36" xfId="0" applyNumberFormat="1" applyFont="1" applyFill="1" applyBorder="1" applyAlignment="1">
      <alignment vertical="center"/>
    </xf>
    <xf numFmtId="3" fontId="8" fillId="3" borderId="36" xfId="0" applyNumberFormat="1" applyFont="1" applyFill="1" applyBorder="1" applyAlignment="1">
      <alignment vertical="center"/>
    </xf>
    <xf numFmtId="0" fontId="8" fillId="3" borderId="3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0" fontId="11" fillId="7" borderId="58" xfId="0" applyNumberFormat="1" applyFont="1" applyFill="1" applyBorder="1" applyAlignment="1">
      <alignment horizontal="center" vertical="center"/>
    </xf>
    <xf numFmtId="172" fontId="25" fillId="11" borderId="8" xfId="0" applyNumberFormat="1" applyFont="1" applyFill="1" applyBorder="1" applyAlignment="1">
      <alignment vertical="center"/>
    </xf>
    <xf numFmtId="0" fontId="5" fillId="11" borderId="58" xfId="0" applyFont="1" applyFill="1" applyBorder="1" applyAlignment="1">
      <alignment vertical="center"/>
    </xf>
    <xf numFmtId="166" fontId="7" fillId="3" borderId="68" xfId="0" applyNumberFormat="1" applyFont="1" applyFill="1" applyBorder="1" applyAlignment="1">
      <alignment vertical="center"/>
    </xf>
    <xf numFmtId="44" fontId="31" fillId="3" borderId="68" xfId="1" applyFont="1" applyFill="1" applyBorder="1" applyAlignment="1">
      <alignment vertical="center"/>
    </xf>
    <xf numFmtId="10" fontId="39" fillId="0" borderId="68" xfId="0" applyNumberFormat="1" applyFont="1" applyBorder="1" applyAlignment="1">
      <alignment vertical="center"/>
    </xf>
    <xf numFmtId="0" fontId="5" fillId="0" borderId="69" xfId="0" applyFont="1" applyBorder="1" applyAlignment="1">
      <alignment vertical="center"/>
    </xf>
    <xf numFmtId="4" fontId="5" fillId="0" borderId="58" xfId="0" applyNumberFormat="1" applyFont="1" applyBorder="1" applyAlignment="1">
      <alignment vertical="center"/>
    </xf>
    <xf numFmtId="167" fontId="12" fillId="0" borderId="58" xfId="0" applyNumberFormat="1" applyFont="1" applyBorder="1" applyAlignment="1">
      <alignment vertical="center"/>
    </xf>
    <xf numFmtId="4" fontId="5" fillId="11" borderId="58" xfId="0" applyNumberFormat="1" applyFont="1" applyFill="1" applyBorder="1" applyAlignment="1">
      <alignment vertical="center"/>
    </xf>
    <xf numFmtId="167" fontId="12" fillId="0" borderId="59" xfId="0" applyNumberFormat="1" applyFont="1" applyBorder="1" applyAlignment="1">
      <alignment vertical="center"/>
    </xf>
    <xf numFmtId="4" fontId="5" fillId="11" borderId="59" xfId="0" applyNumberFormat="1" applyFont="1" applyFill="1" applyBorder="1" applyAlignment="1">
      <alignment vertical="center"/>
    </xf>
    <xf numFmtId="43" fontId="5" fillId="0" borderId="59" xfId="0" applyNumberFormat="1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167" fontId="12" fillId="0" borderId="54" xfId="0" applyNumberFormat="1" applyFont="1" applyBorder="1" applyAlignment="1">
      <alignment vertical="center"/>
    </xf>
    <xf numFmtId="4" fontId="5" fillId="11" borderId="54" xfId="0" applyNumberFormat="1" applyFont="1" applyFill="1" applyBorder="1" applyAlignment="1">
      <alignment vertical="center"/>
    </xf>
    <xf numFmtId="3" fontId="10" fillId="7" borderId="58" xfId="0" applyNumberFormat="1" applyFont="1" applyFill="1" applyBorder="1" applyAlignment="1">
      <alignment vertical="center"/>
    </xf>
    <xf numFmtId="3" fontId="10" fillId="7" borderId="59" xfId="0" applyNumberFormat="1" applyFont="1" applyFill="1" applyBorder="1" applyAlignment="1">
      <alignment vertical="center"/>
    </xf>
    <xf numFmtId="3" fontId="10" fillId="7" borderId="54" xfId="0" applyNumberFormat="1" applyFont="1" applyFill="1" applyBorder="1" applyAlignment="1">
      <alignment vertical="center"/>
    </xf>
    <xf numFmtId="0" fontId="7" fillId="4" borderId="36" xfId="0" applyFont="1" applyFill="1" applyBorder="1" applyAlignment="1">
      <alignment vertical="center"/>
    </xf>
    <xf numFmtId="4" fontId="7" fillId="4" borderId="36" xfId="0" applyNumberFormat="1" applyFont="1" applyFill="1" applyBorder="1" applyAlignment="1">
      <alignment vertical="center"/>
    </xf>
    <xf numFmtId="3" fontId="7" fillId="4" borderId="36" xfId="0" applyNumberFormat="1" applyFont="1" applyFill="1" applyBorder="1" applyAlignment="1">
      <alignment vertical="center"/>
    </xf>
    <xf numFmtId="0" fontId="5" fillId="11" borderId="59" xfId="0" applyFont="1" applyFill="1" applyBorder="1" applyAlignment="1">
      <alignment vertical="center"/>
    </xf>
    <xf numFmtId="166" fontId="7" fillId="3" borderId="59" xfId="0" applyNumberFormat="1" applyFont="1" applyFill="1" applyBorder="1" applyAlignment="1">
      <alignment vertical="center"/>
    </xf>
    <xf numFmtId="173" fontId="25" fillId="3" borderId="59" xfId="0" applyNumberFormat="1" applyFont="1" applyFill="1" applyBorder="1" applyAlignment="1">
      <alignment vertical="center"/>
    </xf>
    <xf numFmtId="44" fontId="31" fillId="3" borderId="59" xfId="1" applyFont="1" applyFill="1" applyBorder="1" applyAlignment="1">
      <alignment vertical="center"/>
    </xf>
    <xf numFmtId="10" fontId="39" fillId="0" borderId="59" xfId="0" applyNumberFormat="1" applyFont="1" applyBorder="1" applyAlignment="1">
      <alignment vertical="center"/>
    </xf>
    <xf numFmtId="172" fontId="25" fillId="11" borderId="59" xfId="0" applyNumberFormat="1" applyFont="1" applyFill="1" applyBorder="1" applyAlignment="1">
      <alignment vertical="center"/>
    </xf>
    <xf numFmtId="173" fontId="25" fillId="0" borderId="59" xfId="0" applyNumberFormat="1" applyFont="1" applyBorder="1" applyAlignment="1">
      <alignment vertical="center"/>
    </xf>
    <xf numFmtId="10" fontId="39" fillId="11" borderId="8" xfId="0" applyNumberFormat="1" applyFont="1" applyFill="1" applyBorder="1" applyAlignment="1">
      <alignment vertical="center"/>
    </xf>
    <xf numFmtId="3" fontId="10" fillId="7" borderId="68" xfId="0" applyNumberFormat="1" applyFont="1" applyFill="1" applyBorder="1" applyAlignment="1">
      <alignment vertical="center"/>
    </xf>
    <xf numFmtId="3" fontId="10" fillId="7" borderId="36" xfId="0" applyNumberFormat="1" applyFont="1" applyFill="1" applyBorder="1" applyAlignment="1">
      <alignment vertical="center"/>
    </xf>
    <xf numFmtId="3" fontId="11" fillId="7" borderId="59" xfId="0" applyNumberFormat="1" applyFont="1" applyFill="1" applyBorder="1" applyAlignment="1">
      <alignment vertical="center"/>
    </xf>
    <xf numFmtId="44" fontId="25" fillId="3" borderId="68" xfId="1" applyFont="1" applyFill="1" applyBorder="1" applyAlignment="1">
      <alignment vertical="center"/>
    </xf>
    <xf numFmtId="168" fontId="32" fillId="6" borderId="2" xfId="0" applyNumberFormat="1" applyFont="1" applyFill="1" applyBorder="1" applyAlignment="1">
      <alignment vertical="center"/>
    </xf>
    <xf numFmtId="3" fontId="10" fillId="7" borderId="42" xfId="0" applyNumberFormat="1" applyFont="1" applyFill="1" applyBorder="1" applyAlignment="1">
      <alignment vertical="center"/>
    </xf>
    <xf numFmtId="3" fontId="10" fillId="7" borderId="70" xfId="0" applyNumberFormat="1" applyFont="1" applyFill="1" applyBorder="1" applyAlignment="1">
      <alignment vertical="center"/>
    </xf>
    <xf numFmtId="172" fontId="25" fillId="11" borderId="68" xfId="0" applyNumberFormat="1" applyFont="1" applyFill="1" applyBorder="1" applyAlignment="1">
      <alignment vertical="center"/>
    </xf>
    <xf numFmtId="180" fontId="0" fillId="12" borderId="0" xfId="0" applyNumberFormat="1" applyFill="1"/>
    <xf numFmtId="9" fontId="0" fillId="11" borderId="0" xfId="4" applyFont="1" applyFill="1"/>
    <xf numFmtId="173" fontId="0" fillId="11" borderId="0" xfId="0" applyNumberFormat="1" applyFill="1" applyAlignment="1">
      <alignment vertical="center"/>
    </xf>
    <xf numFmtId="8" fontId="5" fillId="0" borderId="0" xfId="0" applyNumberFormat="1" applyFont="1" applyAlignment="1">
      <alignment vertical="center"/>
    </xf>
    <xf numFmtId="0" fontId="8" fillId="0" borderId="40" xfId="0" applyFont="1" applyBorder="1" applyAlignment="1">
      <alignment vertical="center"/>
    </xf>
    <xf numFmtId="10" fontId="8" fillId="0" borderId="41" xfId="4" applyNumberFormat="1" applyFont="1" applyBorder="1" applyAlignment="1">
      <alignment vertical="center"/>
    </xf>
    <xf numFmtId="0" fontId="5" fillId="18" borderId="0" xfId="0" applyFont="1" applyFill="1" applyAlignment="1">
      <alignment vertical="center"/>
    </xf>
    <xf numFmtId="0" fontId="42" fillId="18" borderId="0" xfId="0" applyFont="1" applyFill="1"/>
    <xf numFmtId="0" fontId="8" fillId="18" borderId="0" xfId="0" applyFont="1" applyFill="1" applyAlignment="1">
      <alignment vertical="center"/>
    </xf>
    <xf numFmtId="10" fontId="10" fillId="7" borderId="36" xfId="0" applyNumberFormat="1" applyFont="1" applyFill="1" applyBorder="1" applyAlignment="1">
      <alignment horizontal="center" vertical="center"/>
    </xf>
    <xf numFmtId="0" fontId="8" fillId="0" borderId="71" xfId="0" applyFont="1" applyBorder="1" applyAlignment="1">
      <alignment vertical="center"/>
    </xf>
    <xf numFmtId="0" fontId="8" fillId="0" borderId="71" xfId="0" applyFont="1" applyBorder="1" applyAlignment="1">
      <alignment horizontal="center" vertical="center"/>
    </xf>
    <xf numFmtId="3" fontId="8" fillId="0" borderId="71" xfId="0" applyNumberFormat="1" applyFont="1" applyBorder="1" applyAlignment="1">
      <alignment vertical="center"/>
    </xf>
    <xf numFmtId="3" fontId="8" fillId="0" borderId="38" xfId="0" applyNumberFormat="1" applyFont="1" applyBorder="1" applyAlignment="1">
      <alignment vertical="center"/>
    </xf>
    <xf numFmtId="0" fontId="5" fillId="0" borderId="72" xfId="0" applyFont="1" applyBorder="1" applyAlignment="1">
      <alignment vertical="center"/>
    </xf>
    <xf numFmtId="3" fontId="5" fillId="0" borderId="73" xfId="0" applyNumberFormat="1" applyFont="1" applyBorder="1" applyAlignment="1">
      <alignment horizontal="center" vertical="center"/>
    </xf>
    <xf numFmtId="10" fontId="5" fillId="0" borderId="72" xfId="0" applyNumberFormat="1" applyFont="1" applyBorder="1" applyAlignment="1">
      <alignment horizontal="center" vertical="center"/>
    </xf>
    <xf numFmtId="3" fontId="5" fillId="0" borderId="72" xfId="0" applyNumberFormat="1" applyFont="1" applyBorder="1" applyAlignment="1">
      <alignment vertical="center"/>
    </xf>
    <xf numFmtId="3" fontId="5" fillId="0" borderId="42" xfId="0" applyNumberFormat="1" applyFont="1" applyBorder="1" applyAlignment="1">
      <alignment vertical="center"/>
    </xf>
    <xf numFmtId="0" fontId="5" fillId="0" borderId="74" xfId="0" applyFont="1" applyBorder="1" applyAlignment="1">
      <alignment vertical="center"/>
    </xf>
    <xf numFmtId="10" fontId="5" fillId="0" borderId="74" xfId="0" applyNumberFormat="1" applyFont="1" applyBorder="1" applyAlignment="1">
      <alignment horizontal="center" vertical="center"/>
    </xf>
    <xf numFmtId="3" fontId="5" fillId="0" borderId="74" xfId="0" applyNumberFormat="1" applyFont="1" applyBorder="1" applyAlignment="1">
      <alignment vertical="center"/>
    </xf>
    <xf numFmtId="3" fontId="5" fillId="0" borderId="75" xfId="0" applyNumberFormat="1" applyFont="1" applyBorder="1" applyAlignment="1">
      <alignment vertical="center"/>
    </xf>
    <xf numFmtId="3" fontId="5" fillId="0" borderId="46" xfId="0" applyNumberFormat="1" applyFont="1" applyBorder="1" applyAlignment="1">
      <alignment horizontal="center" vertical="center"/>
    </xf>
    <xf numFmtId="0" fontId="16" fillId="0" borderId="36" xfId="11" applyAlignment="1">
      <alignment vertical="center"/>
    </xf>
    <xf numFmtId="10" fontId="16" fillId="11" borderId="36" xfId="10" applyNumberFormat="1" applyFont="1" applyFill="1" applyBorder="1" applyProtection="1">
      <protection hidden="1"/>
    </xf>
    <xf numFmtId="4" fontId="53" fillId="30" borderId="76" xfId="12" applyNumberFormat="1" applyFont="1" applyFill="1" applyBorder="1" applyAlignment="1" applyProtection="1">
      <alignment vertical="center" wrapText="1" shrinkToFit="1"/>
      <protection hidden="1"/>
    </xf>
    <xf numFmtId="4" fontId="53" fillId="30" borderId="77" xfId="12" applyNumberFormat="1" applyFont="1" applyFill="1" applyBorder="1" applyAlignment="1" applyProtection="1">
      <alignment vertical="center" wrapText="1" shrinkToFit="1"/>
      <protection hidden="1"/>
    </xf>
    <xf numFmtId="4" fontId="53" fillId="30" borderId="78" xfId="12" applyNumberFormat="1" applyFont="1" applyFill="1" applyBorder="1" applyAlignment="1" applyProtection="1">
      <alignment vertical="center" wrapText="1" shrinkToFit="1"/>
      <protection hidden="1"/>
    </xf>
    <xf numFmtId="0" fontId="16" fillId="11" borderId="36" xfId="12" applyFont="1" applyFill="1" applyProtection="1">
      <protection hidden="1"/>
    </xf>
    <xf numFmtId="4" fontId="53" fillId="30" borderId="79" xfId="12" applyNumberFormat="1" applyFont="1" applyFill="1" applyBorder="1" applyAlignment="1" applyProtection="1">
      <alignment horizontal="center" vertical="center" wrapText="1" shrinkToFit="1"/>
      <protection hidden="1"/>
    </xf>
    <xf numFmtId="4" fontId="44" fillId="24" borderId="76" xfId="12" applyNumberFormat="1" applyFont="1" applyFill="1" applyBorder="1" applyAlignment="1" applyProtection="1">
      <alignment vertical="center" wrapText="1" shrinkToFit="1"/>
      <protection hidden="1"/>
    </xf>
    <xf numFmtId="44" fontId="44" fillId="24" borderId="77" xfId="13" applyFont="1" applyFill="1" applyBorder="1" applyAlignment="1" applyProtection="1">
      <alignment horizontal="center" vertical="center" wrapText="1" shrinkToFit="1"/>
      <protection hidden="1"/>
    </xf>
    <xf numFmtId="43" fontId="16" fillId="11" borderId="36" xfId="15" applyFont="1" applyFill="1" applyProtection="1">
      <protection hidden="1"/>
    </xf>
    <xf numFmtId="172" fontId="16" fillId="0" borderId="36" xfId="11" applyNumberFormat="1" applyAlignment="1">
      <alignment vertical="center"/>
    </xf>
    <xf numFmtId="3" fontId="16" fillId="0" borderId="36" xfId="11" applyNumberFormat="1" applyAlignment="1">
      <alignment vertical="center"/>
    </xf>
    <xf numFmtId="0" fontId="49" fillId="24" borderId="77" xfId="12" applyFont="1" applyFill="1" applyBorder="1" applyProtection="1">
      <protection hidden="1"/>
    </xf>
    <xf numFmtId="4" fontId="44" fillId="24" borderId="77" xfId="12" applyNumberFormat="1" applyFont="1" applyFill="1" applyBorder="1" applyAlignment="1" applyProtection="1">
      <alignment vertical="center" wrapText="1" shrinkToFit="1"/>
      <protection hidden="1"/>
    </xf>
    <xf numFmtId="0" fontId="16" fillId="0" borderId="36" xfId="16" applyFont="1"/>
    <xf numFmtId="4" fontId="49" fillId="24" borderId="76" xfId="12" applyNumberFormat="1" applyFont="1" applyFill="1" applyBorder="1" applyAlignment="1" applyProtection="1">
      <alignment vertical="center" wrapText="1" shrinkToFit="1"/>
      <protection hidden="1"/>
    </xf>
    <xf numFmtId="44" fontId="49" fillId="24" borderId="77" xfId="13" applyFont="1" applyFill="1" applyBorder="1" applyAlignment="1" applyProtection="1">
      <alignment horizontal="center" vertical="center" wrapText="1" shrinkToFit="1"/>
      <protection hidden="1"/>
    </xf>
    <xf numFmtId="172" fontId="44" fillId="11" borderId="39" xfId="14" applyNumberFormat="1" applyFont="1" applyFill="1" applyBorder="1" applyAlignment="1" applyProtection="1">
      <alignment horizontal="center" vertical="center" wrapText="1" shrinkToFit="1"/>
      <protection hidden="1"/>
    </xf>
    <xf numFmtId="10" fontId="44" fillId="11" borderId="39" xfId="10" applyNumberFormat="1" applyFont="1" applyFill="1" applyBorder="1" applyAlignment="1" applyProtection="1">
      <alignment horizontal="center" vertical="center" wrapText="1" shrinkToFit="1"/>
      <protection hidden="1"/>
    </xf>
    <xf numFmtId="0" fontId="42" fillId="0" borderId="36" xfId="16" applyFont="1"/>
    <xf numFmtId="0" fontId="7" fillId="31" borderId="1" xfId="0" applyFont="1" applyFill="1" applyBorder="1" applyAlignment="1">
      <alignment vertical="center"/>
    </xf>
    <xf numFmtId="4" fontId="7" fillId="31" borderId="1" xfId="0" applyNumberFormat="1" applyFont="1" applyFill="1" applyBorder="1" applyAlignment="1">
      <alignment vertical="center"/>
    </xf>
    <xf numFmtId="3" fontId="7" fillId="31" borderId="1" xfId="0" applyNumberFormat="1" applyFont="1" applyFill="1" applyBorder="1" applyAlignment="1">
      <alignment vertical="center"/>
    </xf>
    <xf numFmtId="10" fontId="44" fillId="24" borderId="77" xfId="13" applyNumberFormat="1" applyFont="1" applyFill="1" applyBorder="1" applyAlignment="1" applyProtection="1">
      <alignment horizontal="center" vertical="center" wrapText="1" shrinkToFit="1"/>
      <protection hidden="1"/>
    </xf>
    <xf numFmtId="9" fontId="5" fillId="0" borderId="6" xfId="0" applyNumberFormat="1" applyFont="1" applyBorder="1" applyAlignment="1">
      <alignment vertical="center"/>
    </xf>
    <xf numFmtId="3" fontId="8" fillId="11" borderId="0" xfId="0" applyNumberFormat="1" applyFont="1" applyFill="1" applyAlignment="1">
      <alignment vertical="center"/>
    </xf>
    <xf numFmtId="9" fontId="31" fillId="3" borderId="59" xfId="4" applyFont="1" applyFill="1" applyBorder="1" applyAlignment="1">
      <alignment vertical="center"/>
    </xf>
    <xf numFmtId="43" fontId="25" fillId="11" borderId="45" xfId="0" applyNumberFormat="1" applyFont="1" applyFill="1" applyBorder="1" applyAlignment="1">
      <alignment vertical="center"/>
    </xf>
    <xf numFmtId="43" fontId="25" fillId="11" borderId="6" xfId="0" applyNumberFormat="1" applyFont="1" applyFill="1" applyBorder="1" applyAlignment="1">
      <alignment vertical="center"/>
    </xf>
    <xf numFmtId="43" fontId="8" fillId="6" borderId="2" xfId="2" applyFont="1" applyFill="1" applyBorder="1" applyAlignment="1">
      <alignment horizontal="center" vertical="center"/>
    </xf>
    <xf numFmtId="4" fontId="8" fillId="6" borderId="44" xfId="0" applyNumberFormat="1" applyFont="1" applyFill="1" applyBorder="1" applyAlignment="1">
      <alignment vertical="center"/>
    </xf>
    <xf numFmtId="173" fontId="42" fillId="0" borderId="39" xfId="0" applyNumberFormat="1" applyFont="1" applyBorder="1" applyAlignment="1">
      <alignment horizontal="center"/>
    </xf>
    <xf numFmtId="10" fontId="5" fillId="11" borderId="72" xfId="10" applyNumberFormat="1" applyFont="1" applyFill="1" applyBorder="1" applyAlignment="1">
      <alignment horizontal="center" vertical="center"/>
    </xf>
    <xf numFmtId="10" fontId="5" fillId="11" borderId="74" xfId="10" applyNumberFormat="1" applyFont="1" applyFill="1" applyBorder="1" applyAlignment="1">
      <alignment horizontal="center" vertical="center"/>
    </xf>
    <xf numFmtId="2" fontId="5" fillId="3" borderId="1" xfId="0" applyNumberFormat="1" applyFont="1" applyFill="1" applyBorder="1" applyAlignment="1">
      <alignment horizontal="center"/>
    </xf>
    <xf numFmtId="10" fontId="5" fillId="3" borderId="1" xfId="4" applyNumberFormat="1" applyFont="1" applyFill="1" applyBorder="1"/>
    <xf numFmtId="0" fontId="40" fillId="12" borderId="38" xfId="0" applyFont="1" applyFill="1" applyBorder="1" applyAlignment="1">
      <alignment horizontal="center" vertical="center"/>
    </xf>
    <xf numFmtId="0" fontId="0" fillId="12" borderId="38" xfId="0" applyFill="1" applyBorder="1"/>
    <xf numFmtId="4" fontId="0" fillId="12" borderId="46" xfId="0" applyNumberFormat="1" applyFill="1" applyBorder="1" applyAlignment="1">
      <alignment horizontal="center"/>
    </xf>
    <xf numFmtId="4" fontId="0" fillId="12" borderId="38" xfId="0" applyNumberFormat="1" applyFill="1" applyBorder="1" applyAlignment="1">
      <alignment horizontal="center"/>
    </xf>
    <xf numFmtId="172" fontId="44" fillId="11" borderId="39" xfId="10" applyNumberFormat="1" applyFont="1" applyFill="1" applyBorder="1" applyAlignment="1" applyProtection="1">
      <alignment horizontal="center" vertical="center" wrapText="1" shrinkToFit="1"/>
      <protection hidden="1"/>
    </xf>
    <xf numFmtId="0" fontId="42" fillId="0" borderId="0" xfId="0" applyFont="1"/>
    <xf numFmtId="0" fontId="42" fillId="0" borderId="0" xfId="0" applyFont="1" applyAlignment="1">
      <alignment horizontal="center"/>
    </xf>
    <xf numFmtId="173" fontId="0" fillId="0" borderId="0" xfId="0" applyNumberFormat="1"/>
    <xf numFmtId="173" fontId="46" fillId="20" borderId="38" xfId="0" applyNumberFormat="1" applyFont="1" applyFill="1" applyBorder="1"/>
    <xf numFmtId="173" fontId="46" fillId="0" borderId="0" xfId="0" applyNumberFormat="1" applyFont="1"/>
    <xf numFmtId="173" fontId="46" fillId="22" borderId="38" xfId="0" applyNumberFormat="1" applyFont="1" applyFill="1" applyBorder="1"/>
    <xf numFmtId="173" fontId="46" fillId="14" borderId="38" xfId="0" applyNumberFormat="1" applyFont="1" applyFill="1" applyBorder="1"/>
    <xf numFmtId="173" fontId="46" fillId="0" borderId="38" xfId="0" applyNumberFormat="1" applyFont="1" applyBorder="1"/>
    <xf numFmtId="173" fontId="45" fillId="0" borderId="39" xfId="0" applyNumberFormat="1" applyFont="1" applyBorder="1" applyAlignment="1">
      <alignment horizontal="center" vertical="center"/>
    </xf>
    <xf numFmtId="173" fontId="46" fillId="0" borderId="39" xfId="0" applyNumberFormat="1" applyFont="1" applyBorder="1" applyAlignment="1">
      <alignment horizontal="center" vertical="center"/>
    </xf>
    <xf numFmtId="173" fontId="46" fillId="15" borderId="39" xfId="0" applyNumberFormat="1" applyFont="1" applyFill="1" applyBorder="1" applyAlignment="1">
      <alignment horizontal="center" vertical="center"/>
    </xf>
    <xf numFmtId="173" fontId="16" fillId="0" borderId="0" xfId="0" applyNumberFormat="1" applyFont="1"/>
    <xf numFmtId="173" fontId="0" fillId="0" borderId="0" xfId="1" applyNumberFormat="1" applyFont="1"/>
    <xf numFmtId="0" fontId="16" fillId="11" borderId="0" xfId="0" applyFont="1" applyFill="1"/>
    <xf numFmtId="10" fontId="42" fillId="0" borderId="0" xfId="0" applyNumberFormat="1" applyFont="1" applyAlignment="1">
      <alignment horizontal="center"/>
    </xf>
    <xf numFmtId="167" fontId="12" fillId="0" borderId="80" xfId="0" applyNumberFormat="1" applyFont="1" applyBorder="1" applyAlignment="1">
      <alignment vertical="center"/>
    </xf>
    <xf numFmtId="0" fontId="7" fillId="2" borderId="81" xfId="0" applyFont="1" applyFill="1" applyBorder="1" applyAlignment="1">
      <alignment horizontal="center" vertical="center"/>
    </xf>
    <xf numFmtId="43" fontId="16" fillId="11" borderId="36" xfId="2" applyFont="1" applyFill="1" applyBorder="1" applyProtection="1">
      <protection hidden="1"/>
    </xf>
    <xf numFmtId="43" fontId="16" fillId="11" borderId="36" xfId="10" applyNumberFormat="1" applyFont="1" applyFill="1" applyBorder="1" applyProtection="1">
      <protection hidden="1"/>
    </xf>
    <xf numFmtId="3" fontId="10" fillId="7" borderId="80" xfId="0" applyNumberFormat="1" applyFont="1" applyFill="1" applyBorder="1" applyAlignment="1">
      <alignment vertical="center"/>
    </xf>
    <xf numFmtId="171" fontId="8" fillId="0" borderId="12" xfId="0" applyNumberFormat="1" applyFont="1" applyBorder="1" applyAlignment="1">
      <alignment vertical="center"/>
    </xf>
    <xf numFmtId="43" fontId="0" fillId="0" borderId="0" xfId="0" applyNumberFormat="1" applyAlignment="1">
      <alignment vertical="center"/>
    </xf>
    <xf numFmtId="3" fontId="8" fillId="13" borderId="36" xfId="0" applyNumberFormat="1" applyFont="1" applyFill="1" applyBorder="1" applyAlignment="1">
      <alignment horizontal="center" vertical="center"/>
    </xf>
    <xf numFmtId="10" fontId="16" fillId="12" borderId="39" xfId="4" applyNumberFormat="1" applyFont="1" applyFill="1" applyBorder="1" applyAlignment="1">
      <alignment horizontal="center"/>
    </xf>
    <xf numFmtId="0" fontId="16" fillId="0" borderId="39" xfId="11" applyBorder="1" applyAlignment="1">
      <alignment horizontal="center" vertical="center"/>
    </xf>
    <xf numFmtId="0" fontId="16" fillId="0" borderId="36" xfId="11" applyAlignment="1">
      <alignment horizontal="center" vertical="center"/>
    </xf>
    <xf numFmtId="10" fontId="16" fillId="11" borderId="39" xfId="10" applyNumberFormat="1" applyFont="1" applyFill="1" applyBorder="1" applyAlignment="1" applyProtection="1">
      <alignment horizontal="center" vertical="center"/>
      <protection hidden="1"/>
    </xf>
    <xf numFmtId="10" fontId="42" fillId="11" borderId="39" xfId="10" applyNumberFormat="1" applyFont="1" applyFill="1" applyBorder="1" applyAlignment="1" applyProtection="1">
      <alignment horizontal="center" vertical="center"/>
      <protection hidden="1"/>
    </xf>
    <xf numFmtId="0" fontId="42" fillId="0" borderId="39" xfId="16" applyFont="1" applyBorder="1" applyAlignment="1">
      <alignment horizontal="center" vertical="center"/>
    </xf>
    <xf numFmtId="10" fontId="42" fillId="11" borderId="39" xfId="10" applyNumberFormat="1" applyFont="1" applyFill="1" applyBorder="1" applyAlignment="1">
      <alignment horizontal="center" vertical="center"/>
    </xf>
    <xf numFmtId="0" fontId="16" fillId="11" borderId="39" xfId="12" applyFont="1" applyFill="1" applyBorder="1" applyAlignment="1" applyProtection="1">
      <alignment horizontal="center" vertical="center"/>
      <protection hidden="1"/>
    </xf>
    <xf numFmtId="0" fontId="0" fillId="0" borderId="36" xfId="0" applyBorder="1"/>
    <xf numFmtId="0" fontId="46" fillId="0" borderId="36" xfId="0" applyFont="1" applyBorder="1"/>
    <xf numFmtId="0" fontId="45" fillId="0" borderId="41" xfId="0" applyFont="1" applyBorder="1" applyAlignment="1">
      <alignment horizontal="center" vertical="center"/>
    </xf>
    <xf numFmtId="0" fontId="46" fillId="0" borderId="41" xfId="0" applyFont="1" applyBorder="1" applyAlignment="1">
      <alignment horizontal="center" vertical="center"/>
    </xf>
    <xf numFmtId="0" fontId="46" fillId="15" borderId="41" xfId="0" applyFont="1" applyFill="1" applyBorder="1" applyAlignment="1">
      <alignment horizontal="center" vertical="center"/>
    </xf>
    <xf numFmtId="10" fontId="0" fillId="0" borderId="50" xfId="4" applyNumberFormat="1" applyFont="1" applyBorder="1" applyAlignment="1">
      <alignment horizontal="center"/>
    </xf>
    <xf numFmtId="0" fontId="0" fillId="0" borderId="82" xfId="0" applyBorder="1" applyAlignment="1">
      <alignment horizontal="center"/>
    </xf>
    <xf numFmtId="10" fontId="0" fillId="0" borderId="83" xfId="4" applyNumberFormat="1" applyFont="1" applyBorder="1" applyAlignment="1">
      <alignment horizontal="center"/>
    </xf>
    <xf numFmtId="0" fontId="0" fillId="0" borderId="84" xfId="0" applyBorder="1" applyAlignment="1">
      <alignment horizontal="center"/>
    </xf>
    <xf numFmtId="173" fontId="0" fillId="0" borderId="83" xfId="0" applyNumberFormat="1" applyBorder="1" applyAlignment="1">
      <alignment horizontal="center"/>
    </xf>
    <xf numFmtId="10" fontId="0" fillId="0" borderId="47" xfId="4" applyNumberFormat="1" applyFont="1" applyBorder="1" applyAlignment="1">
      <alignment horizontal="center"/>
    </xf>
    <xf numFmtId="0" fontId="0" fillId="0" borderId="85" xfId="0" applyBorder="1" applyAlignment="1">
      <alignment horizontal="center"/>
    </xf>
    <xf numFmtId="10" fontId="11" fillId="32" borderId="17" xfId="0" applyNumberFormat="1" applyFont="1" applyFill="1" applyBorder="1" applyAlignment="1">
      <alignment horizontal="center" vertical="center"/>
    </xf>
    <xf numFmtId="10" fontId="11" fillId="32" borderId="36" xfId="0" applyNumberFormat="1" applyFont="1" applyFill="1" applyBorder="1" applyAlignment="1">
      <alignment horizontal="center" vertical="center"/>
    </xf>
    <xf numFmtId="167" fontId="12" fillId="0" borderId="36" xfId="0" applyNumberFormat="1" applyFont="1" applyBorder="1" applyAlignment="1">
      <alignment vertical="center"/>
    </xf>
    <xf numFmtId="4" fontId="5" fillId="11" borderId="36" xfId="0" applyNumberFormat="1" applyFont="1" applyFill="1" applyBorder="1" applyAlignment="1">
      <alignment vertical="center"/>
    </xf>
    <xf numFmtId="43" fontId="7" fillId="31" borderId="1" xfId="2" applyFont="1" applyFill="1" applyBorder="1" applyAlignment="1">
      <alignment vertical="center"/>
    </xf>
    <xf numFmtId="9" fontId="7" fillId="31" borderId="1" xfId="0" applyNumberFormat="1" applyFont="1" applyFill="1" applyBorder="1" applyAlignment="1">
      <alignment horizontal="center" vertical="center"/>
    </xf>
    <xf numFmtId="43" fontId="16" fillId="11" borderId="36" xfId="14" applyFont="1" applyFill="1" applyBorder="1" applyProtection="1">
      <protection hidden="1"/>
    </xf>
    <xf numFmtId="43" fontId="44" fillId="24" borderId="78" xfId="14" applyFont="1" applyFill="1" applyBorder="1" applyAlignment="1" applyProtection="1">
      <alignment horizontal="center" vertical="center" wrapText="1" shrinkToFit="1"/>
      <protection hidden="1"/>
    </xf>
    <xf numFmtId="43" fontId="16" fillId="0" borderId="36" xfId="16" applyNumberFormat="1" applyFont="1"/>
    <xf numFmtId="43" fontId="53" fillId="30" borderId="78" xfId="12" applyNumberFormat="1" applyFont="1" applyFill="1" applyBorder="1" applyAlignment="1" applyProtection="1">
      <alignment vertical="center" wrapText="1" shrinkToFit="1"/>
      <protection hidden="1"/>
    </xf>
    <xf numFmtId="43" fontId="49" fillId="24" borderId="78" xfId="14" applyFont="1" applyFill="1" applyBorder="1" applyAlignment="1" applyProtection="1">
      <alignment horizontal="center" vertical="center" wrapText="1" shrinkToFit="1"/>
      <protection hidden="1"/>
    </xf>
    <xf numFmtId="10" fontId="44" fillId="24" borderId="78" xfId="4" applyNumberFormat="1" applyFont="1" applyFill="1" applyBorder="1" applyAlignment="1" applyProtection="1">
      <alignment horizontal="center" vertical="center" wrapText="1" shrinkToFit="1"/>
      <protection hidden="1"/>
    </xf>
    <xf numFmtId="43" fontId="49" fillId="11" borderId="39" xfId="14" applyFont="1" applyFill="1" applyBorder="1" applyAlignment="1" applyProtection="1">
      <alignment horizontal="center" vertical="center" wrapText="1" shrinkToFit="1"/>
      <protection hidden="1"/>
    </xf>
    <xf numFmtId="43" fontId="49" fillId="11" borderId="36" xfId="14" applyFont="1" applyFill="1" applyBorder="1" applyAlignment="1" applyProtection="1">
      <alignment horizontal="center" vertical="center" wrapText="1" shrinkToFit="1"/>
      <protection hidden="1"/>
    </xf>
    <xf numFmtId="43" fontId="44" fillId="11" borderId="39" xfId="14" applyFont="1" applyFill="1" applyBorder="1" applyAlignment="1" applyProtection="1">
      <alignment horizontal="center" vertical="center" wrapText="1" shrinkToFit="1"/>
      <protection hidden="1"/>
    </xf>
    <xf numFmtId="0" fontId="50" fillId="0" borderId="36" xfId="18" applyFont="1" applyAlignment="1">
      <alignment vertical="center"/>
    </xf>
    <xf numFmtId="0" fontId="1" fillId="0" borderId="36" xfId="18"/>
    <xf numFmtId="0" fontId="55" fillId="3" borderId="18" xfId="18" applyFont="1" applyFill="1" applyBorder="1"/>
    <xf numFmtId="0" fontId="55" fillId="33" borderId="18" xfId="18" applyFont="1" applyFill="1" applyBorder="1"/>
    <xf numFmtId="170" fontId="55" fillId="3" borderId="18" xfId="18" applyNumberFormat="1" applyFont="1" applyFill="1" applyBorder="1" applyAlignment="1">
      <alignment horizontal="left" vertical="center" wrapText="1"/>
    </xf>
    <xf numFmtId="170" fontId="55" fillId="34" borderId="18" xfId="18" applyNumberFormat="1" applyFont="1" applyFill="1" applyBorder="1" applyAlignment="1">
      <alignment horizontal="left" vertical="center" wrapText="1"/>
    </xf>
    <xf numFmtId="0" fontId="55" fillId="3" borderId="50" xfId="18" applyFont="1" applyFill="1" applyBorder="1" applyAlignment="1">
      <alignment horizontal="center"/>
    </xf>
    <xf numFmtId="0" fontId="55" fillId="3" borderId="42" xfId="18" applyFont="1" applyFill="1" applyBorder="1" applyAlignment="1">
      <alignment horizontal="center" vertical="center"/>
    </xf>
    <xf numFmtId="0" fontId="55" fillId="3" borderId="82" xfId="18" applyFont="1" applyFill="1" applyBorder="1" applyAlignment="1">
      <alignment horizontal="center" vertical="center"/>
    </xf>
    <xf numFmtId="0" fontId="55" fillId="3" borderId="86" xfId="18" applyFont="1" applyFill="1" applyBorder="1" applyAlignment="1">
      <alignment horizontal="center" vertical="center"/>
    </xf>
    <xf numFmtId="0" fontId="55" fillId="3" borderId="87" xfId="18" applyFont="1" applyFill="1" applyBorder="1"/>
    <xf numFmtId="0" fontId="56" fillId="3" borderId="83" xfId="18" applyFont="1" applyFill="1" applyBorder="1" applyAlignment="1">
      <alignment horizontal="left"/>
    </xf>
    <xf numFmtId="170" fontId="55" fillId="3" borderId="36" xfId="18" applyNumberFormat="1" applyFont="1" applyFill="1"/>
    <xf numFmtId="170" fontId="55" fillId="3" borderId="84" xfId="18" applyNumberFormat="1" applyFont="1" applyFill="1" applyBorder="1"/>
    <xf numFmtId="0" fontId="55" fillId="33" borderId="86" xfId="18" applyFont="1" applyFill="1" applyBorder="1"/>
    <xf numFmtId="0" fontId="55" fillId="33" borderId="87" xfId="18" applyFont="1" applyFill="1" applyBorder="1"/>
    <xf numFmtId="0" fontId="55" fillId="3" borderId="88" xfId="18" applyFont="1" applyFill="1" applyBorder="1" applyAlignment="1">
      <alignment horizontal="center" vertical="center"/>
    </xf>
    <xf numFmtId="0" fontId="55" fillId="33" borderId="83" xfId="18" applyFont="1" applyFill="1" applyBorder="1" applyAlignment="1">
      <alignment vertical="center" wrapText="1"/>
    </xf>
    <xf numFmtId="170" fontId="55" fillId="33" borderId="36" xfId="18" applyNumberFormat="1" applyFont="1" applyFill="1" applyAlignment="1">
      <alignment horizontal="left" vertical="center" wrapText="1"/>
    </xf>
    <xf numFmtId="170" fontId="55" fillId="33" borderId="36" xfId="18" applyNumberFormat="1" applyFont="1" applyFill="1"/>
    <xf numFmtId="170" fontId="55" fillId="33" borderId="84" xfId="18" applyNumberFormat="1" applyFont="1" applyFill="1" applyBorder="1"/>
    <xf numFmtId="0" fontId="56" fillId="3" borderId="86" xfId="18" applyFont="1" applyFill="1" applyBorder="1" applyAlignment="1">
      <alignment horizontal="left" vertical="center" wrapText="1"/>
    </xf>
    <xf numFmtId="170" fontId="55" fillId="3" borderId="87" xfId="18" applyNumberFormat="1" applyFont="1" applyFill="1" applyBorder="1" applyAlignment="1">
      <alignment horizontal="left" vertical="center" wrapText="1"/>
    </xf>
    <xf numFmtId="0" fontId="55" fillId="3" borderId="86" xfId="18" applyFont="1" applyFill="1" applyBorder="1" applyAlignment="1">
      <alignment horizontal="left" vertical="center"/>
    </xf>
    <xf numFmtId="0" fontId="55" fillId="3" borderId="88" xfId="18" applyFont="1" applyFill="1" applyBorder="1" applyAlignment="1">
      <alignment horizontal="left" vertical="center"/>
    </xf>
    <xf numFmtId="0" fontId="55" fillId="33" borderId="83" xfId="18" applyFont="1" applyFill="1" applyBorder="1" applyAlignment="1">
      <alignment horizontal="left" vertical="center" wrapText="1"/>
    </xf>
    <xf numFmtId="0" fontId="55" fillId="3" borderId="86" xfId="18" applyFont="1" applyFill="1" applyBorder="1" applyAlignment="1">
      <alignment vertical="center" wrapText="1"/>
    </xf>
    <xf numFmtId="0" fontId="55" fillId="3" borderId="86" xfId="18" applyFont="1" applyFill="1" applyBorder="1" applyAlignment="1">
      <alignment vertical="center"/>
    </xf>
    <xf numFmtId="0" fontId="55" fillId="34" borderId="83" xfId="18" applyFont="1" applyFill="1" applyBorder="1" applyAlignment="1">
      <alignment horizontal="left" vertical="center" wrapText="1"/>
    </xf>
    <xf numFmtId="170" fontId="55" fillId="34" borderId="36" xfId="18" applyNumberFormat="1" applyFont="1" applyFill="1" applyAlignment="1">
      <alignment horizontal="left" vertical="center" wrapText="1"/>
    </xf>
    <xf numFmtId="170" fontId="55" fillId="34" borderId="36" xfId="18" applyNumberFormat="1" applyFont="1" applyFill="1"/>
    <xf numFmtId="170" fontId="55" fillId="34" borderId="84" xfId="18" applyNumberFormat="1" applyFont="1" applyFill="1" applyBorder="1"/>
    <xf numFmtId="0" fontId="56" fillId="34" borderId="86" xfId="18" applyFont="1" applyFill="1" applyBorder="1" applyAlignment="1">
      <alignment horizontal="left" vertical="center" wrapText="1"/>
    </xf>
    <xf numFmtId="170" fontId="55" fillId="34" borderId="87" xfId="18" applyNumberFormat="1" applyFont="1" applyFill="1" applyBorder="1" applyAlignment="1">
      <alignment horizontal="left" vertical="center" wrapText="1"/>
    </xf>
    <xf numFmtId="0" fontId="57" fillId="3" borderId="89" xfId="18" applyFont="1" applyFill="1" applyBorder="1" applyAlignment="1">
      <alignment horizontal="left" vertical="center" wrapText="1"/>
    </xf>
    <xf numFmtId="170" fontId="57" fillId="3" borderId="44" xfId="18" applyNumberFormat="1" applyFont="1" applyFill="1" applyBorder="1" applyAlignment="1">
      <alignment horizontal="center" vertical="center"/>
    </xf>
    <xf numFmtId="170" fontId="55" fillId="3" borderId="44" xfId="18" applyNumberFormat="1" applyFont="1" applyFill="1" applyBorder="1" applyAlignment="1">
      <alignment horizontal="left" vertical="center" wrapText="1"/>
    </xf>
    <xf numFmtId="170" fontId="55" fillId="3" borderId="90" xfId="18" applyNumberFormat="1" applyFont="1" applyFill="1" applyBorder="1" applyAlignment="1">
      <alignment horizontal="left" vertical="center" wrapText="1"/>
    </xf>
    <xf numFmtId="170" fontId="56" fillId="3" borderId="18" xfId="18" applyNumberFormat="1" applyFont="1" applyFill="1" applyBorder="1" applyAlignment="1">
      <alignment horizontal="left" vertical="center" wrapText="1"/>
    </xf>
    <xf numFmtId="170" fontId="56" fillId="3" borderId="87" xfId="18" applyNumberFormat="1" applyFont="1" applyFill="1" applyBorder="1" applyAlignment="1">
      <alignment horizontal="left" vertical="center" wrapText="1"/>
    </xf>
    <xf numFmtId="166" fontId="25" fillId="3" borderId="8" xfId="0" applyNumberFormat="1" applyFont="1" applyFill="1" applyBorder="1" applyAlignment="1">
      <alignment vertical="center"/>
    </xf>
    <xf numFmtId="10" fontId="39" fillId="11" borderId="36" xfId="0" applyNumberFormat="1" applyFont="1" applyFill="1" applyBorder="1" applyAlignment="1">
      <alignment vertical="center"/>
    </xf>
    <xf numFmtId="172" fontId="25" fillId="11" borderId="36" xfId="0" applyNumberFormat="1" applyFont="1" applyFill="1" applyBorder="1" applyAlignment="1">
      <alignment vertical="center"/>
    </xf>
    <xf numFmtId="3" fontId="11" fillId="7" borderId="36" xfId="0" applyNumberFormat="1" applyFont="1" applyFill="1" applyBorder="1" applyAlignment="1">
      <alignment vertical="center"/>
    </xf>
    <xf numFmtId="0" fontId="5" fillId="0" borderId="91" xfId="0" applyFont="1" applyBorder="1" applyAlignment="1">
      <alignment vertical="center"/>
    </xf>
    <xf numFmtId="10" fontId="39" fillId="11" borderId="91" xfId="0" applyNumberFormat="1" applyFont="1" applyFill="1" applyBorder="1" applyAlignment="1">
      <alignment vertical="center"/>
    </xf>
    <xf numFmtId="172" fontId="25" fillId="11" borderId="91" xfId="0" applyNumberFormat="1" applyFont="1" applyFill="1" applyBorder="1" applyAlignment="1">
      <alignment vertical="center"/>
    </xf>
    <xf numFmtId="3" fontId="10" fillId="7" borderId="92" xfId="0" applyNumberFormat="1" applyFont="1" applyFill="1" applyBorder="1" applyAlignment="1">
      <alignment vertical="center"/>
    </xf>
    <xf numFmtId="172" fontId="25" fillId="11" borderId="92" xfId="0" applyNumberFormat="1" applyFont="1" applyFill="1" applyBorder="1" applyAlignment="1">
      <alignment vertical="center"/>
    </xf>
    <xf numFmtId="3" fontId="10" fillId="7" borderId="91" xfId="0" applyNumberFormat="1" applyFont="1" applyFill="1" applyBorder="1" applyAlignment="1">
      <alignment vertical="center"/>
    </xf>
    <xf numFmtId="172" fontId="44" fillId="24" borderId="78" xfId="12" applyNumberFormat="1" applyFont="1" applyFill="1" applyBorder="1" applyAlignment="1" applyProtection="1">
      <alignment horizontal="center" vertical="center" wrapText="1" shrinkToFit="1"/>
      <protection hidden="1"/>
    </xf>
    <xf numFmtId="167" fontId="10" fillId="7" borderId="16" xfId="0" applyNumberFormat="1" applyFont="1" applyFill="1" applyBorder="1" applyAlignment="1">
      <alignment horizontal="center" vertical="center"/>
    </xf>
    <xf numFmtId="10" fontId="10" fillId="7" borderId="17" xfId="0" applyNumberFormat="1" applyFont="1" applyFill="1" applyBorder="1" applyAlignment="1">
      <alignment horizontal="center" vertical="center"/>
    </xf>
    <xf numFmtId="0" fontId="5" fillId="0" borderId="93" xfId="0" applyFont="1" applyBorder="1" applyAlignment="1">
      <alignment vertical="center"/>
    </xf>
    <xf numFmtId="10" fontId="11" fillId="7" borderId="93" xfId="0" applyNumberFormat="1" applyFont="1" applyFill="1" applyBorder="1" applyAlignment="1">
      <alignment horizontal="center" vertical="center"/>
    </xf>
    <xf numFmtId="10" fontId="39" fillId="11" borderId="93" xfId="0" applyNumberFormat="1" applyFont="1" applyFill="1" applyBorder="1" applyAlignment="1">
      <alignment vertical="center"/>
    </xf>
    <xf numFmtId="172" fontId="25" fillId="11" borderId="93" xfId="0" applyNumberFormat="1" applyFont="1" applyFill="1" applyBorder="1" applyAlignment="1">
      <alignment vertical="center"/>
    </xf>
    <xf numFmtId="3" fontId="10" fillId="7" borderId="93" xfId="0" applyNumberFormat="1" applyFont="1" applyFill="1" applyBorder="1" applyAlignment="1">
      <alignment vertical="center"/>
    </xf>
    <xf numFmtId="43" fontId="25" fillId="11" borderId="36" xfId="0" applyNumberFormat="1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44" fontId="11" fillId="29" borderId="26" xfId="1" applyFont="1" applyFill="1" applyBorder="1" applyAlignment="1">
      <alignment horizontal="center" vertical="center"/>
    </xf>
    <xf numFmtId="43" fontId="25" fillId="11" borderId="91" xfId="0" applyNumberFormat="1" applyFont="1" applyFill="1" applyBorder="1" applyAlignment="1">
      <alignment vertical="center"/>
    </xf>
    <xf numFmtId="4" fontId="10" fillId="7" borderId="36" xfId="0" applyNumberFormat="1" applyFont="1" applyFill="1" applyBorder="1" applyAlignment="1">
      <alignment vertical="center"/>
    </xf>
    <xf numFmtId="4" fontId="10" fillId="7" borderId="91" xfId="0" applyNumberFormat="1" applyFont="1" applyFill="1" applyBorder="1" applyAlignment="1">
      <alignment vertical="center"/>
    </xf>
    <xf numFmtId="4" fontId="10" fillId="7" borderId="93" xfId="0" applyNumberFormat="1" applyFont="1" applyFill="1" applyBorder="1" applyAlignment="1">
      <alignment vertical="center"/>
    </xf>
    <xf numFmtId="0" fontId="54" fillId="30" borderId="36" xfId="11" applyFont="1" applyFill="1" applyAlignment="1">
      <alignment horizontal="center" vertical="center"/>
    </xf>
    <xf numFmtId="0" fontId="58" fillId="35" borderId="40" xfId="11" applyFont="1" applyFill="1" applyBorder="1" applyAlignment="1">
      <alignment horizontal="center" vertical="center"/>
    </xf>
    <xf numFmtId="0" fontId="58" fillId="35" borderId="38" xfId="11" applyFont="1" applyFill="1" applyBorder="1" applyAlignment="1">
      <alignment horizontal="center" vertical="center"/>
    </xf>
    <xf numFmtId="0" fontId="58" fillId="35" borderId="41" xfId="11" applyFont="1" applyFill="1" applyBorder="1" applyAlignment="1">
      <alignment horizontal="center" vertical="center"/>
    </xf>
    <xf numFmtId="0" fontId="52" fillId="0" borderId="23" xfId="0" applyFont="1" applyBorder="1" applyAlignment="1">
      <alignment horizontal="center"/>
    </xf>
    <xf numFmtId="0" fontId="52" fillId="0" borderId="63" xfId="0" applyFont="1" applyBorder="1" applyAlignment="1">
      <alignment horizontal="center" vertical="center" textRotation="90"/>
    </xf>
    <xf numFmtId="0" fontId="5" fillId="0" borderId="30" xfId="0" applyFont="1" applyBorder="1" applyAlignment="1">
      <alignment horizontal="center"/>
    </xf>
    <xf numFmtId="0" fontId="25" fillId="0" borderId="31" xfId="0" applyFont="1" applyBorder="1" applyAlignment="1">
      <alignment vertical="center"/>
    </xf>
    <xf numFmtId="170" fontId="5" fillId="0" borderId="32" xfId="0" applyNumberFormat="1" applyFont="1" applyBorder="1" applyAlignment="1">
      <alignment horizontal="center"/>
    </xf>
    <xf numFmtId="0" fontId="25" fillId="0" borderId="33" xfId="0" applyFont="1" applyBorder="1" applyAlignment="1">
      <alignment vertical="center"/>
    </xf>
    <xf numFmtId="10" fontId="48" fillId="0" borderId="32" xfId="4" applyNumberFormat="1" applyFont="1" applyBorder="1" applyAlignment="1">
      <alignment horizontal="right"/>
    </xf>
    <xf numFmtId="10" fontId="25" fillId="0" borderId="33" xfId="4" applyNumberFormat="1" applyFont="1" applyBorder="1" applyAlignment="1">
      <alignment horizontal="right" vertical="center"/>
    </xf>
    <xf numFmtId="170" fontId="5" fillId="0" borderId="34" xfId="0" applyNumberFormat="1" applyFont="1" applyBorder="1" applyAlignment="1">
      <alignment horizontal="center"/>
    </xf>
    <xf numFmtId="170" fontId="5" fillId="0" borderId="33" xfId="0" applyNumberFormat="1" applyFont="1" applyBorder="1" applyAlignment="1">
      <alignment horizontal="center"/>
    </xf>
    <xf numFmtId="0" fontId="24" fillId="10" borderId="30" xfId="0" applyFont="1" applyFill="1" applyBorder="1" applyAlignment="1">
      <alignment horizontal="center"/>
    </xf>
    <xf numFmtId="0" fontId="24" fillId="10" borderId="32" xfId="0" applyFont="1" applyFill="1" applyBorder="1" applyAlignment="1">
      <alignment horizontal="center"/>
    </xf>
    <xf numFmtId="0" fontId="24" fillId="27" borderId="27" xfId="0" applyFont="1" applyFill="1" applyBorder="1" applyAlignment="1">
      <alignment horizontal="center"/>
    </xf>
    <xf numFmtId="0" fontId="25" fillId="18" borderId="28" xfId="0" applyFont="1" applyFill="1" applyBorder="1" applyAlignment="1">
      <alignment vertical="center"/>
    </xf>
    <xf numFmtId="0" fontId="25" fillId="18" borderId="29" xfId="0" applyFont="1" applyFill="1" applyBorder="1" applyAlignment="1">
      <alignment vertical="center"/>
    </xf>
    <xf numFmtId="170" fontId="5" fillId="11" borderId="34" xfId="0" applyNumberFormat="1" applyFont="1" applyFill="1" applyBorder="1" applyAlignment="1">
      <alignment horizontal="center"/>
    </xf>
    <xf numFmtId="170" fontId="5" fillId="11" borderId="33" xfId="0" applyNumberFormat="1" applyFont="1" applyFill="1" applyBorder="1" applyAlignment="1">
      <alignment horizontal="center"/>
    </xf>
    <xf numFmtId="0" fontId="5" fillId="0" borderId="37" xfId="0" applyFont="1" applyBorder="1" applyAlignment="1">
      <alignment horizontal="center"/>
    </xf>
    <xf numFmtId="170" fontId="24" fillId="11" borderId="32" xfId="0" applyNumberFormat="1" applyFont="1" applyFill="1" applyBorder="1" applyAlignment="1">
      <alignment horizontal="center"/>
    </xf>
    <xf numFmtId="170" fontId="25" fillId="11" borderId="33" xfId="0" applyNumberFormat="1" applyFont="1" applyFill="1" applyBorder="1" applyAlignment="1">
      <alignment vertical="center"/>
    </xf>
    <xf numFmtId="0" fontId="46" fillId="16" borderId="40" xfId="0" applyFont="1" applyFill="1" applyBorder="1" applyAlignment="1">
      <alignment horizontal="left"/>
    </xf>
    <xf numFmtId="0" fontId="46" fillId="16" borderId="41" xfId="0" applyFont="1" applyFill="1" applyBorder="1" applyAlignment="1">
      <alignment horizontal="left"/>
    </xf>
    <xf numFmtId="0" fontId="46" fillId="16" borderId="40" xfId="0" applyFont="1" applyFill="1" applyBorder="1" applyAlignment="1">
      <alignment horizontal="center"/>
    </xf>
    <xf numFmtId="0" fontId="46" fillId="16" borderId="41" xfId="0" applyFont="1" applyFill="1" applyBorder="1" applyAlignment="1">
      <alignment horizontal="center"/>
    </xf>
    <xf numFmtId="0" fontId="40" fillId="11" borderId="50" xfId="0" applyFont="1" applyFill="1" applyBorder="1" applyAlignment="1">
      <alignment horizontal="center" vertical="center" wrapText="1"/>
    </xf>
    <xf numFmtId="0" fontId="40" fillId="11" borderId="47" xfId="0" applyFont="1" applyFill="1" applyBorder="1" applyAlignment="1">
      <alignment horizontal="center" vertical="center" wrapText="1"/>
    </xf>
    <xf numFmtId="0" fontId="45" fillId="16" borderId="51" xfId="0" applyFont="1" applyFill="1" applyBorder="1" applyAlignment="1">
      <alignment horizontal="center" vertical="center"/>
    </xf>
    <xf numFmtId="0" fontId="45" fillId="16" borderId="49" xfId="0" applyFont="1" applyFill="1" applyBorder="1" applyAlignment="1">
      <alignment horizontal="center" vertical="center"/>
    </xf>
    <xf numFmtId="0" fontId="45" fillId="16" borderId="48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28" fillId="3" borderId="35" xfId="0" applyFont="1" applyFill="1" applyBorder="1" applyAlignment="1">
      <alignment horizontal="center"/>
    </xf>
    <xf numFmtId="0" fontId="25" fillId="0" borderId="36" xfId="0" applyFont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</cellXfs>
  <cellStyles count="19">
    <cellStyle name="Dado de Tabela (Linha Par)" xfId="17" xr:uid="{8E8DECB5-3BFE-4A7D-83BB-8AB70177FA16}"/>
    <cellStyle name="Hiperlink" xfId="5" builtinId="8"/>
    <cellStyle name="Hiperlink 2" xfId="9" xr:uid="{C791608B-AF68-49FC-ACEC-C77C88C83891}"/>
    <cellStyle name="Moeda" xfId="1" builtinId="4"/>
    <cellStyle name="Moeda 18" xfId="13" xr:uid="{BDCF9E07-2699-48E5-8AA7-ADA24F2A72C0}"/>
    <cellStyle name="Moeda 2" xfId="7" xr:uid="{4CA87090-36D6-4201-9DDA-3D4586F28DFA}"/>
    <cellStyle name="Normal" xfId="0" builtinId="0"/>
    <cellStyle name="Normal 2" xfId="6" xr:uid="{70BEA462-AFBE-4DCE-B540-CBF39EA511B5}"/>
    <cellStyle name="Normal 2 10" xfId="3" xr:uid="{8E5AF5A9-D061-4FBF-A589-C0889006615C}"/>
    <cellStyle name="Normal 3" xfId="18" xr:uid="{6F9FE955-C6B8-4060-9857-8159F4B3DADF}"/>
    <cellStyle name="Normal 4" xfId="11" xr:uid="{6DC9782B-24FC-430F-8C1D-E45B3874211C}"/>
    <cellStyle name="Normal 4 2 3" xfId="12" xr:uid="{02E84E6A-5024-41EA-A699-3E93178C59B9}"/>
    <cellStyle name="Normal 50" xfId="16" xr:uid="{A3E012F0-FC53-4502-836D-152AC06FB0EC}"/>
    <cellStyle name="Porcentagem" xfId="4" builtinId="5"/>
    <cellStyle name="Porcentagem 2" xfId="8" xr:uid="{98787925-A012-4415-B52D-C5260C74D683}"/>
    <cellStyle name="Porcentagem 3" xfId="10" xr:uid="{18E7626C-F319-4D1E-9A13-1D5406F67A2B}"/>
    <cellStyle name="Vírgula" xfId="2" builtinId="3"/>
    <cellStyle name="Vírgula 2" xfId="14" xr:uid="{C5FACC36-42B0-4726-9EF4-84FED07EDEC4}"/>
    <cellStyle name="Vírgula 26" xfId="15" xr:uid="{C51E583C-035A-4D07-A11C-04381B21FD90}"/>
  </cellStyles>
  <dxfs count="2">
    <dxf>
      <fill>
        <patternFill>
          <bgColor rgb="FF92D050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FF1B2E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theme" Target="theme/theme1.xml"/><Relationship Id="rId30" Type="http://schemas.microsoft.com/office/2017/10/relationships/person" Target="persons/perso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Consolidado!$O$154:$AV$154</c15:sqref>
                  </c15:fullRef>
                </c:ext>
              </c:extLst>
              <c:f>(Consolidado!$O$154:$AM$154,Consolidado!$AO$154:$AV$154)</c:f>
              <c:numCache>
                <c:formatCode>#,##0</c:formatCode>
                <c:ptCount val="25"/>
                <c:pt idx="0">
                  <c:v>-17387291.238808218</c:v>
                </c:pt>
                <c:pt idx="1">
                  <c:v>-14001382.018707391</c:v>
                </c:pt>
                <c:pt idx="2">
                  <c:v>-10710372.845104432</c:v>
                </c:pt>
                <c:pt idx="3">
                  <c:v>-7321903.9779993426</c:v>
                </c:pt>
                <c:pt idx="4">
                  <c:v>-11298993.075392123</c:v>
                </c:pt>
                <c:pt idx="5">
                  <c:v>-7982895.4612827729</c:v>
                </c:pt>
                <c:pt idx="6">
                  <c:v>-4611836.0936712939</c:v>
                </c:pt>
                <c:pt idx="7">
                  <c:v>-1962154.9225576841</c:v>
                </c:pt>
                <c:pt idx="8">
                  <c:v>434222.26205805549</c:v>
                </c:pt>
                <c:pt idx="9">
                  <c:v>3830370.0701759239</c:v>
                </c:pt>
                <c:pt idx="10">
                  <c:v>-163242.78620407544</c:v>
                </c:pt>
                <c:pt idx="11">
                  <c:v>3235464.6689180546</c:v>
                </c:pt>
                <c:pt idx="12">
                  <c:v>3493562.2618210036</c:v>
                </c:pt>
                <c:pt idx="13">
                  <c:v>6894829.3639473934</c:v>
                </c:pt>
                <c:pt idx="14">
                  <c:v>10276127.319575913</c:v>
                </c:pt>
                <c:pt idx="15">
                  <c:v>5641914.6607065648</c:v>
                </c:pt>
                <c:pt idx="16">
                  <c:v>8878399.3733393457</c:v>
                </c:pt>
                <c:pt idx="17">
                  <c:v>11379257.729474256</c:v>
                </c:pt>
                <c:pt idx="18">
                  <c:v>14765674.979111295</c:v>
                </c:pt>
                <c:pt idx="19">
                  <c:v>18174621.022250466</c:v>
                </c:pt>
                <c:pt idx="20">
                  <c:v>14143806.400891766</c:v>
                </c:pt>
                <c:pt idx="21">
                  <c:v>17555312.091035195</c:v>
                </c:pt>
                <c:pt idx="22">
                  <c:v>20202941.644680753</c:v>
                </c:pt>
                <c:pt idx="23">
                  <c:v>23617006.981828444</c:v>
                </c:pt>
                <c:pt idx="24">
                  <c:v>27221120.253829043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6D8-4CA9-A665-FF912E40B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40000000"/>
          <c:min val="-30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PA!$O$154:$AV$154</c15:sqref>
                  </c15:fullRef>
                </c:ext>
              </c:extLst>
              <c:f>(PA!$O$154:$AM$154,PA!$AO$154:$AV$154)</c:f>
              <c:numCache>
                <c:formatCode>#,##0</c:formatCode>
                <c:ptCount val="25"/>
                <c:pt idx="0">
                  <c:v>-965653.83023210883</c:v>
                </c:pt>
                <c:pt idx="1">
                  <c:v>-775972.7324766689</c:v>
                </c:pt>
                <c:pt idx="2">
                  <c:v>-593424.27167928102</c:v>
                </c:pt>
                <c:pt idx="3">
                  <c:v>-403603.65719028865</c:v>
                </c:pt>
                <c:pt idx="4">
                  <c:v>-625481.96732406551</c:v>
                </c:pt>
                <c:pt idx="5">
                  <c:v>-441531.29610152065</c:v>
                </c:pt>
                <c:pt idx="6">
                  <c:v>-252694.34183702793</c:v>
                </c:pt>
                <c:pt idx="7">
                  <c:v>-106161.04295492137</c:v>
                </c:pt>
                <c:pt idx="8">
                  <c:v>27144.97424374026</c:v>
                </c:pt>
                <c:pt idx="9">
                  <c:v>217384.13893338997</c:v>
                </c:pt>
                <c:pt idx="10">
                  <c:v>-7237.1565240981872</c:v>
                </c:pt>
                <c:pt idx="11">
                  <c:v>183141.52489910397</c:v>
                </c:pt>
                <c:pt idx="12">
                  <c:v>187155.26312307612</c:v>
                </c:pt>
                <c:pt idx="13">
                  <c:v>377673.46127983078</c:v>
                </c:pt>
                <c:pt idx="14">
                  <c:v>567068.48247853329</c:v>
                </c:pt>
                <c:pt idx="15">
                  <c:v>306472.90687572927</c:v>
                </c:pt>
                <c:pt idx="16">
                  <c:v>486926.54210231814</c:v>
                </c:pt>
                <c:pt idx="17">
                  <c:v>625083.88086249493</c:v>
                </c:pt>
                <c:pt idx="18">
                  <c:v>814757.93552830233</c:v>
                </c:pt>
                <c:pt idx="19">
                  <c:v>1005694.6838857143</c:v>
                </c:pt>
                <c:pt idx="20">
                  <c:v>778963.9293903223</c:v>
                </c:pt>
                <c:pt idx="21">
                  <c:v>970040.19448128669</c:v>
                </c:pt>
                <c:pt idx="22">
                  <c:v>1116426.9335402083</c:v>
                </c:pt>
                <c:pt idx="23">
                  <c:v>1307642.7153647251</c:v>
                </c:pt>
                <c:pt idx="24">
                  <c:v>1509423.8018734346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CF9-4D0D-BDC9-229D3425B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18000000"/>
          <c:min val="-12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PA!$O$150:$AV$150</c15:sqref>
                  </c15:fullRef>
                </c:ext>
              </c:extLst>
              <c:f>(PA!$O$150:$AM$150,PA!$AO$150:$AV$150)</c:f>
              <c:numCache>
                <c:formatCode>#,##0</c:formatCode>
                <c:ptCount val="25"/>
                <c:pt idx="0">
                  <c:v>-963933.54487498128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-410575.7476647172</c:v>
                </c:pt>
                <c:pt idx="5">
                  <c:v>0</c:v>
                </c:pt>
                <c:pt idx="6">
                  <c:v>0</c:v>
                </c:pt>
                <c:pt idx="7">
                  <c:v>-37556.889073990758</c:v>
                </c:pt>
                <c:pt idx="8">
                  <c:v>-55670.453799383526</c:v>
                </c:pt>
                <c:pt idx="9">
                  <c:v>0</c:v>
                </c:pt>
                <c:pt idx="10">
                  <c:v>-407727.82318908576</c:v>
                </c:pt>
                <c:pt idx="11">
                  <c:v>0</c:v>
                </c:pt>
                <c:pt idx="12">
                  <c:v>-179232.30624117795</c:v>
                </c:pt>
                <c:pt idx="13">
                  <c:v>0</c:v>
                </c:pt>
                <c:pt idx="14">
                  <c:v>0</c:v>
                </c:pt>
                <c:pt idx="15">
                  <c:v>-445243.83049311116</c:v>
                </c:pt>
                <c:pt idx="16">
                  <c:v>-9080.9027056661143</c:v>
                </c:pt>
                <c:pt idx="17">
                  <c:v>-46630.432863682727</c:v>
                </c:pt>
                <c:pt idx="18">
                  <c:v>0</c:v>
                </c:pt>
                <c:pt idx="19">
                  <c:v>0</c:v>
                </c:pt>
                <c:pt idx="20">
                  <c:v>-410534.86589475186</c:v>
                </c:pt>
                <c:pt idx="21">
                  <c:v>0</c:v>
                </c:pt>
                <c:pt idx="22">
                  <c:v>-37556.889073990758</c:v>
                </c:pt>
                <c:pt idx="23">
                  <c:v>0</c:v>
                </c:pt>
                <c:pt idx="24">
                  <c:v>-2807.0427056661147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3D1-4871-AFAF-315D33651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PA!$O$138:$AV$138</c15:sqref>
                  </c15:fullRef>
                </c:ext>
              </c:extLst>
              <c:f>(PA!$O$138:$AM$138,PA!$AO$138:$AV$138)</c:f>
              <c:numCache>
                <c:formatCode>#,##0</c:formatCode>
                <c:ptCount val="25"/>
                <c:pt idx="0">
                  <c:v>-1720.2853571275373</c:v>
                </c:pt>
                <c:pt idx="1">
                  <c:v>654736.87626361544</c:v>
                </c:pt>
                <c:pt idx="2">
                  <c:v>156409.23185292952</c:v>
                </c:pt>
                <c:pt idx="3">
                  <c:v>176133.34641728632</c:v>
                </c:pt>
                <c:pt idx="4">
                  <c:v>188698.87009343586</c:v>
                </c:pt>
                <c:pt idx="5">
                  <c:v>158221.63205892965</c:v>
                </c:pt>
                <c:pt idx="6">
                  <c:v>175600.61638527195</c:v>
                </c:pt>
                <c:pt idx="7">
                  <c:v>184587.33749641938</c:v>
                </c:pt>
                <c:pt idx="8">
                  <c:v>200840.94664563768</c:v>
                </c:pt>
                <c:pt idx="9">
                  <c:v>212800.92406126723</c:v>
                </c:pt>
                <c:pt idx="10">
                  <c:v>222957.27318732761</c:v>
                </c:pt>
                <c:pt idx="11">
                  <c:v>208739.68251277256</c:v>
                </c:pt>
                <c:pt idx="12">
                  <c:v>218478.80861277814</c:v>
                </c:pt>
                <c:pt idx="13">
                  <c:v>226496.93268632604</c:v>
                </c:pt>
                <c:pt idx="14">
                  <c:v>243995.32764571742</c:v>
                </c:pt>
                <c:pt idx="15">
                  <c:v>259719.64423912676</c:v>
                </c:pt>
                <c:pt idx="16">
                  <c:v>242888.20539183327</c:v>
                </c:pt>
                <c:pt idx="17">
                  <c:v>257586.78141470841</c:v>
                </c:pt>
                <c:pt idx="18">
                  <c:v>280120.28284882254</c:v>
                </c:pt>
                <c:pt idx="19">
                  <c:v>305414.30807694484</c:v>
                </c:pt>
                <c:pt idx="20">
                  <c:v>324699.81574738066</c:v>
                </c:pt>
                <c:pt idx="21">
                  <c:v>320239.30175106932</c:v>
                </c:pt>
                <c:pt idx="22">
                  <c:v>340983.38397324475</c:v>
                </c:pt>
                <c:pt idx="23">
                  <c:v>375170.81381393143</c:v>
                </c:pt>
                <c:pt idx="24">
                  <c:v>421861.8697963992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54-4ABC-86F1-9CA10BF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2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PR!$O$154:$AV$154</c15:sqref>
                  </c15:fullRef>
                </c:ext>
              </c:extLst>
              <c:f>(PR!$O$154:$AM$154,PR!$AO$154:$AV$154)</c:f>
              <c:numCache>
                <c:formatCode>#,##0</c:formatCode>
                <c:ptCount val="25"/>
                <c:pt idx="0">
                  <c:v>-947995.15484686336</c:v>
                </c:pt>
                <c:pt idx="1">
                  <c:v>-762166.7556908871</c:v>
                </c:pt>
                <c:pt idx="2">
                  <c:v>-583423.72690865421</c:v>
                </c:pt>
                <c:pt idx="3">
                  <c:v>-397458.43928316951</c:v>
                </c:pt>
                <c:pt idx="4">
                  <c:v>-614405.98165582097</c:v>
                </c:pt>
                <c:pt idx="5">
                  <c:v>-434313.26556082774</c:v>
                </c:pt>
                <c:pt idx="6">
                  <c:v>-249286.99983957782</c:v>
                </c:pt>
                <c:pt idx="7">
                  <c:v>-105084.82961971266</c:v>
                </c:pt>
                <c:pt idx="8">
                  <c:v>27059.011846573499</c:v>
                </c:pt>
                <c:pt idx="9">
                  <c:v>213434.96488058369</c:v>
                </c:pt>
                <c:pt idx="10">
                  <c:v>-6379.4255726861884</c:v>
                </c:pt>
                <c:pt idx="11">
                  <c:v>180133.41593083256</c:v>
                </c:pt>
                <c:pt idx="12">
                  <c:v>183940.42808841652</c:v>
                </c:pt>
                <c:pt idx="13">
                  <c:v>370590.15806144377</c:v>
                </c:pt>
                <c:pt idx="14">
                  <c:v>556163.97766072769</c:v>
                </c:pt>
                <c:pt idx="15">
                  <c:v>301847.94555894093</c:v>
                </c:pt>
                <c:pt idx="16">
                  <c:v>479231.59403072821</c:v>
                </c:pt>
                <c:pt idx="17">
                  <c:v>615414.17090145475</c:v>
                </c:pt>
                <c:pt idx="18">
                  <c:v>801261.76743975573</c:v>
                </c:pt>
                <c:pt idx="19">
                  <c:v>988322.16282130848</c:v>
                </c:pt>
                <c:pt idx="20">
                  <c:v>766499.48511857598</c:v>
                </c:pt>
                <c:pt idx="21">
                  <c:v>953696.76896963723</c:v>
                </c:pt>
                <c:pt idx="22">
                  <c:v>1097781.2481023187</c:v>
                </c:pt>
                <c:pt idx="23">
                  <c:v>1285115.4204228884</c:v>
                </c:pt>
                <c:pt idx="24">
                  <c:v>1482966.0021977823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B35-44E2-8552-418FD3D0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18000000"/>
          <c:min val="-12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PR!$O$150:$AV$150</c15:sqref>
                  </c15:fullRef>
                </c:ext>
              </c:extLst>
              <c:f>(PR!$O$150:$AM$150,PR!$AO$150:$AV$150)</c:f>
              <c:numCache>
                <c:formatCode>#,##0</c:formatCode>
                <c:ptCount val="25"/>
                <c:pt idx="0">
                  <c:v>-946074.70236035262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-401836.91962439282</c:v>
                </c:pt>
                <c:pt idx="5">
                  <c:v>0</c:v>
                </c:pt>
                <c:pt idx="6">
                  <c:v>0</c:v>
                </c:pt>
                <c:pt idx="7">
                  <c:v>-36027.434344636582</c:v>
                </c:pt>
                <c:pt idx="8">
                  <c:v>-53019.312724472242</c:v>
                </c:pt>
                <c:pt idx="9">
                  <c:v>0</c:v>
                </c:pt>
                <c:pt idx="10">
                  <c:v>-399104.97311353683</c:v>
                </c:pt>
                <c:pt idx="11">
                  <c:v>0</c:v>
                </c:pt>
                <c:pt idx="12">
                  <c:v>-175620.45897219155</c:v>
                </c:pt>
                <c:pt idx="13">
                  <c:v>0</c:v>
                </c:pt>
                <c:pt idx="14">
                  <c:v>0</c:v>
                </c:pt>
                <c:pt idx="15">
                  <c:v>-435093.19054432254</c:v>
                </c:pt>
                <c:pt idx="16">
                  <c:v>-8327.0595970052218</c:v>
                </c:pt>
                <c:pt idx="17">
                  <c:v>-44731.4700413178</c:v>
                </c:pt>
                <c:pt idx="18">
                  <c:v>0</c:v>
                </c:pt>
                <c:pt idx="19">
                  <c:v>0</c:v>
                </c:pt>
                <c:pt idx="20">
                  <c:v>-401797.70271054201</c:v>
                </c:pt>
                <c:pt idx="21">
                  <c:v>0</c:v>
                </c:pt>
                <c:pt idx="22">
                  <c:v>-36027.434344636582</c:v>
                </c:pt>
                <c:pt idx="23">
                  <c:v>0</c:v>
                </c:pt>
                <c:pt idx="24">
                  <c:v>-2692.7295970052223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905-421D-BDDC-D70218636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PR!$O$138:$AV$138</c15:sqref>
                  </c15:fullRef>
                </c:ext>
              </c:extLst>
              <c:f>(PR!$O$138:$AM$138,PR!$AO$138:$AV$138)</c:f>
              <c:numCache>
                <c:formatCode>#,##0</c:formatCode>
                <c:ptCount val="25"/>
                <c:pt idx="0">
                  <c:v>-1920.4524865107305</c:v>
                </c:pt>
                <c:pt idx="1">
                  <c:v>642123.29751766415</c:v>
                </c:pt>
                <c:pt idx="2">
                  <c:v>152993.19752556266</c:v>
                </c:pt>
                <c:pt idx="3">
                  <c:v>172422.6106922644</c:v>
                </c:pt>
                <c:pt idx="4">
                  <c:v>184766.28000053414</c:v>
                </c:pt>
                <c:pt idx="5">
                  <c:v>154811.24496072467</c:v>
                </c:pt>
                <c:pt idx="6">
                  <c:v>171998.46685181995</c:v>
                </c:pt>
                <c:pt idx="7">
                  <c:v>180672.52352153411</c:v>
                </c:pt>
                <c:pt idx="8">
                  <c:v>196836.43794946861</c:v>
                </c:pt>
                <c:pt idx="9">
                  <c:v>208707.36297262169</c:v>
                </c:pt>
                <c:pt idx="10">
                  <c:v>218604.61830179335</c:v>
                </c:pt>
                <c:pt idx="11">
                  <c:v>204856.77350593056</c:v>
                </c:pt>
                <c:pt idx="12">
                  <c:v>214357.98900153744</c:v>
                </c:pt>
                <c:pt idx="13">
                  <c:v>222371.44885118364</c:v>
                </c:pt>
                <c:pt idx="14">
                  <c:v>239608.10150130076</c:v>
                </c:pt>
                <c:pt idx="15">
                  <c:v>254942.82331629883</c:v>
                </c:pt>
                <c:pt idx="16">
                  <c:v>238793.38235881407</c:v>
                </c:pt>
                <c:pt idx="17">
                  <c:v>253206.53874424699</c:v>
                </c:pt>
                <c:pt idx="18">
                  <c:v>275642.1237455777</c:v>
                </c:pt>
                <c:pt idx="19">
                  <c:v>300538.04473644943</c:v>
                </c:pt>
                <c:pt idx="20">
                  <c:v>319488.02513797302</c:v>
                </c:pt>
                <c:pt idx="21">
                  <c:v>315424.58578732697</c:v>
                </c:pt>
                <c:pt idx="22">
                  <c:v>335839.51472196559</c:v>
                </c:pt>
                <c:pt idx="23">
                  <c:v>369715.15028378746</c:v>
                </c:pt>
                <c:pt idx="24">
                  <c:v>415803.17961849429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A79-4BBC-AD97-753618BE4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2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SM!$O$154:$AV$154</c15:sqref>
                  </c15:fullRef>
                </c:ext>
              </c:extLst>
              <c:f>(SM!$O$154:$AM$154,SM!$AO$154:$AV$154)</c:f>
              <c:numCache>
                <c:formatCode>#,##0</c:formatCode>
                <c:ptCount val="25"/>
                <c:pt idx="0">
                  <c:v>-3359681.9864104614</c:v>
                </c:pt>
                <c:pt idx="1">
                  <c:v>-2710634.9649449498</c:v>
                </c:pt>
                <c:pt idx="2">
                  <c:v>-2077165.7128675678</c:v>
                </c:pt>
                <c:pt idx="3">
                  <c:v>-1427621.0597406244</c:v>
                </c:pt>
                <c:pt idx="4">
                  <c:v>-2168090.9956246051</c:v>
                </c:pt>
                <c:pt idx="5">
                  <c:v>-1529618.9708362301</c:v>
                </c:pt>
                <c:pt idx="6">
                  <c:v>-883584.19543598476</c:v>
                </c:pt>
                <c:pt idx="7">
                  <c:v>-378615.37774078874</c:v>
                </c:pt>
                <c:pt idx="8">
                  <c:v>60457.269195817527</c:v>
                </c:pt>
                <c:pt idx="9">
                  <c:v>711494.81730705558</c:v>
                </c:pt>
                <c:pt idx="10">
                  <c:v>-28891.25144977204</c:v>
                </c:pt>
                <c:pt idx="11">
                  <c:v>622643.92832289764</c:v>
                </c:pt>
                <c:pt idx="12">
                  <c:v>686751.16691578866</c:v>
                </c:pt>
                <c:pt idx="13">
                  <c:v>1338783.9783498899</c:v>
                </c:pt>
                <c:pt idx="14">
                  <c:v>1986809.2803958617</c:v>
                </c:pt>
                <c:pt idx="15">
                  <c:v>1118068.6410810412</c:v>
                </c:pt>
                <c:pt idx="16">
                  <c:v>1725360.6764697793</c:v>
                </c:pt>
                <c:pt idx="17">
                  <c:v>2200443.7655961453</c:v>
                </c:pt>
                <c:pt idx="18">
                  <c:v>2849464.3309649802</c:v>
                </c:pt>
                <c:pt idx="19">
                  <c:v>3502990.0373833762</c:v>
                </c:pt>
                <c:pt idx="20">
                  <c:v>2755076.7586150412</c:v>
                </c:pt>
                <c:pt idx="21">
                  <c:v>3409100.096694869</c:v>
                </c:pt>
                <c:pt idx="22">
                  <c:v>3913544.8266319567</c:v>
                </c:pt>
                <c:pt idx="23">
                  <c:v>4568065.7963732164</c:v>
                </c:pt>
                <c:pt idx="24">
                  <c:v>5260134.1489478759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F82-450F-804F-86B0AAB2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18000000"/>
          <c:min val="-12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SM!$O$150:$AV$150</c15:sqref>
                  </c15:fullRef>
                </c:ext>
              </c:extLst>
              <c:f>(SM!$O$150:$AM$150,SM!$AO$150:$AV$150)</c:f>
              <c:numCache>
                <c:formatCode>#,##0</c:formatCode>
                <c:ptCount val="25"/>
                <c:pt idx="0">
                  <c:v>-3354594.1324510635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-1386007.0796227944</c:v>
                </c:pt>
                <c:pt idx="5">
                  <c:v>0</c:v>
                </c:pt>
                <c:pt idx="6">
                  <c:v>0</c:v>
                </c:pt>
                <c:pt idx="7">
                  <c:v>-134000.83875461042</c:v>
                </c:pt>
                <c:pt idx="8">
                  <c:v>-207459.76012507069</c:v>
                </c:pt>
                <c:pt idx="9">
                  <c:v>0</c:v>
                </c:pt>
                <c:pt idx="10">
                  <c:v>-1375845.8474799362</c:v>
                </c:pt>
                <c:pt idx="11">
                  <c:v>0</c:v>
                </c:pt>
                <c:pt idx="12">
                  <c:v>-571850.17179164919</c:v>
                </c:pt>
                <c:pt idx="13">
                  <c:v>0</c:v>
                </c:pt>
                <c:pt idx="14">
                  <c:v>0</c:v>
                </c:pt>
                <c:pt idx="15">
                  <c:v>-1509700.8224103535</c:v>
                </c:pt>
                <c:pt idx="16">
                  <c:v>-41230.898318665204</c:v>
                </c:pt>
                <c:pt idx="17">
                  <c:v>-166374.72563059852</c:v>
                </c:pt>
                <c:pt idx="18">
                  <c:v>0</c:v>
                </c:pt>
                <c:pt idx="19">
                  <c:v>0</c:v>
                </c:pt>
                <c:pt idx="20">
                  <c:v>-1385861.2157986015</c:v>
                </c:pt>
                <c:pt idx="21">
                  <c:v>0</c:v>
                </c:pt>
                <c:pt idx="22">
                  <c:v>-134000.83875461042</c:v>
                </c:pt>
                <c:pt idx="23">
                  <c:v>0</c:v>
                </c:pt>
                <c:pt idx="24">
                  <c:v>-10015.368318665205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FAF-43B7-AC4B-939594527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SM!$O$138:$AV$138</c15:sqref>
                  </c15:fullRef>
                </c:ext>
              </c:extLst>
              <c:f>(SM!$O$138:$AM$138,SM!$AO$138:$AV$138)</c:f>
              <c:numCache>
                <c:formatCode>#,##0</c:formatCode>
                <c:ptCount val="25"/>
                <c:pt idx="0">
                  <c:v>-5087.8539593976529</c:v>
                </c:pt>
                <c:pt idx="1">
                  <c:v>2307819.2262375122</c:v>
                </c:pt>
                <c:pt idx="2">
                  <c:v>548540.93136842572</c:v>
                </c:pt>
                <c:pt idx="3">
                  <c:v>609855.21860763105</c:v>
                </c:pt>
                <c:pt idx="4">
                  <c:v>655579.76157680119</c:v>
                </c:pt>
                <c:pt idx="5">
                  <c:v>565526.6780048518</c:v>
                </c:pt>
                <c:pt idx="6">
                  <c:v>619518.4743696223</c:v>
                </c:pt>
                <c:pt idx="7">
                  <c:v>663493.77503966587</c:v>
                </c:pt>
                <c:pt idx="8">
                  <c:v>713857.24310637824</c:v>
                </c:pt>
                <c:pt idx="9">
                  <c:v>758118.10169594572</c:v>
                </c:pt>
                <c:pt idx="10">
                  <c:v>806849.70962868049</c:v>
                </c:pt>
                <c:pt idx="11">
                  <c:v>756971.52638105815</c:v>
                </c:pt>
                <c:pt idx="12">
                  <c:v>805539.83022342122</c:v>
                </c:pt>
                <c:pt idx="13">
                  <c:v>835335.68462256063</c:v>
                </c:pt>
                <c:pt idx="14">
                  <c:v>903208.02071908023</c:v>
                </c:pt>
                <c:pt idx="15">
                  <c:v>975161.91704880656</c:v>
                </c:pt>
                <c:pt idx="16">
                  <c:v>919647.10113001848</c:v>
                </c:pt>
                <c:pt idx="17">
                  <c:v>989089.22697259323</c:v>
                </c:pt>
                <c:pt idx="18">
                  <c:v>1068328.5940068257</c:v>
                </c:pt>
                <c:pt idx="19">
                  <c:v>1168153.8212094898</c:v>
                </c:pt>
                <c:pt idx="20">
                  <c:v>1257363.4131944077</c:v>
                </c:pt>
                <c:pt idx="21">
                  <c:v>1250988.787922659</c:v>
                </c:pt>
                <c:pt idx="22">
                  <c:v>1348376.1968113463</c:v>
                </c:pt>
                <c:pt idx="23">
                  <c:v>1475327.4957434887</c:v>
                </c:pt>
                <c:pt idx="24">
                  <c:v>1658087.5187326497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D88-4A3C-971C-1CEC058BC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2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Consolidado!$O$150:$AV$150</c15:sqref>
                  </c15:fullRef>
                </c:ext>
              </c:extLst>
              <c:f>(Consolidado!$O$150:$AM$150,Consolidado!$AO$150:$AV$150)</c:f>
              <c:numCache>
                <c:formatCode>#,##0</c:formatCode>
                <c:ptCount val="25"/>
                <c:pt idx="0">
                  <c:v>-17376473.474600445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-7345588.818</c:v>
                </c:pt>
                <c:pt idx="5">
                  <c:v>0</c:v>
                </c:pt>
                <c:pt idx="6">
                  <c:v>0</c:v>
                </c:pt>
                <c:pt idx="7">
                  <c:v>-668976.08999999985</c:v>
                </c:pt>
                <c:pt idx="8">
                  <c:v>-977241.82999999984</c:v>
                </c:pt>
                <c:pt idx="9">
                  <c:v>0</c:v>
                </c:pt>
                <c:pt idx="10">
                  <c:v>-7294860.6179999989</c:v>
                </c:pt>
                <c:pt idx="11">
                  <c:v>0</c:v>
                </c:pt>
                <c:pt idx="12">
                  <c:v>-3045709.8157213107</c:v>
                </c:pt>
                <c:pt idx="13">
                  <c:v>0</c:v>
                </c:pt>
                <c:pt idx="14">
                  <c:v>0</c:v>
                </c:pt>
                <c:pt idx="15">
                  <c:v>-7963108.5079999985</c:v>
                </c:pt>
                <c:pt idx="16">
                  <c:v>-147372.89000000001</c:v>
                </c:pt>
                <c:pt idx="17">
                  <c:v>-830597.13999999978</c:v>
                </c:pt>
                <c:pt idx="18">
                  <c:v>0</c:v>
                </c:pt>
                <c:pt idx="19">
                  <c:v>0</c:v>
                </c:pt>
                <c:pt idx="20">
                  <c:v>-7344860.6179999998</c:v>
                </c:pt>
                <c:pt idx="21">
                  <c:v>0</c:v>
                </c:pt>
                <c:pt idx="22">
                  <c:v>-668976.08999999985</c:v>
                </c:pt>
                <c:pt idx="23">
                  <c:v>0</c:v>
                </c:pt>
                <c:pt idx="24">
                  <c:v>-50000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7CC-4B27-8C3B-42085B4A5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Consolidado!$O$138:$AV$138</c15:sqref>
                  </c15:fullRef>
                </c:ext>
              </c:extLst>
              <c:f>(Consolidado!$O$138:$AM$138,Consolidado!$AO$138:$AV$138)</c:f>
              <c:numCache>
                <c:formatCode>#,##0</c:formatCode>
                <c:ptCount val="25"/>
                <c:pt idx="0">
                  <c:v>-10817.764207774429</c:v>
                </c:pt>
                <c:pt idx="1">
                  <c:v>11918065.900967978</c:v>
                </c:pt>
                <c:pt idx="2">
                  <c:v>2840284.219191079</c:v>
                </c:pt>
                <c:pt idx="3">
                  <c:v>3169058.4199342518</c:v>
                </c:pt>
                <c:pt idx="4">
                  <c:v>3403378.1420192667</c:v>
                </c:pt>
                <c:pt idx="5">
                  <c:v>2900950.7243995043</c:v>
                </c:pt>
                <c:pt idx="6">
                  <c:v>3190760.6299799895</c:v>
                </c:pt>
                <c:pt idx="7">
                  <c:v>3396532.0016313107</c:v>
                </c:pt>
                <c:pt idx="8">
                  <c:v>3668865.9547229698</c:v>
                </c:pt>
                <c:pt idx="9">
                  <c:v>3899739.3210309213</c:v>
                </c:pt>
                <c:pt idx="10">
                  <c:v>4130937.3369271904</c:v>
                </c:pt>
                <c:pt idx="11">
                  <c:v>3862351.4353954098</c:v>
                </c:pt>
                <c:pt idx="12">
                  <c:v>4089581.8270361661</c:v>
                </c:pt>
                <c:pt idx="13">
                  <c:v>4238663.6472437466</c:v>
                </c:pt>
                <c:pt idx="14">
                  <c:v>4577946.3740231134</c:v>
                </c:pt>
                <c:pt idx="15">
                  <c:v>4920477.3544360213</c:v>
                </c:pt>
                <c:pt idx="16">
                  <c:v>4618694.321738448</c:v>
                </c:pt>
                <c:pt idx="17">
                  <c:v>4950380.9922237014</c:v>
                </c:pt>
                <c:pt idx="18">
                  <c:v>5359721.1230923366</c:v>
                </c:pt>
                <c:pt idx="19">
                  <c:v>5854321.1098674294</c:v>
                </c:pt>
                <c:pt idx="20">
                  <c:v>6278378.7848706283</c:v>
                </c:pt>
                <c:pt idx="21">
                  <c:v>6216841.4900766108</c:v>
                </c:pt>
                <c:pt idx="22">
                  <c:v>6676650.7833080003</c:v>
                </c:pt>
                <c:pt idx="23">
                  <c:v>7317470.7418903802</c:v>
                </c:pt>
                <c:pt idx="24">
                  <c:v>8221289.2603187822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C80-478F-B1B8-D11C254A1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4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AR!$O$154:$AV$154</c15:sqref>
                  </c15:fullRef>
                </c:ext>
              </c:extLst>
              <c:f>(AR!$O$154:$AM$154,AR!$AO$154:$AV$154)</c:f>
              <c:numCache>
                <c:formatCode>#,##0</c:formatCode>
                <c:ptCount val="25"/>
                <c:pt idx="0">
                  <c:v>-1240138.7808119848</c:v>
                </c:pt>
                <c:pt idx="1">
                  <c:v>-998144.10149732081</c:v>
                </c:pt>
                <c:pt idx="2">
                  <c:v>-765006.46822250308</c:v>
                </c:pt>
                <c:pt idx="3">
                  <c:v>-522835.09586868394</c:v>
                </c:pt>
                <c:pt idx="4">
                  <c:v>-801807.14813248627</c:v>
                </c:pt>
                <c:pt idx="5">
                  <c:v>-566924.94273951184</c:v>
                </c:pt>
                <c:pt idx="6">
                  <c:v>-325968.06338638382</c:v>
                </c:pt>
                <c:pt idx="7">
                  <c:v>-137488.92419110466</c:v>
                </c:pt>
                <c:pt idx="8">
                  <c:v>36106.889538996533</c:v>
                </c:pt>
                <c:pt idx="9">
                  <c:v>278808.34101028123</c:v>
                </c:pt>
                <c:pt idx="10">
                  <c:v>-3567.3668809977244</c:v>
                </c:pt>
                <c:pt idx="11">
                  <c:v>239310.77762944211</c:v>
                </c:pt>
                <c:pt idx="12">
                  <c:v>238207.18340823404</c:v>
                </c:pt>
                <c:pt idx="13">
                  <c:v>481262.02095782902</c:v>
                </c:pt>
                <c:pt idx="14">
                  <c:v>722925.67246757774</c:v>
                </c:pt>
                <c:pt idx="15">
                  <c:v>395942.17392425681</c:v>
                </c:pt>
                <c:pt idx="16">
                  <c:v>628027.23664559959</c:v>
                </c:pt>
                <c:pt idx="17">
                  <c:v>806136.42001138744</c:v>
                </c:pt>
                <c:pt idx="18">
                  <c:v>1048153.4575994464</c:v>
                </c:pt>
                <c:pt idx="19">
                  <c:v>1291738.3742665069</c:v>
                </c:pt>
                <c:pt idx="20">
                  <c:v>1006764.7097434426</c:v>
                </c:pt>
                <c:pt idx="21">
                  <c:v>1250526.3194496583</c:v>
                </c:pt>
                <c:pt idx="22">
                  <c:v>1438851.1238791773</c:v>
                </c:pt>
                <c:pt idx="23">
                  <c:v>1682789.4266245482</c:v>
                </c:pt>
                <c:pt idx="24">
                  <c:v>1940112.7707081491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B5C-4B2F-9CEE-2CA2E73BB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18000000"/>
          <c:min val="-12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AR!$O$150:$AV$150</c15:sqref>
                  </c15:fullRef>
                </c:ext>
              </c:extLst>
              <c:f>(AR!$O$150:$AM$150,AR!$AO$150:$AV$150)</c:f>
              <c:numCache>
                <c:formatCode>#,##0</c:formatCode>
                <c:ptCount val="25"/>
                <c:pt idx="0">
                  <c:v>-1239084.7956810251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-519752.23857777513</c:v>
                </c:pt>
                <c:pt idx="5">
                  <c:v>0</c:v>
                </c:pt>
                <c:pt idx="6">
                  <c:v>0</c:v>
                </c:pt>
                <c:pt idx="7">
                  <c:v>-46579.759236850354</c:v>
                </c:pt>
                <c:pt idx="8">
                  <c:v>-67537.758662181994</c:v>
                </c:pt>
                <c:pt idx="9">
                  <c:v>0</c:v>
                </c:pt>
                <c:pt idx="10">
                  <c:v>-516220.11332271731</c:v>
                </c:pt>
                <c:pt idx="11">
                  <c:v>0</c:v>
                </c:pt>
                <c:pt idx="12">
                  <c:v>-235124.69269180158</c:v>
                </c:pt>
                <c:pt idx="13">
                  <c:v>0</c:v>
                </c:pt>
                <c:pt idx="14">
                  <c:v>0</c:v>
                </c:pt>
                <c:pt idx="15">
                  <c:v>-562749.16913207108</c:v>
                </c:pt>
                <c:pt idx="16">
                  <c:v>-9755.2818275611589</c:v>
                </c:pt>
                <c:pt idx="17">
                  <c:v>-57833.180262117428</c:v>
                </c:pt>
                <c:pt idx="18">
                  <c:v>0</c:v>
                </c:pt>
                <c:pt idx="19">
                  <c:v>0</c:v>
                </c:pt>
                <c:pt idx="20">
                  <c:v>-519701.53515027848</c:v>
                </c:pt>
                <c:pt idx="21">
                  <c:v>0</c:v>
                </c:pt>
                <c:pt idx="22">
                  <c:v>-46579.759236850354</c:v>
                </c:pt>
                <c:pt idx="23">
                  <c:v>0</c:v>
                </c:pt>
                <c:pt idx="24">
                  <c:v>-3481.4218275611588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840-4873-815D-6C6EE92E0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AR!$O$138:$AV$138</c15:sqref>
                  </c15:fullRef>
                </c:ext>
              </c:extLst>
              <c:f>(AR!$O$138:$AM$138,AR!$AO$138:$AV$138)</c:f>
              <c:numCache>
                <c:formatCode>#,##0</c:formatCode>
                <c:ptCount val="25"/>
                <c:pt idx="0">
                  <c:v>-1053.9851309595851</c:v>
                </c:pt>
                <c:pt idx="1">
                  <c:v>830971.4764985434</c:v>
                </c:pt>
                <c:pt idx="2">
                  <c:v>198128.24089036172</c:v>
                </c:pt>
                <c:pt idx="3">
                  <c:v>222742.74667049618</c:v>
                </c:pt>
                <c:pt idx="4">
                  <c:v>238479.82285398018</c:v>
                </c:pt>
                <c:pt idx="5">
                  <c:v>199789.04650381027</c:v>
                </c:pt>
                <c:pt idx="6">
                  <c:v>221436.16740179952</c:v>
                </c:pt>
                <c:pt idx="7">
                  <c:v>232657.30261458841</c:v>
                </c:pt>
                <c:pt idx="8">
                  <c:v>252925.0355922436</c:v>
                </c:pt>
                <c:pt idx="9">
                  <c:v>268014.07382721512</c:v>
                </c:pt>
                <c:pt idx="10">
                  <c:v>280729.03031734406</c:v>
                </c:pt>
                <c:pt idx="11">
                  <c:v>262205.88429209456</c:v>
                </c:pt>
                <c:pt idx="12">
                  <c:v>274326.41695429391</c:v>
                </c:pt>
                <c:pt idx="13">
                  <c:v>283068.45406724018</c:v>
                </c:pt>
                <c:pt idx="14">
                  <c:v>304709.38629322982</c:v>
                </c:pt>
                <c:pt idx="15">
                  <c:v>324131.09398468619</c:v>
                </c:pt>
                <c:pt idx="16">
                  <c:v>302147.48546294676</c:v>
                </c:pt>
                <c:pt idx="17">
                  <c:v>320328.29037555651</c:v>
                </c:pt>
                <c:pt idx="18">
                  <c:v>348098.13709051081</c:v>
                </c:pt>
                <c:pt idx="19">
                  <c:v>379260.01524923602</c:v>
                </c:pt>
                <c:pt idx="20">
                  <c:v>402936.27043888828</c:v>
                </c:pt>
                <c:pt idx="21">
                  <c:v>396117.3310963171</c:v>
                </c:pt>
                <c:pt idx="22">
                  <c:v>421450.32048896904</c:v>
                </c:pt>
                <c:pt idx="23">
                  <c:v>463443.53667967045</c:v>
                </c:pt>
                <c:pt idx="24">
                  <c:v>521169.38422420359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31-4C46-9A18-8B74ABBC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2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BT!$O$154:$AV$154</c15:sqref>
                  </c15:fullRef>
                </c:ext>
              </c:extLst>
              <c:f>(BT!$O$154:$AM$154,BT!$AO$154:$AV$154)</c:f>
              <c:numCache>
                <c:formatCode>#,##0</c:formatCode>
                <c:ptCount val="25"/>
                <c:pt idx="0">
                  <c:v>-10873821.486506801</c:v>
                </c:pt>
                <c:pt idx="1">
                  <c:v>-8754463.4640975632</c:v>
                </c:pt>
                <c:pt idx="2">
                  <c:v>-6691352.6654264247</c:v>
                </c:pt>
                <c:pt idx="3">
                  <c:v>-4570385.7259165747</c:v>
                </c:pt>
                <c:pt idx="4">
                  <c:v>-7089206.9826551434</c:v>
                </c:pt>
                <c:pt idx="5">
                  <c:v>-5010506.9860446807</c:v>
                </c:pt>
                <c:pt idx="6">
                  <c:v>-2900302.4931723168</c:v>
                </c:pt>
                <c:pt idx="7">
                  <c:v>-1234804.7480511535</c:v>
                </c:pt>
                <c:pt idx="8">
                  <c:v>283454.11723293108</c:v>
                </c:pt>
                <c:pt idx="9">
                  <c:v>2409247.808044618</c:v>
                </c:pt>
                <c:pt idx="10">
                  <c:v>-117167.58577651624</c:v>
                </c:pt>
                <c:pt idx="11">
                  <c:v>2010235.022135783</c:v>
                </c:pt>
                <c:pt idx="12">
                  <c:v>2197508.2202854939</c:v>
                </c:pt>
                <c:pt idx="13">
                  <c:v>4326519.7452984061</c:v>
                </c:pt>
                <c:pt idx="14">
                  <c:v>6443159.9065732192</c:v>
                </c:pt>
                <c:pt idx="15">
                  <c:v>3519582.9932666039</c:v>
                </c:pt>
                <c:pt idx="16">
                  <c:v>5558853.3240909278</c:v>
                </c:pt>
                <c:pt idx="17">
                  <c:v>7132179.4921027813</c:v>
                </c:pt>
                <c:pt idx="18">
                  <c:v>9252037.4875788204</c:v>
                </c:pt>
                <c:pt idx="19">
                  <c:v>11385875.763893571</c:v>
                </c:pt>
                <c:pt idx="20">
                  <c:v>8836501.5180243962</c:v>
                </c:pt>
                <c:pt idx="21">
                  <c:v>10971948.711439759</c:v>
                </c:pt>
                <c:pt idx="22">
                  <c:v>12636337.51252711</c:v>
                </c:pt>
                <c:pt idx="23">
                  <c:v>14773393.623043085</c:v>
                </c:pt>
                <c:pt idx="24">
                  <c:v>17028483.530101821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08D-45F2-AC7C-79B7C7B0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 val="autoZero"/>
        <c:auto val="1"/>
        <c:lblAlgn val="ctr"/>
        <c:lblOffset val="100"/>
        <c:noMultiLvlLbl val="1"/>
      </c:catAx>
      <c:valAx>
        <c:axId val="243797504"/>
        <c:scaling>
          <c:orientation val="minMax"/>
          <c:max val="18000000"/>
          <c:min val="-1200000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599A6"/>
            </a:solidFill>
            <a:ln cmpd="sng">
              <a:solidFill>
                <a:srgbClr val="000000"/>
              </a:solidFill>
            </a:ln>
          </c:spPr>
          <c:invertIfNegative val="1"/>
          <c:dLbls>
            <c:numFmt formatCode="#,##0,,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1" i="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BT!$O$150:$AV$150</c15:sqref>
                  </c15:fullRef>
                </c:ext>
              </c:extLst>
              <c:f>(BT!$O$150:$AM$150,BT!$AO$150:$AV$150)</c:f>
              <c:numCache>
                <c:formatCode>#,##0</c:formatCode>
                <c:ptCount val="25"/>
                <c:pt idx="0">
                  <c:v>-10872786.299233023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-4627416.8325103205</c:v>
                </c:pt>
                <c:pt idx="5">
                  <c:v>0</c:v>
                </c:pt>
                <c:pt idx="6">
                  <c:v>0</c:v>
                </c:pt>
                <c:pt idx="7">
                  <c:v>-414811.16858991171</c:v>
                </c:pt>
                <c:pt idx="8">
                  <c:v>-593554.54468889139</c:v>
                </c:pt>
                <c:pt idx="9">
                  <c:v>0</c:v>
                </c:pt>
                <c:pt idx="10">
                  <c:v>-4595961.8608947229</c:v>
                </c:pt>
                <c:pt idx="11">
                  <c:v>0</c:v>
                </c:pt>
                <c:pt idx="12">
                  <c:v>-1883882.1860244903</c:v>
                </c:pt>
                <c:pt idx="13">
                  <c:v>0</c:v>
                </c:pt>
                <c:pt idx="14">
                  <c:v>0</c:v>
                </c:pt>
                <c:pt idx="15">
                  <c:v>-5010321.4954201402</c:v>
                </c:pt>
                <c:pt idx="16">
                  <c:v>-78978.747551102293</c:v>
                </c:pt>
                <c:pt idx="17">
                  <c:v>-515027.33120228339</c:v>
                </c:pt>
                <c:pt idx="18">
                  <c:v>0</c:v>
                </c:pt>
                <c:pt idx="19">
                  <c:v>0</c:v>
                </c:pt>
                <c:pt idx="20">
                  <c:v>-4626965.2984458264</c:v>
                </c:pt>
                <c:pt idx="21">
                  <c:v>0</c:v>
                </c:pt>
                <c:pt idx="22">
                  <c:v>-414811.16858991171</c:v>
                </c:pt>
                <c:pt idx="23">
                  <c:v>0</c:v>
                </c:pt>
                <c:pt idx="24">
                  <c:v>-31003.437551102299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21B-4E69-AA73-C4F5628B7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927821"/>
        <c:axId val="878875298"/>
      </c:barChart>
      <c:catAx>
        <c:axId val="16579278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878875298"/>
        <c:crosses val="autoZero"/>
        <c:auto val="1"/>
        <c:lblAlgn val="ctr"/>
        <c:lblOffset val="100"/>
        <c:noMultiLvlLbl val="1"/>
      </c:catAx>
      <c:valAx>
        <c:axId val="87887529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,,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1657927821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365DB3"/>
            </a:solidFill>
            <a:ln cmpd="sng">
              <a:solidFill>
                <a:srgbClr val="000000"/>
              </a:solidFill>
            </a:ln>
          </c:spPr>
          <c:invertIfNegative val="1"/>
          <c:cat>
            <c:strLit>
              <c:ptCount val="2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BT!$O$138:$AV$138</c15:sqref>
                  </c15:fullRef>
                </c:ext>
              </c:extLst>
              <c:f>(BT!$O$138:$AM$138,BT!$AO$138:$AV$138)</c:f>
              <c:numCache>
                <c:formatCode>#,##0</c:formatCode>
                <c:ptCount val="25"/>
                <c:pt idx="0">
                  <c:v>-1035.1872737789236</c:v>
                </c:pt>
                <c:pt idx="1">
                  <c:v>7482415.024450643</c:v>
                </c:pt>
                <c:pt idx="2">
                  <c:v>1784212.6175537992</c:v>
                </c:pt>
                <c:pt idx="3">
                  <c:v>1987904.4975465734</c:v>
                </c:pt>
                <c:pt idx="4">
                  <c:v>2135853.4074945152</c:v>
                </c:pt>
                <c:pt idx="5">
                  <c:v>1822602.1228711877</c:v>
                </c:pt>
                <c:pt idx="6">
                  <c:v>2002206.9049714759</c:v>
                </c:pt>
                <c:pt idx="7">
                  <c:v>2135121.0629591029</c:v>
                </c:pt>
                <c:pt idx="8">
                  <c:v>2304406.2914292421</c:v>
                </c:pt>
                <c:pt idx="9">
                  <c:v>2452098.8584738718</c:v>
                </c:pt>
                <c:pt idx="10">
                  <c:v>2601796.7054920448</c:v>
                </c:pt>
                <c:pt idx="11">
                  <c:v>2429577.5687035536</c:v>
                </c:pt>
                <c:pt idx="12">
                  <c:v>2576878.7822441356</c:v>
                </c:pt>
                <c:pt idx="13">
                  <c:v>2671391.1270164363</c:v>
                </c:pt>
                <c:pt idx="14">
                  <c:v>2886425.5378637854</c:v>
                </c:pt>
                <c:pt idx="15">
                  <c:v>3106521.8758471031</c:v>
                </c:pt>
                <c:pt idx="16">
                  <c:v>2915218.1473948359</c:v>
                </c:pt>
                <c:pt idx="17">
                  <c:v>3130170.154716596</c:v>
                </c:pt>
                <c:pt idx="18">
                  <c:v>3387531.9854005994</c:v>
                </c:pt>
                <c:pt idx="19">
                  <c:v>3700954.9205953097</c:v>
                </c:pt>
                <c:pt idx="20">
                  <c:v>3973891.2603519792</c:v>
                </c:pt>
                <c:pt idx="21">
                  <c:v>3934071.4835192384</c:v>
                </c:pt>
                <c:pt idx="22">
                  <c:v>4230001.3673124751</c:v>
                </c:pt>
                <c:pt idx="23">
                  <c:v>4633813.7453695023</c:v>
                </c:pt>
                <c:pt idx="24">
                  <c:v>5204367.3079470349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094-4DDC-A8A6-59DF8330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994946"/>
        <c:axId val="243797504"/>
      </c:barChart>
      <c:catAx>
        <c:axId val="203299494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43797504"/>
        <c:crossesAt val="0"/>
        <c:auto val="1"/>
        <c:lblAlgn val="ctr"/>
        <c:lblOffset val="100"/>
        <c:noMultiLvlLbl val="1"/>
      </c:catAx>
      <c:valAx>
        <c:axId val="243797504"/>
        <c:scaling>
          <c:orientation val="minMax"/>
          <c:max val="2000000"/>
          <c:min val="0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032994946"/>
        <c:crosses val="autoZero"/>
        <c:crossBetween val="between"/>
        <c:minorUnit val="500000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209551</xdr:colOff>
      <xdr:row>0</xdr:row>
      <xdr:rowOff>152399</xdr:rowOff>
    </xdr:from>
    <xdr:to>
      <xdr:col>2</xdr:col>
      <xdr:colOff>74930</xdr:colOff>
      <xdr:row>6</xdr:row>
      <xdr:rowOff>76199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6AA3FA1-7A1F-44AD-A01C-15A5F1A4E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152399"/>
          <a:ext cx="2427604" cy="7334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171449</xdr:colOff>
      <xdr:row>1</xdr:row>
      <xdr:rowOff>19049</xdr:rowOff>
    </xdr:from>
    <xdr:to>
      <xdr:col>5</xdr:col>
      <xdr:colOff>782531</xdr:colOff>
      <xdr:row>6</xdr:row>
      <xdr:rowOff>78105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C2AED3-3367-414C-8EFE-FF860156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399" y="171449"/>
          <a:ext cx="2520316" cy="73342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62D6EB-DD89-4907-852F-6E7E7AC53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0E5148-6CE0-43C7-92B1-5923EC2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BC45B472-E04F-4E82-A563-253FCB986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D2BFC2-4315-4602-835E-51DE696A2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71F0A5-9CC0-4688-AFDE-60C8CFC15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EFD1F310-C642-4329-852A-C28FB3832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F574FD-FF56-4B5F-A1D1-0BE35FEED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475F6F-B965-49E3-9258-721DB9C6A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1AEDD86-B8E8-4E43-85A7-811B5AF74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83A6B9-BC26-4F0E-A83F-3CC69490E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94E31-B076-420B-8986-0EF8362D6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A59947C1-8942-4104-8B1A-FD76E133D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CC34C4-2190-47A3-8B7B-5F3EA7D63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FCE1ED-8C1F-4D44-8B3F-A05EC8362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547A16B7-3628-43BD-8D03-471CFDEF8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95251</xdr:colOff>
      <xdr:row>182</xdr:row>
      <xdr:rowOff>47625</xdr:rowOff>
    </xdr:from>
    <xdr:ext cx="8401049" cy="19716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31BCA4-0CBB-42F6-8798-1BD13652C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</xdr:colOff>
      <xdr:row>174</xdr:row>
      <xdr:rowOff>0</xdr:rowOff>
    </xdr:from>
    <xdr:ext cx="8362949" cy="131445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DB4E72-A404-438E-B497-7D4DE08B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85724</xdr:colOff>
      <xdr:row>193</xdr:row>
      <xdr:rowOff>47624</xdr:rowOff>
    </xdr:from>
    <xdr:ext cx="8429626" cy="1485901"/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322E558A-4BEE-48A1-B3EA-1431473DE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003.mail.caramail.lycos.fr/TEMP/Emdiscountrat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lter\Acompanhamento%20Concess&#245;es%20IP\Fortaleza\Edital%20PPP\Modelagem\corp\depto\ANALISE\EMPRESAS\TEL_SERV\Tele%20Centro%20Sul%20Participa&#231;&#245;es\Brazil%20Telecom%202001\BRP_1Q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darppp.sharepoint.com/Users/bruno/AppData/Local/Microsoft/Windows/INetCache/Content.Outlook/IR47P8I4/TECHNICAL%20&amp;%20OP%20LABOUR%20MODEL%20FOR%20CAUCEDO_extrac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lter\Acompanhamento%20Concess&#245;es%20IP\Fortaleza\Edital%20PPP\Modelagem\Users\WILDSA~1\AppData\Local\Temp\$$_D0E9\anexos\anexos%20A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lter\Acompanhamento%20Concess&#245;es%20IP\Fortaleza\Edital%20PPP\Modelagem\Documents%20and%20Settings\tiagoalmeida\Desktop\Salvador\Pros%20-%20Salvador\SSA_V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lter\Acompanhamento%20Concess&#245;es%20IP\Fortaleza\Edital%20PPP\Modelagem\Valoraserver\projetos\TELECOM\MODELS\PUBLISHED_MODELS\COL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ix6404\My%20Documents\Projetos\PPA%20com%20CPFL\20010822%20GEs%20Plant%20710%20MW%20new%20FX%20assumptions%20adjusted%20phasing%20v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darppp.sharepoint.com/Users/bruno/AppData/Local/Microsoft/Windows/INetCache/Content.Outlook/IR47P8I4/DCF%2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_emansi\El_Paso\Pro%20Forma%20Genco%20-%203rd%20draft_02101_def_sens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lter\Acompanhamento%20Concess&#245;es%20IP\Fortaleza\Edital%20PPP\Modelagem\pedro\D\Documents%20and%20Settings\Tesouraria\Meus%20documentos\cynthia\levantamentos%20versailles-R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darppp.sharepoint.com/Users/bruno/AppData/Local/Microsoft/Windows/INetCache/Content.Outlook/IR47P8I4/Namisa_Valuation_Model_v52_n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426;&#26800;&#21333;&#32791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%20October_en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%20%20-%20%20Trabalhos%20Atuais%20UFPB\AULAS\Tecnologia%20II%20%2005.2\Equipe%20BrunaJulianaThais\Terceiro\Planilhas%20-%20predi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adarppp.sharepoint.com/Users/bruno/AppData/Local/Microsoft/Windows/INetCache/Content.Outlook/IR47P8I4/SMG_Feedback_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_R$"/>
      <sheetName val="Report_US$"/>
      <sheetName val="GRAPHS"/>
      <sheetName val="Prem-IS"/>
      <sheetName val="Prem-BS"/>
      <sheetName val="Anual_R$"/>
      <sheetName val="Anual_US$"/>
      <sheetName val="multiples"/>
      <sheetName val="WACC"/>
      <sheetName val="dados"/>
      <sheetName val="Celular"/>
      <sheetName val="tabela1"/>
      <sheetName val="tabela2"/>
      <sheetName val="tabela3"/>
      <sheetName val="tabela4"/>
      <sheetName val="market"/>
      <sheetName val="results"/>
      <sheetName val="CPU"/>
      <sheetName val="GerRel"/>
      <sheetName val="Composições"/>
      <sheetName val="Insumos"/>
      <sheetName val="Serviços"/>
      <sheetName val="Configuration"/>
      <sheetName val="Funding"/>
      <sheetName val="Macroeconomics"/>
      <sheetName val="BUDGET"/>
      <sheetName val="DO NOT USE PRINT! Macro Data"/>
      <sheetName val="Sheet1"/>
      <sheetName val="Control"/>
      <sheetName val="Profit &amp; Loss"/>
      <sheetName val="Project Enigma Valuation V01  "/>
      <sheetName val="gráf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2">
          <cell r="E12" t="str">
            <v>a=blpH(E10,"EQY_WEIGHTED_AVG_PX,PX_LAST,PX_VOLUME","1/1/1998"," ",0,TRUE,"D","C","C",TRUE,1296,4)</v>
          </cell>
          <cell r="AI12" t="str">
            <v>a=blpH(AI10,"EQY_WEIGHTED_AVG_PX,PX_LAST,PX_VOLUME","1/1/1998"," ",0,TRUE,"D","C","C",TRUE,1296,4)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ormance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"/>
      <sheetName val="G2 Edital"/>
      <sheetName val="G2 Anexo"/>
      <sheetName val="G2 Ativ"/>
      <sheetName val="G3A Edital"/>
      <sheetName val="G3A Anexo"/>
      <sheetName val="G3A Ativ"/>
      <sheetName val="G3B Edital"/>
      <sheetName val="G3B Anexo"/>
      <sheetName val="G3B Ativ"/>
    </sheetNames>
    <sheetDataSet>
      <sheetData sheetId="0">
        <row r="2">
          <cell r="C2">
            <v>1</v>
          </cell>
        </row>
        <row r="4">
          <cell r="C4">
            <v>0.27</v>
          </cell>
        </row>
        <row r="5">
          <cell r="C5">
            <v>0.997</v>
          </cell>
        </row>
        <row r="6">
          <cell r="C6">
            <v>0.8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 Veículos"/>
      <sheetName val="IPVA por estados"/>
      <sheetName val="Veículos"/>
      <sheetName val="Custo de Veículos sem BDI"/>
      <sheetName val="Premissas MdO"/>
      <sheetName val="Base de cálculo Benefícios"/>
      <sheetName val="Base de cálculo Encargos"/>
      <sheetName val="Custo da mâo de obra sem BDI"/>
      <sheetName val="Ferramentas"/>
      <sheetName val="Estrutura"/>
      <sheetName val="CompAtv01"/>
      <sheetName val="CompAtv02"/>
      <sheetName val="CompAtv03"/>
      <sheetName val="CARN2006"/>
      <sheetName val="Manutenção"/>
      <sheetName val="Ampliação"/>
      <sheetName val="Eventos"/>
      <sheetName val="B_CALC"/>
      <sheetName val="PARETO ATIV"/>
      <sheetName val="Capa"/>
      <sheetName val="Introdu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931">
          <cell r="G931">
            <v>18.05</v>
          </cell>
        </row>
      </sheetData>
      <sheetData sheetId="14"/>
      <sheetData sheetId="15">
        <row r="2">
          <cell r="O2">
            <v>0.91</v>
          </cell>
        </row>
      </sheetData>
      <sheetData sheetId="16">
        <row r="5">
          <cell r="B5" t="str">
            <v xml:space="preserve"> AMPLIAÇÃO DO SISTEMA DE ILUMINAÇÃO PÚBLICA</v>
          </cell>
        </row>
      </sheetData>
      <sheetData sheetId="17">
        <row r="5">
          <cell r="B5" t="str">
            <v>ILUMINAÇÃO DE NATAL, CARNAVAL, FESTAS POPULARES E EVENTOS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INTERIM"/>
      <sheetName val="GBD"/>
      <sheetName val="statistic"/>
      <sheetName val="Forecasts_VDF"/>
      <sheetName val="HIST"/>
      <sheetName val="COLT"/>
      <sheetName val="Composições"/>
      <sheetName val="Insumos"/>
      <sheetName val="Serviç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arks"/>
      <sheetName val="EPC Costs"/>
      <sheetName val="Assume"/>
      <sheetName val="Drawdn"/>
      <sheetName val="Cash"/>
      <sheetName val="Detail"/>
      <sheetName val="EPEnergy"/>
      <sheetName val="Loans in US$"/>
      <sheetName val="Loans in R$"/>
      <sheetName val="Debt"/>
      <sheetName val="Plan1"/>
      <sheetName val="ProjBal"/>
      <sheetName val="USBal"/>
      <sheetName val="Price Curve"/>
      <sheetName val="Sensitiviy"/>
      <sheetName val="Macros"/>
      <sheetName val="Module1"/>
      <sheetName val="Module2"/>
      <sheetName val="Module3"/>
      <sheetName val="TURM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e"/>
      <sheetName val="Detail"/>
      <sheetName val="Cash"/>
      <sheetName val="EPEnergy"/>
      <sheetName val="Debt"/>
      <sheetName val="ProjBal"/>
      <sheetName val="Drawdn"/>
      <sheetName val="USBal"/>
      <sheetName val="Sheet1"/>
      <sheetName val="Information"/>
      <sheetName val="Macros"/>
      <sheetName val="VEÍCULOS &amp; PESSO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EsquadRIA"/>
      <sheetName val="Cobertura"/>
      <sheetName val="Alv SS"/>
      <sheetName val="Alv térreo"/>
      <sheetName val="Alv pilotis"/>
      <sheetName val="Alv 1° pav"/>
      <sheetName val="Alv tipo"/>
      <sheetName val="Alv 12pav"/>
      <sheetName val="Alv 13pav"/>
      <sheetName val="Alv barrilete"/>
      <sheetName val="rev int subsolo"/>
      <sheetName val="rev int térreo"/>
      <sheetName val="rev int pilotis"/>
      <sheetName val="rev int 1° pav"/>
      <sheetName val="rev int TP"/>
      <sheetName val="rev int 12°pav"/>
      <sheetName val="rev int 13°pav"/>
      <sheetName val="rev int COBERTURA"/>
      <sheetName val="Diversos"/>
      <sheetName val="banca"/>
      <sheetName val="Rev Externo"/>
      <sheetName val="Rev Extern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1">
          <cell r="C1" t="str">
            <v xml:space="preserve">REVESTIMENTO                 INTERNO </v>
          </cell>
          <cell r="G1" t="str">
            <v xml:space="preserve">  OBRA:  </v>
          </cell>
          <cell r="J1" t="str">
            <v>FOLHA:</v>
          </cell>
          <cell r="K1" t="str">
            <v xml:space="preserve">REVESTIMENTO                 INTERNO </v>
          </cell>
          <cell r="Q1" t="str">
            <v xml:space="preserve">  OBRA:  </v>
          </cell>
          <cell r="T1" t="str">
            <v>FOLHA:</v>
          </cell>
          <cell r="U1" t="str">
            <v xml:space="preserve">REVESTIMENTO INTERNO </v>
          </cell>
          <cell r="AD1" t="str">
            <v xml:space="preserve">  OBRA:  </v>
          </cell>
          <cell r="AG1" t="str">
            <v>FOLHA:</v>
          </cell>
        </row>
        <row r="2">
          <cell r="J2" t="str">
            <v>01/03</v>
          </cell>
          <cell r="T2" t="str">
            <v>02/03</v>
          </cell>
          <cell r="AG2" t="str">
            <v>03/03</v>
          </cell>
        </row>
        <row r="3">
          <cell r="G3" t="str">
            <v xml:space="preserve">  DATA:  DEZEMBRO / 07</v>
          </cell>
          <cell r="Q3" t="str">
            <v xml:space="preserve">  DATA:  DEZEMBRO / 07</v>
          </cell>
          <cell r="AD3" t="str">
            <v xml:space="preserve">  DATA:  DEZEMBRO / 07</v>
          </cell>
        </row>
        <row r="4">
          <cell r="B4" t="str">
            <v>TIPO (2° ao 11° Pav)</v>
          </cell>
          <cell r="C4" t="str">
            <v xml:space="preserve">APARTAMENTO </v>
          </cell>
          <cell r="K4" t="str">
            <v xml:space="preserve">APARTAMENTO </v>
          </cell>
          <cell r="U4" t="str">
            <v>ÁREA COMUM</v>
          </cell>
        </row>
        <row r="5">
          <cell r="A5" t="str">
            <v>PEÇA</v>
          </cell>
          <cell r="C5" t="str">
            <v>sala</v>
          </cell>
          <cell r="D5" t="str">
            <v>circulação</v>
          </cell>
          <cell r="E5" t="str">
            <v>semi-suite 1</v>
          </cell>
          <cell r="F5" t="str">
            <v>suite 2</v>
          </cell>
          <cell r="G5" t="str">
            <v>semi-suite 2</v>
          </cell>
          <cell r="H5" t="str">
            <v>suite MASTER</v>
          </cell>
          <cell r="I5" t="str">
            <v>despensa</v>
          </cell>
          <cell r="J5" t="str">
            <v>cozinha</v>
          </cell>
          <cell r="K5" t="str">
            <v>área de serviço</v>
          </cell>
          <cell r="L5" t="str">
            <v>varanda sala</v>
          </cell>
          <cell r="M5" t="str">
            <v>varanda suite</v>
          </cell>
          <cell r="N5" t="str">
            <v>lavabo</v>
          </cell>
          <cell r="O5" t="str">
            <v>banho  1</v>
          </cell>
          <cell r="P5" t="str">
            <v>banho  2</v>
          </cell>
          <cell r="Q5" t="str">
            <v>banho 3</v>
          </cell>
          <cell r="R5" t="str">
            <v>toucador</v>
          </cell>
          <cell r="S5" t="str">
            <v>banho serviço</v>
          </cell>
          <cell r="T5" t="str">
            <v>TOTAL DO  APTO</v>
          </cell>
          <cell r="U5" t="str">
            <v>hall social 1</v>
          </cell>
          <cell r="V5" t="str">
            <v>hall social 2</v>
          </cell>
          <cell r="W5" t="str">
            <v>lixo</v>
          </cell>
          <cell r="X5" t="str">
            <v>instalações</v>
          </cell>
          <cell r="Y5" t="str">
            <v>ante-camara</v>
          </cell>
          <cell r="Z5" t="str">
            <v>escada</v>
          </cell>
          <cell r="AA5" t="str">
            <v>Ar condicionado</v>
          </cell>
          <cell r="AB5" t="str">
            <v>duto ar</v>
          </cell>
          <cell r="AC5" t="str">
            <v>duto ar</v>
          </cell>
          <cell r="AD5" t="str">
            <v>poço elevador 1 e 2</v>
          </cell>
          <cell r="AE5" t="str">
            <v>poço elevador 3</v>
          </cell>
          <cell r="AF5" t="str">
            <v>TOTAL ÁREA COMUM</v>
          </cell>
          <cell r="AG5" t="str">
            <v>TOTAL TIPO</v>
          </cell>
        </row>
        <row r="6">
          <cell r="A6" t="str">
            <v>Nº VEZES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2</v>
          </cell>
          <cell r="AB6">
            <v>1</v>
          </cell>
          <cell r="AC6">
            <v>1</v>
          </cell>
          <cell r="AD6">
            <v>2</v>
          </cell>
          <cell r="AE6">
            <v>1</v>
          </cell>
        </row>
        <row r="7">
          <cell r="A7" t="str">
            <v>P I S O S</v>
          </cell>
          <cell r="B7" t="str">
            <v>Comprimento</v>
          </cell>
        </row>
        <row r="8">
          <cell r="B8" t="str">
            <v>Largura</v>
          </cell>
        </row>
        <row r="9">
          <cell r="B9" t="str">
            <v>Área Bruta</v>
          </cell>
        </row>
        <row r="10">
          <cell r="B10" t="str">
            <v>Acréscimos</v>
          </cell>
        </row>
        <row r="11">
          <cell r="B11" t="str">
            <v>Descontos</v>
          </cell>
        </row>
        <row r="12">
          <cell r="B12" t="str">
            <v>Área Líquida</v>
          </cell>
        </row>
        <row r="13">
          <cell r="B13" t="str">
            <v>Área Total</v>
          </cell>
        </row>
        <row r="14">
          <cell r="B14" t="str">
            <v>Contrapiso</v>
          </cell>
        </row>
        <row r="15">
          <cell r="B15" t="str">
            <v>Pintura à base de resina especial</v>
          </cell>
        </row>
        <row r="16">
          <cell r="B16" t="str">
            <v>Cerâmica</v>
          </cell>
        </row>
        <row r="18">
          <cell r="A18" t="str">
            <v>T E T O S</v>
          </cell>
          <cell r="B18" t="str">
            <v>Área Total</v>
          </cell>
        </row>
        <row r="19">
          <cell r="B19" t="str">
            <v>Massa de gesso</v>
          </cell>
        </row>
        <row r="20">
          <cell r="B20" t="str">
            <v>Forro placa de gesso liso</v>
          </cell>
        </row>
        <row r="21">
          <cell r="B21" t="str">
            <v>Pintura PVA sobre massa  PVA</v>
          </cell>
        </row>
        <row r="22">
          <cell r="B22" t="str">
            <v>Pintura PVA sobre massa  acrílica</v>
          </cell>
        </row>
        <row r="23">
          <cell r="B23" t="str">
            <v>Pintura texturizada à base de cola</v>
          </cell>
        </row>
        <row r="24">
          <cell r="B24" t="str">
            <v xml:space="preserve">Tabica de gesso liso </v>
          </cell>
        </row>
        <row r="26">
          <cell r="A26" t="str">
            <v>P A R E D E S</v>
          </cell>
          <cell r="B26" t="str">
            <v>Perímetro</v>
          </cell>
        </row>
        <row r="27">
          <cell r="B27" t="str">
            <v>Pé Direito</v>
          </cell>
        </row>
        <row r="28">
          <cell r="B28" t="str">
            <v>Área Bruta</v>
          </cell>
        </row>
        <row r="29">
          <cell r="B29" t="str">
            <v>Desconto</v>
          </cell>
        </row>
        <row r="30">
          <cell r="B30" t="str">
            <v>Área Unitária</v>
          </cell>
        </row>
        <row r="31">
          <cell r="B31" t="str">
            <v>Área Total</v>
          </cell>
        </row>
        <row r="32">
          <cell r="B32" t="str">
            <v>Reboco Paulista</v>
          </cell>
        </row>
        <row r="33">
          <cell r="B33" t="str">
            <v>Fundo para ceramica</v>
          </cell>
        </row>
        <row r="34">
          <cell r="B34" t="str">
            <v>Pintura PVA sobre massa</v>
          </cell>
        </row>
        <row r="35">
          <cell r="B35" t="str">
            <v>Pintura texturizada à base de cola</v>
          </cell>
        </row>
        <row r="36">
          <cell r="B36" t="str">
            <v>Pintura acrílica sobre massa</v>
          </cell>
        </row>
        <row r="37">
          <cell r="B37" t="str">
            <v>Pintura textura acrílica</v>
          </cell>
        </row>
        <row r="38">
          <cell r="B38" t="str">
            <v>Caiação</v>
          </cell>
        </row>
        <row r="39">
          <cell r="B39" t="str">
            <v>Cerâmica</v>
          </cell>
        </row>
        <row r="41">
          <cell r="A41" t="str">
            <v>R  O  D  A  P  É</v>
          </cell>
          <cell r="B41" t="str">
            <v>Perímetro Unit.</v>
          </cell>
        </row>
        <row r="42">
          <cell r="B42" t="str">
            <v>Descontos</v>
          </cell>
        </row>
        <row r="43">
          <cell r="B43" t="str">
            <v xml:space="preserve">Perímetro </v>
          </cell>
        </row>
        <row r="44">
          <cell r="B44" t="str">
            <v>Perímetro Total</v>
          </cell>
        </row>
        <row r="45">
          <cell r="B45" t="str">
            <v>Pintura acrílica para cimentado 7cm</v>
          </cell>
        </row>
        <row r="46">
          <cell r="B46" t="str">
            <v>Cerâmica</v>
          </cell>
        </row>
        <row r="48">
          <cell r="A48" t="str">
            <v>soleira / filetes</v>
          </cell>
          <cell r="B48" t="str">
            <v>soleira (metros)</v>
          </cell>
        </row>
        <row r="49">
          <cell r="B49" t="str">
            <v>soleira total</v>
          </cell>
        </row>
        <row r="50">
          <cell r="B50" t="str">
            <v>Granito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Output PPT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耗油图表"/>
      <sheetName val="图表1"/>
      <sheetName val="电耗图表"/>
      <sheetName val="图表2"/>
      <sheetName val="油耗、电力展示"/>
      <sheetName val="2001年各月TEU"/>
      <sheetName val="2001年各月BOX"/>
      <sheetName val="2000年各月"/>
      <sheetName val="九九年各月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">
          <cell r="A37">
            <v>26</v>
          </cell>
        </row>
        <row r="38">
          <cell r="A38">
            <v>27</v>
          </cell>
        </row>
        <row r="39">
          <cell r="A39">
            <v>28</v>
          </cell>
        </row>
        <row r="40">
          <cell r="A40">
            <v>29</v>
          </cell>
        </row>
        <row r="41">
          <cell r="A41">
            <v>30</v>
          </cell>
        </row>
        <row r="42">
          <cell r="A42">
            <v>31</v>
          </cell>
        </row>
        <row r="43">
          <cell r="A43">
            <v>32</v>
          </cell>
        </row>
        <row r="44">
          <cell r="A44">
            <v>33</v>
          </cell>
        </row>
        <row r="45">
          <cell r="A45">
            <v>34</v>
          </cell>
        </row>
        <row r="46">
          <cell r="A46">
            <v>35</v>
          </cell>
        </row>
        <row r="47">
          <cell r="A47">
            <v>36</v>
          </cell>
        </row>
        <row r="48">
          <cell r="A48">
            <v>37</v>
          </cell>
        </row>
        <row r="49">
          <cell r="A49">
            <v>38</v>
          </cell>
        </row>
      </sheetData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Details"/>
      <sheetName val="ARSummary"/>
      <sheetName val="Graph"/>
      <sheetName val="Sales"/>
      <sheetName val="E"/>
      <sheetName val="100152"/>
      <sheetName val="100143"/>
      <sheetName val="100142"/>
      <sheetName val="Sheet3"/>
      <sheetName val="100152 (2)"/>
      <sheetName val="100143 (2)"/>
      <sheetName val="100142 (2)"/>
    </sheetNames>
    <sheetDataSet>
      <sheetData sheetId="0" refreshError="1"/>
      <sheetData sheetId="1"/>
      <sheetData sheetId="2" refreshError="1"/>
      <sheetData sheetId="3" refreshError="1">
        <row r="5">
          <cell r="B5" t="str">
            <v>Richfield marine  c/o Liner Class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de quantitativos"/>
      <sheetName val="INSUMOS"/>
      <sheetName val="CPU"/>
      <sheetName val="ORÇAMENTO obra"/>
      <sheetName val="Cronograma Fisico"/>
      <sheetName val="Cronograma Financeiro"/>
    </sheetNames>
    <sheetDataSet>
      <sheetData sheetId="0" refreshError="1"/>
      <sheetData sheetId="1" refreshError="1">
        <row r="6">
          <cell r="C6">
            <v>1.91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il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ão Rocha" id="{B955416A-EC60-43DE-A519-B52A04D86118}" userId="João Rocha" providerId="Non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FF540F"/>
      </a:accent1>
      <a:accent2>
        <a:srgbClr val="1F3666"/>
      </a:accent2>
      <a:accent3>
        <a:srgbClr val="365DB3"/>
      </a:accent3>
      <a:accent4>
        <a:srgbClr val="0599A6"/>
      </a:accent4>
      <a:accent5>
        <a:srgbClr val="038F73"/>
      </a:accent5>
      <a:accent6>
        <a:srgbClr val="FAC726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30" dT="2026-04-24T22:20:52.72" personId="{B955416A-EC60-43DE-A519-B52A04D86118}" id="{625802B1-2F93-4EBB-849A-20CB2368F1CE}">
    <text>Pegar proporcional rateio com eng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pages.stern.nyu.edu/~adamodar/" TargetMode="External"/><Relationship Id="rId2" Type="http://schemas.openxmlformats.org/officeDocument/2006/relationships/hyperlink" Target="https://fred.stlouisfed.org/series/DGS10" TargetMode="External"/><Relationship Id="rId1" Type="http://schemas.openxmlformats.org/officeDocument/2006/relationships/hyperlink" Target="https://www.bcb.gov.br/publicacoes/focus" TargetMode="External"/><Relationship Id="rId5" Type="http://schemas.openxmlformats.org/officeDocument/2006/relationships/hyperlink" Target="https://pt.tradingeconomics.com/united-states/inflation-expectations-5y" TargetMode="External"/><Relationship Id="rId4" Type="http://schemas.openxmlformats.org/officeDocument/2006/relationships/hyperlink" Target="https://pages.stern.nyu.edu/~adamodar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352F3-5CBD-40FA-9F6F-8FF75426C44A}">
  <dimension ref="A1:SA57"/>
  <sheetViews>
    <sheetView showGridLines="0" tabSelected="1" zoomScaleNormal="100" workbookViewId="0"/>
  </sheetViews>
  <sheetFormatPr defaultColWidth="0" defaultRowHeight="13.95" customHeight="1" zeroHeight="1" x14ac:dyDescent="0.3"/>
  <cols>
    <col min="1" max="1" width="0.6640625" style="456" customWidth="1"/>
    <col min="2" max="2" width="37.33203125" style="456" bestFit="1" customWidth="1"/>
    <col min="3" max="3" width="8.88671875" style="456" customWidth="1"/>
    <col min="4" max="4" width="15.5546875" style="456" customWidth="1"/>
    <col min="5" max="5" width="3.44140625" style="456" customWidth="1"/>
    <col min="6" max="6" width="31.5546875" style="456" bestFit="1" customWidth="1"/>
    <col min="7" max="7" width="15.44140625" style="456" customWidth="1"/>
    <col min="8" max="8" width="15" style="456" customWidth="1"/>
    <col min="9" max="9" width="14.33203125" style="456" customWidth="1"/>
    <col min="10" max="11" width="13.44140625" style="456" customWidth="1"/>
    <col min="12" max="12" width="0.109375" style="456" customWidth="1"/>
    <col min="13" max="13" width="12.5546875" style="456" bestFit="1" customWidth="1"/>
    <col min="14" max="495" width="0" style="456" hidden="1" customWidth="1"/>
    <col min="496" max="16384" width="8.88671875" style="456" hidden="1"/>
  </cols>
  <sheetData>
    <row r="1" spans="2:12" ht="12" customHeight="1" x14ac:dyDescent="0.3"/>
    <row r="2" spans="2:12" ht="13.8" hidden="1" x14ac:dyDescent="0.3">
      <c r="G2" s="620"/>
      <c r="H2" s="620"/>
      <c r="I2" s="620"/>
      <c r="J2" s="620"/>
      <c r="K2" s="620"/>
      <c r="L2" s="620"/>
    </row>
    <row r="3" spans="2:12" ht="13.8" hidden="1" x14ac:dyDescent="0.3">
      <c r="G3" s="620"/>
      <c r="H3" s="620"/>
      <c r="I3" s="620"/>
      <c r="J3" s="620"/>
      <c r="K3" s="620"/>
      <c r="L3" s="620"/>
    </row>
    <row r="4" spans="2:12" ht="13.8" hidden="1" x14ac:dyDescent="0.3">
      <c r="G4" s="620"/>
      <c r="H4" s="620"/>
      <c r="I4" s="620"/>
      <c r="J4" s="620"/>
      <c r="K4" s="620"/>
      <c r="L4" s="620"/>
    </row>
    <row r="5" spans="2:12" ht="13.8" hidden="1" x14ac:dyDescent="0.3">
      <c r="G5" s="620"/>
      <c r="H5" s="620"/>
      <c r="I5" s="620"/>
      <c r="J5" s="620"/>
      <c r="K5" s="620"/>
      <c r="L5" s="620"/>
    </row>
    <row r="6" spans="2:12" ht="51.6" customHeight="1" x14ac:dyDescent="0.3">
      <c r="G6" s="621" t="s">
        <v>5360</v>
      </c>
      <c r="H6" s="622"/>
      <c r="I6" s="622"/>
      <c r="J6" s="622"/>
      <c r="K6" s="622"/>
      <c r="L6" s="623"/>
    </row>
    <row r="7" spans="2:12" ht="15" customHeight="1" x14ac:dyDescent="0.3">
      <c r="H7" s="457"/>
      <c r="I7" s="457"/>
      <c r="J7" s="457"/>
      <c r="K7" s="457"/>
    </row>
    <row r="8" spans="2:12" ht="17.399999999999999" customHeight="1" x14ac:dyDescent="0.3">
      <c r="B8" s="458" t="s">
        <v>5239</v>
      </c>
      <c r="C8" s="459"/>
      <c r="D8" s="460"/>
      <c r="E8" s="461"/>
      <c r="F8" s="457"/>
      <c r="G8" s="462" t="s">
        <v>5240</v>
      </c>
      <c r="H8" s="462" t="s">
        <v>5241</v>
      </c>
      <c r="I8" s="462" t="s">
        <v>5242</v>
      </c>
      <c r="J8" s="462" t="s">
        <v>5243</v>
      </c>
      <c r="K8" s="462" t="s">
        <v>5244</v>
      </c>
      <c r="L8" s="466"/>
    </row>
    <row r="9" spans="2:12" ht="16.2" customHeight="1" x14ac:dyDescent="0.3">
      <c r="B9" s="463" t="s">
        <v>5245</v>
      </c>
      <c r="C9" s="464"/>
      <c r="D9" s="547">
        <f>SUM(AR:SM!$J$75)</f>
        <v>8532156.6808671486</v>
      </c>
      <c r="E9" s="465"/>
      <c r="F9" s="523" t="s">
        <v>5246</v>
      </c>
      <c r="G9" s="552">
        <f>AR!$L$30</f>
        <v>1792470.3689658693</v>
      </c>
      <c r="H9" s="552">
        <f>BT!L30</f>
        <v>15570386.423376331</v>
      </c>
      <c r="I9" s="552">
        <f>PA!L30</f>
        <v>1368222.2796406744</v>
      </c>
      <c r="J9" s="552">
        <f>PR!L30</f>
        <v>1368743.7023895746</v>
      </c>
      <c r="K9" s="552">
        <f>SM!L30</f>
        <v>4431479.2097140066</v>
      </c>
      <c r="L9" s="467"/>
    </row>
    <row r="10" spans="2:12" ht="15.6" customHeight="1" x14ac:dyDescent="0.3">
      <c r="B10" s="463" t="s">
        <v>5247</v>
      </c>
      <c r="C10" s="464"/>
      <c r="D10" s="547">
        <f>SUM(AR:SM!$G$75)</f>
        <v>711013.05673892912</v>
      </c>
      <c r="E10" s="465"/>
      <c r="F10" s="523" t="s">
        <v>5248</v>
      </c>
      <c r="G10" s="552">
        <f>AR!$L$31</f>
        <v>1990152.2747121877</v>
      </c>
      <c r="H10" s="552">
        <f>BT!L31</f>
        <v>17723092.696712166</v>
      </c>
      <c r="I10" s="552">
        <f>PA!L31</f>
        <v>1604643.9364715372</v>
      </c>
      <c r="J10" s="552">
        <f>PR!L31</f>
        <v>1539296.9304207752</v>
      </c>
      <c r="K10" s="552">
        <f>SM!L31</f>
        <v>5725278.0699186269</v>
      </c>
      <c r="L10" s="466"/>
    </row>
    <row r="11" spans="2:12" ht="16.95" customHeight="1" x14ac:dyDescent="0.3">
      <c r="B11" s="463" t="s">
        <v>5249</v>
      </c>
      <c r="C11" s="464"/>
      <c r="D11" s="551">
        <f>WACC!$D$35</f>
        <v>9.9320884002751519E-2</v>
      </c>
      <c r="E11" s="465"/>
      <c r="F11" s="527" t="s">
        <v>5192</v>
      </c>
      <c r="G11" s="552">
        <f t="shared" ref="G11:K11" si="0">SUM(G9:G10)</f>
        <v>3782622.643678057</v>
      </c>
      <c r="H11" s="552">
        <f t="shared" si="0"/>
        <v>33293479.120088495</v>
      </c>
      <c r="I11" s="552">
        <f t="shared" si="0"/>
        <v>2972866.2161122113</v>
      </c>
      <c r="J11" s="552">
        <f t="shared" si="0"/>
        <v>2908040.6328103496</v>
      </c>
      <c r="K11" s="552">
        <f t="shared" si="0"/>
        <v>10156757.279632634</v>
      </c>
    </row>
    <row r="12" spans="2:12" ht="13.2" customHeight="1" x14ac:dyDescent="0.3">
      <c r="B12" s="463" t="s">
        <v>5250</v>
      </c>
      <c r="C12" s="468"/>
      <c r="D12" s="605">
        <f>SUM(AR:SM!$L$157)</f>
        <v>0.49660442001375737</v>
      </c>
      <c r="E12" s="461"/>
      <c r="G12" s="553"/>
      <c r="H12" s="553"/>
      <c r="I12" s="553"/>
      <c r="J12" s="553"/>
      <c r="K12" s="553"/>
    </row>
    <row r="13" spans="2:12" ht="16.95" customHeight="1" x14ac:dyDescent="0.3">
      <c r="B13" s="463" t="s">
        <v>5251</v>
      </c>
      <c r="C13" s="464"/>
      <c r="D13" s="547">
        <f>AVERAGE(AR:SM!$L$160)</f>
        <v>9</v>
      </c>
      <c r="E13" s="461"/>
      <c r="F13" s="527" t="s">
        <v>5252</v>
      </c>
      <c r="G13" s="552">
        <f>AR!L12</f>
        <v>3134074.1304756301</v>
      </c>
      <c r="H13" s="552">
        <f>BT!L12</f>
        <v>27458177.707779616</v>
      </c>
      <c r="I13" s="552">
        <f>PA!$L$12</f>
        <v>2451999.5139124878</v>
      </c>
      <c r="J13" s="552">
        <f>PR!$L$12</f>
        <v>2475067.4672222119</v>
      </c>
      <c r="K13" s="552">
        <f>SM!$L$12</f>
        <v>8615372.5562604163</v>
      </c>
    </row>
    <row r="14" spans="2:12" ht="16.95" customHeight="1" x14ac:dyDescent="0.3">
      <c r="B14" s="463" t="s">
        <v>5253</v>
      </c>
      <c r="C14" s="464"/>
      <c r="D14" s="547">
        <f>SUM(AR:SM!$L$75)</f>
        <v>207615812.5677672</v>
      </c>
      <c r="E14" s="461"/>
      <c r="F14" s="527" t="s">
        <v>5254</v>
      </c>
      <c r="G14" s="552">
        <f>AR!L13</f>
        <v>3495295.8227201067</v>
      </c>
      <c r="H14" s="552">
        <f>BT!L13</f>
        <v>31126990.962265946</v>
      </c>
      <c r="I14" s="552">
        <f>PA!$L$13</f>
        <v>2818229.1975186849</v>
      </c>
      <c r="J14" s="552">
        <f>PR!$L$13</f>
        <v>2703460.5337441871</v>
      </c>
      <c r="K14" s="552">
        <f>SM!$L$13</f>
        <v>10055281.083751071</v>
      </c>
    </row>
    <row r="15" spans="2:12" ht="17.399999999999999" customHeight="1" x14ac:dyDescent="0.3">
      <c r="B15" s="463" t="s">
        <v>5322</v>
      </c>
      <c r="C15" s="469"/>
      <c r="D15" s="547">
        <v>0</v>
      </c>
      <c r="E15" s="461"/>
      <c r="F15" s="527" t="s">
        <v>5193</v>
      </c>
      <c r="G15" s="552">
        <f t="shared" ref="G15:K15" si="1">SUM(G13:G14)</f>
        <v>6629369.9531957367</v>
      </c>
      <c r="H15" s="552">
        <f t="shared" si="1"/>
        <v>58585168.670045562</v>
      </c>
      <c r="I15" s="552">
        <f t="shared" si="1"/>
        <v>5270228.7114311727</v>
      </c>
      <c r="J15" s="552">
        <f t="shared" si="1"/>
        <v>5178528.000966399</v>
      </c>
      <c r="K15" s="552">
        <f t="shared" si="1"/>
        <v>18670653.640011489</v>
      </c>
    </row>
    <row r="16" spans="2:12" ht="13.8" hidden="1" x14ac:dyDescent="0.3">
      <c r="B16" s="470"/>
      <c r="C16" s="470"/>
      <c r="D16" s="548"/>
      <c r="E16" s="470"/>
      <c r="G16" s="553"/>
      <c r="H16" s="553"/>
      <c r="I16" s="553"/>
      <c r="J16" s="553"/>
      <c r="K16" s="553"/>
      <c r="L16" s="466"/>
    </row>
    <row r="17" spans="2:11" ht="21.6" customHeight="1" x14ac:dyDescent="0.3">
      <c r="B17" s="458" t="s">
        <v>5255</v>
      </c>
      <c r="C17" s="459"/>
      <c r="D17" s="549"/>
      <c r="E17" s="470"/>
      <c r="F17" s="523" t="s">
        <v>5263</v>
      </c>
      <c r="G17" s="552">
        <v>13012.946666666665</v>
      </c>
      <c r="H17" s="552">
        <v>1236171.2166666666</v>
      </c>
      <c r="I17" s="552">
        <v>98725.583333333328</v>
      </c>
      <c r="J17" s="552">
        <v>22768.444166666668</v>
      </c>
      <c r="K17" s="552">
        <v>265705.22000000003</v>
      </c>
    </row>
    <row r="18" spans="2:11" ht="15" customHeight="1" x14ac:dyDescent="0.3">
      <c r="B18" s="471" t="s">
        <v>5256</v>
      </c>
      <c r="C18" s="472"/>
      <c r="D18" s="550">
        <f>SUM(AR:SM!$L$30)</f>
        <v>24531301.984086458</v>
      </c>
      <c r="E18" s="470"/>
      <c r="F18" s="521" t="s">
        <v>5257</v>
      </c>
      <c r="G18" s="552">
        <v>2174</v>
      </c>
      <c r="H18" s="552">
        <v>121024.99199999998</v>
      </c>
      <c r="I18" s="552">
        <v>6941.1566666666668</v>
      </c>
      <c r="J18" s="552">
        <v>11462.786666666667</v>
      </c>
      <c r="K18" s="552">
        <v>172309.53</v>
      </c>
    </row>
    <row r="19" spans="2:11" ht="16.2" customHeight="1" x14ac:dyDescent="0.3">
      <c r="B19" s="471" t="s">
        <v>5258</v>
      </c>
      <c r="C19" s="472"/>
      <c r="D19" s="550">
        <f>SUM(AR:SM!$L$31)</f>
        <v>28582463.908235289</v>
      </c>
      <c r="E19" s="470"/>
      <c r="F19" s="524" t="s">
        <v>5173</v>
      </c>
      <c r="G19" s="554">
        <f t="shared" ref="G19:K19" si="2">SUM(G17:G18)</f>
        <v>15186.946666666665</v>
      </c>
      <c r="H19" s="554">
        <f t="shared" si="2"/>
        <v>1357196.2086666666</v>
      </c>
      <c r="I19" s="554">
        <f t="shared" si="2"/>
        <v>105666.73999999999</v>
      </c>
      <c r="J19" s="554">
        <f t="shared" si="2"/>
        <v>34231.230833333335</v>
      </c>
      <c r="K19" s="554">
        <f t="shared" si="2"/>
        <v>438014.75</v>
      </c>
    </row>
    <row r="20" spans="2:11" ht="18.600000000000001" customHeight="1" x14ac:dyDescent="0.3">
      <c r="B20" s="463" t="s">
        <v>5259</v>
      </c>
      <c r="C20" s="464"/>
      <c r="D20" s="547">
        <f>SUM(D18:D19)</f>
        <v>53113765.892321751</v>
      </c>
      <c r="E20" s="470"/>
      <c r="F20" s="525" t="s">
        <v>5266</v>
      </c>
      <c r="G20" s="554">
        <f>AR!$G$75</f>
        <v>49081.399765323287</v>
      </c>
      <c r="H20" s="554">
        <f>BT!$G$75</f>
        <v>446921.41683678381</v>
      </c>
      <c r="I20" s="554">
        <f>PA!$G$75</f>
        <v>38754.648209014616</v>
      </c>
      <c r="J20" s="554">
        <f>PR!$G$75</f>
        <v>38024.574863473994</v>
      </c>
      <c r="K20" s="554">
        <f>SM!$G$75</f>
        <v>138231.0170643334</v>
      </c>
    </row>
    <row r="21" spans="2:11" ht="15" customHeight="1" x14ac:dyDescent="0.3">
      <c r="B21" s="471" t="s">
        <v>5260</v>
      </c>
      <c r="C21" s="472"/>
      <c r="D21" s="550">
        <f>SUM(AR:SM!$L$12)</f>
        <v>44134691.375650361</v>
      </c>
      <c r="E21" s="470"/>
      <c r="F21" s="525" t="s">
        <v>5276</v>
      </c>
      <c r="G21" s="474">
        <f t="shared" ref="G21:K21" si="3">1-(G20/G19)</f>
        <v>-2.2318148501206272</v>
      </c>
      <c r="H21" s="474">
        <f t="shared" si="3"/>
        <v>0.67070242756141552</v>
      </c>
      <c r="I21" s="474">
        <f t="shared" si="3"/>
        <v>0.63323702227385248</v>
      </c>
      <c r="J21" s="474">
        <f t="shared" si="3"/>
        <v>-0.11081529754538688</v>
      </c>
      <c r="K21" s="474">
        <f t="shared" si="3"/>
        <v>0.6844146982165934</v>
      </c>
    </row>
    <row r="22" spans="2:11" ht="16.95" customHeight="1" x14ac:dyDescent="0.3">
      <c r="B22" s="471" t="s">
        <v>5254</v>
      </c>
      <c r="C22" s="472"/>
      <c r="D22" s="550">
        <f>SUM(AR:SM!$L$13)</f>
        <v>50199257.599999994</v>
      </c>
      <c r="E22" s="470"/>
      <c r="F22" s="525" t="s">
        <v>5277</v>
      </c>
      <c r="G22" s="496">
        <f t="shared" ref="G22:J22" si="4">G19-G20</f>
        <v>-33894.453098656624</v>
      </c>
      <c r="H22" s="496" t="s">
        <v>5321</v>
      </c>
      <c r="I22" s="496" t="s">
        <v>5321</v>
      </c>
      <c r="J22" s="496">
        <f t="shared" si="4"/>
        <v>-3793.344030140659</v>
      </c>
      <c r="K22" s="496" t="s">
        <v>5321</v>
      </c>
    </row>
    <row r="23" spans="2:11" ht="13.8" x14ac:dyDescent="0.3">
      <c r="B23" s="463" t="s">
        <v>5193</v>
      </c>
      <c r="C23" s="464"/>
      <c r="D23" s="547">
        <f>SUM(D21:D22)</f>
        <v>94333948.975650355</v>
      </c>
      <c r="E23" s="470"/>
      <c r="F23" s="522"/>
      <c r="G23" s="522"/>
      <c r="H23" s="522"/>
      <c r="I23" s="522"/>
      <c r="J23" s="522"/>
      <c r="K23" s="522"/>
    </row>
    <row r="24" spans="2:11" ht="13.8" x14ac:dyDescent="0.3">
      <c r="B24" s="471" t="s">
        <v>5231</v>
      </c>
      <c r="C24" s="464"/>
      <c r="D24" s="550">
        <f>SUM(AR:SM!$L$266)</f>
        <v>397818.85849495349</v>
      </c>
      <c r="E24" s="470"/>
      <c r="F24" s="525" t="s">
        <v>5261</v>
      </c>
      <c r="G24" s="526">
        <f>'Fluxo Rateio'!$F$31</f>
        <v>6.962843655122318E-2</v>
      </c>
      <c r="H24" s="526">
        <f>'Fluxo Rateio'!$F$32</f>
        <v>0.62006875102204595</v>
      </c>
      <c r="I24" s="526">
        <f>'Fluxo Rateio'!$F$33</f>
        <v>5.6140854113322293E-2</v>
      </c>
      <c r="J24" s="526">
        <f>'Fluxo Rateio'!$F$34</f>
        <v>5.3854591940104446E-2</v>
      </c>
      <c r="K24" s="526">
        <f>'Fluxo Rateio'!$F$35</f>
        <v>0.2003073663733041</v>
      </c>
    </row>
    <row r="25" spans="2:11" ht="13.8" x14ac:dyDescent="0.3">
      <c r="B25" s="471" t="s">
        <v>5262</v>
      </c>
      <c r="C25" s="472"/>
      <c r="D25" s="550">
        <f>'Fluxo Rateio'!$F$12</f>
        <v>25000</v>
      </c>
      <c r="E25" s="470"/>
      <c r="F25" s="525" t="s">
        <v>5326</v>
      </c>
      <c r="G25" s="473">
        <f>'Fluxo Rateio'!$O$26*G24</f>
        <v>0</v>
      </c>
      <c r="H25" s="473">
        <f>'Fluxo Rateio'!$O$26*H24</f>
        <v>0</v>
      </c>
      <c r="I25" s="473">
        <f>'Fluxo Rateio'!$O$26*I24</f>
        <v>0</v>
      </c>
      <c r="J25" s="473">
        <f>'Fluxo Rateio'!$O$26*J24</f>
        <v>0</v>
      </c>
      <c r="K25" s="473">
        <f>'Fluxo Rateio'!$O$26*K24</f>
        <v>0</v>
      </c>
    </row>
    <row r="26" spans="2:11" ht="13.8" x14ac:dyDescent="0.3">
      <c r="B26" s="463" t="s">
        <v>16</v>
      </c>
      <c r="C26" s="479"/>
      <c r="D26" s="547">
        <f>'Fluxo Rateio'!$L$24</f>
        <v>600000</v>
      </c>
      <c r="E26" s="470"/>
      <c r="F26" s="525" t="s">
        <v>5325</v>
      </c>
      <c r="G26" s="546"/>
    </row>
    <row r="27" spans="2:11" ht="13.8" x14ac:dyDescent="0.3">
      <c r="E27" s="470"/>
      <c r="F27" s="475"/>
      <c r="G27" s="514"/>
    </row>
    <row r="28" spans="2:11" ht="13.8" x14ac:dyDescent="0.3">
      <c r="G28" s="515"/>
      <c r="H28" s="515"/>
      <c r="I28" s="515"/>
      <c r="J28" s="515"/>
      <c r="K28" s="515"/>
    </row>
    <row r="29" spans="2:11" ht="13.8" x14ac:dyDescent="0.3">
      <c r="G29" s="457"/>
    </row>
    <row r="30" spans="2:11" ht="13.8" x14ac:dyDescent="0.3">
      <c r="G30" s="514"/>
    </row>
    <row r="31" spans="2:11" ht="13.8" x14ac:dyDescent="0.3"/>
    <row r="32" spans="2:11" ht="13.8" x14ac:dyDescent="0.3"/>
    <row r="33" s="456" customFormat="1" ht="13.8" x14ac:dyDescent="0.3"/>
    <row r="34" s="456" customFormat="1" ht="13.95" hidden="1" customHeight="1" x14ac:dyDescent="0.3"/>
    <row r="35" s="456" customFormat="1" ht="13.95" hidden="1" customHeight="1" x14ac:dyDescent="0.3"/>
    <row r="36" s="456" customFormat="1" ht="13.95" hidden="1" customHeight="1" x14ac:dyDescent="0.3"/>
    <row r="37" s="456" customFormat="1" ht="13.95" hidden="1" customHeight="1" x14ac:dyDescent="0.3"/>
    <row r="38" s="456" customFormat="1" ht="13.95" hidden="1" customHeight="1" x14ac:dyDescent="0.3"/>
    <row r="39" s="456" customFormat="1" ht="13.95" hidden="1" customHeight="1" x14ac:dyDescent="0.3"/>
    <row r="40" s="456" customFormat="1" ht="13.95" hidden="1" customHeight="1" x14ac:dyDescent="0.3"/>
    <row r="41" s="456" customFormat="1" ht="13.95" hidden="1" customHeight="1" x14ac:dyDescent="0.3"/>
    <row r="42" s="456" customFormat="1" ht="13.95" hidden="1" customHeight="1" x14ac:dyDescent="0.3"/>
    <row r="43" s="456" customFormat="1" ht="13.95" hidden="1" customHeight="1" x14ac:dyDescent="0.3"/>
    <row r="44" s="456" customFormat="1" ht="13.95" hidden="1" customHeight="1" x14ac:dyDescent="0.3"/>
    <row r="45" s="456" customFormat="1" ht="13.95" hidden="1" customHeight="1" x14ac:dyDescent="0.3"/>
    <row r="46" s="456" customFormat="1" ht="13.95" hidden="1" customHeight="1" x14ac:dyDescent="0.3"/>
    <row r="47" s="456" customFormat="1" ht="13.95" hidden="1" customHeight="1" x14ac:dyDescent="0.3"/>
    <row r="48" s="456" customFormat="1" ht="13.95" hidden="1" customHeight="1" x14ac:dyDescent="0.3"/>
    <row r="49" s="456" customFormat="1" ht="13.95" hidden="1" customHeight="1" x14ac:dyDescent="0.3"/>
    <row r="50" s="456" customFormat="1" ht="13.95" hidden="1" customHeight="1" x14ac:dyDescent="0.3"/>
    <row r="51" s="456" customFormat="1" ht="13.95" hidden="1" customHeight="1" x14ac:dyDescent="0.3"/>
    <row r="52" s="456" customFormat="1" ht="13.95" hidden="1" customHeight="1" x14ac:dyDescent="0.3"/>
    <row r="53" s="456" customFormat="1" ht="13.95" hidden="1" customHeight="1" x14ac:dyDescent="0.3"/>
    <row r="54" s="456" customFormat="1" ht="13.95" hidden="1" customHeight="1" x14ac:dyDescent="0.3"/>
    <row r="55" s="456" customFormat="1" ht="13.95" hidden="1" customHeight="1" x14ac:dyDescent="0.3"/>
    <row r="56" s="456" customFormat="1" ht="13.95" hidden="1" customHeight="1" x14ac:dyDescent="0.3"/>
    <row r="57" s="456" customFormat="1" ht="13.95" hidden="1" customHeight="1" x14ac:dyDescent="0.3"/>
  </sheetData>
  <mergeCells count="2">
    <mergeCell ref="G2:L5"/>
    <mergeCell ref="G6:L6"/>
  </mergeCells>
  <conditionalFormatting sqref="G21:K22">
    <cfRule type="cellIs" dxfId="1" priority="1" operator="lessThan">
      <formula>0</formula>
    </cfRule>
    <cfRule type="cellIs" dxfId="0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1:X2486"/>
  <sheetViews>
    <sheetView showGridLines="0" workbookViewId="0"/>
  </sheetViews>
  <sheetFormatPr defaultColWidth="14.44140625" defaultRowHeight="15" customHeight="1" x14ac:dyDescent="0.3"/>
  <cols>
    <col min="1" max="1" width="2.88671875" customWidth="1"/>
    <col min="2" max="2" width="64.6640625" customWidth="1"/>
    <col min="3" max="3" width="33.5546875" customWidth="1"/>
    <col min="4" max="5" width="10.33203125" customWidth="1"/>
    <col min="6" max="6" width="9.109375" customWidth="1"/>
    <col min="7" max="7" width="8.6640625" customWidth="1"/>
    <col min="8" max="8" width="9.88671875" bestFit="1" customWidth="1"/>
    <col min="9" max="13" width="8.6640625" customWidth="1"/>
    <col min="14" max="14" width="12.6640625" bestFit="1" customWidth="1"/>
    <col min="15" max="16" width="8.6640625" customWidth="1"/>
    <col min="17" max="17" width="12.6640625" bestFit="1" customWidth="1"/>
    <col min="18" max="24" width="8.6640625" customWidth="1"/>
  </cols>
  <sheetData>
    <row r="1" spans="1:24" ht="12.75" customHeight="1" x14ac:dyDescent="0.3">
      <c r="A1" s="35" t="s">
        <v>5264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ht="15.75" customHeight="1" x14ac:dyDescent="0.3">
      <c r="A2" s="1"/>
      <c r="B2" s="657" t="s">
        <v>39</v>
      </c>
      <c r="C2" s="657"/>
      <c r="D2" s="657"/>
      <c r="E2" s="657"/>
      <c r="F2" s="5"/>
      <c r="G2" s="5"/>
      <c r="H2" s="513" t="s">
        <v>216</v>
      </c>
      <c r="I2" s="513"/>
      <c r="J2" s="513"/>
      <c r="K2" s="513"/>
      <c r="L2" s="234"/>
      <c r="M2" s="513" t="s">
        <v>217</v>
      </c>
      <c r="N2" s="513"/>
      <c r="O2" s="513"/>
      <c r="P2" s="234"/>
      <c r="Q2" s="234"/>
      <c r="R2" s="234"/>
      <c r="S2" s="5"/>
      <c r="T2" s="5"/>
      <c r="U2" s="5"/>
      <c r="V2" s="5"/>
      <c r="W2" s="5"/>
      <c r="X2" s="5"/>
    </row>
    <row r="3" spans="1:24" ht="15.75" customHeight="1" x14ac:dyDescent="0.3">
      <c r="A3" s="1"/>
      <c r="B3" s="657"/>
      <c r="C3" s="657"/>
      <c r="D3" s="657"/>
      <c r="E3" s="657"/>
      <c r="F3" s="5"/>
      <c r="G3" s="5"/>
      <c r="H3" s="314" t="s">
        <v>218</v>
      </c>
      <c r="I3" s="314" t="s">
        <v>219</v>
      </c>
      <c r="J3" s="314" t="s">
        <v>220</v>
      </c>
      <c r="K3" s="314" t="s">
        <v>221</v>
      </c>
      <c r="L3" s="234"/>
      <c r="M3" s="314" t="s">
        <v>218</v>
      </c>
      <c r="N3" s="314" t="s">
        <v>222</v>
      </c>
      <c r="O3" s="314" t="s">
        <v>223</v>
      </c>
      <c r="P3" s="234"/>
      <c r="Q3" s="234" t="s">
        <v>224</v>
      </c>
      <c r="R3" s="265">
        <f>IFERROR(STDEVP(K4:K2485),"-")</f>
        <v>1.4756653181363337E-2</v>
      </c>
      <c r="S3" s="5"/>
      <c r="T3" s="5"/>
      <c r="U3" s="5"/>
      <c r="V3" s="5"/>
      <c r="W3" s="5"/>
      <c r="X3" s="5"/>
    </row>
    <row r="4" spans="1:24" ht="12.75" customHeight="1" x14ac:dyDescent="0.3">
      <c r="A4" s="35"/>
      <c r="B4" s="35"/>
      <c r="C4" s="35"/>
      <c r="D4" s="35"/>
      <c r="E4" s="35"/>
      <c r="F4" s="35"/>
      <c r="G4" s="35"/>
      <c r="H4" s="315" t="s">
        <v>225</v>
      </c>
      <c r="I4" s="316" t="s">
        <v>226</v>
      </c>
      <c r="J4" s="315">
        <f>I4/I5</f>
        <v>0.99747664655027746</v>
      </c>
      <c r="K4" s="315">
        <f>LN(J4)</f>
        <v>-2.5265424718549263E-3</v>
      </c>
      <c r="L4" s="234"/>
      <c r="M4" s="317">
        <v>46006</v>
      </c>
      <c r="N4" s="318">
        <v>4570.0784080000003</v>
      </c>
      <c r="O4" s="319">
        <f t="shared" ref="O4:O35" si="0">(N4-N5)/N5</f>
        <v>1.8002411933653046E-3</v>
      </c>
      <c r="P4" s="234"/>
      <c r="Q4" s="234" t="s">
        <v>227</v>
      </c>
      <c r="R4" s="265">
        <f>IFERROR(STDEVP(O4:O135),"-")</f>
        <v>4.0168077210414209E-3</v>
      </c>
      <c r="S4" s="35"/>
      <c r="T4" s="35"/>
      <c r="U4" s="35"/>
      <c r="V4" s="35"/>
      <c r="W4" s="35"/>
      <c r="X4" s="35"/>
    </row>
    <row r="5" spans="1:24" ht="12.75" customHeight="1" x14ac:dyDescent="0.3">
      <c r="A5" s="35"/>
      <c r="B5" s="150" t="s">
        <v>130</v>
      </c>
      <c r="C5" s="150"/>
      <c r="D5" s="151" t="s">
        <v>131</v>
      </c>
      <c r="E5" s="151"/>
      <c r="F5" s="35"/>
      <c r="G5" s="35"/>
      <c r="H5" s="234" t="s">
        <v>228</v>
      </c>
      <c r="I5" s="306" t="s">
        <v>229</v>
      </c>
      <c r="J5" s="234">
        <f t="shared" ref="J5:J68" si="1">I5/I6</f>
        <v>1.0027484170115171</v>
      </c>
      <c r="K5" s="315">
        <f t="shared" ref="K5:K68" si="2">LN(J5)</f>
        <v>2.7446470195760103E-3</v>
      </c>
      <c r="L5" s="234"/>
      <c r="M5" s="307">
        <v>45976</v>
      </c>
      <c r="N5" s="310">
        <v>4561.865949</v>
      </c>
      <c r="O5" s="319">
        <f t="shared" si="0"/>
        <v>8.9957143000815142E-4</v>
      </c>
      <c r="P5" s="234"/>
      <c r="Q5" s="234" t="s">
        <v>230</v>
      </c>
      <c r="R5" s="308">
        <v>2.1000000000000001E-2</v>
      </c>
      <c r="S5" s="35"/>
      <c r="T5" s="35"/>
      <c r="U5" s="35"/>
      <c r="V5" s="35"/>
      <c r="W5" s="35"/>
      <c r="X5" s="35"/>
    </row>
    <row r="6" spans="1:24" ht="12.75" customHeight="1" x14ac:dyDescent="0.3">
      <c r="A6" s="35"/>
      <c r="B6" s="152" t="s">
        <v>5149</v>
      </c>
      <c r="C6" s="152" t="s">
        <v>166</v>
      </c>
      <c r="D6" s="655"/>
      <c r="E6" s="656"/>
      <c r="F6" s="35"/>
      <c r="G6" s="35"/>
      <c r="H6" s="234" t="s">
        <v>231</v>
      </c>
      <c r="I6" s="306" t="s">
        <v>232</v>
      </c>
      <c r="J6" s="234">
        <f t="shared" si="1"/>
        <v>1.0146195872116552</v>
      </c>
      <c r="K6" s="315">
        <f t="shared" si="2"/>
        <v>1.4513751317600847E-2</v>
      </c>
      <c r="L6" s="234"/>
      <c r="M6" s="307">
        <v>45945</v>
      </c>
      <c r="N6" s="310">
        <v>4557.7659130000002</v>
      </c>
      <c r="O6" s="319">
        <f t="shared" si="0"/>
        <v>4.7993489394734384E-3</v>
      </c>
      <c r="P6" s="234"/>
      <c r="Q6" s="234"/>
      <c r="R6" s="265">
        <f>IFERROR((R3/R4)*R5,"-")</f>
        <v>7.71482576039976E-2</v>
      </c>
      <c r="S6" s="35"/>
      <c r="T6" s="35"/>
      <c r="U6" s="35"/>
      <c r="V6" s="35"/>
      <c r="W6" s="35"/>
      <c r="X6" s="35"/>
    </row>
    <row r="7" spans="1:24" ht="12.75" customHeight="1" x14ac:dyDescent="0.3">
      <c r="A7" s="35"/>
      <c r="B7" s="153" t="s">
        <v>132</v>
      </c>
      <c r="C7" s="212" t="s">
        <v>133</v>
      </c>
      <c r="D7" s="158">
        <v>4.1300000000000003E-2</v>
      </c>
      <c r="E7" s="156"/>
      <c r="F7" s="35"/>
      <c r="G7" s="35"/>
      <c r="H7" s="234" t="s">
        <v>233</v>
      </c>
      <c r="I7" s="306" t="s">
        <v>234</v>
      </c>
      <c r="J7" s="234">
        <f t="shared" si="1"/>
        <v>0.99787985865724382</v>
      </c>
      <c r="K7" s="315">
        <f t="shared" si="2"/>
        <v>-2.1223920241506058E-3</v>
      </c>
      <c r="L7" s="234"/>
      <c r="M7" s="307">
        <v>45915</v>
      </c>
      <c r="N7" s="310">
        <v>4535.9960849999998</v>
      </c>
      <c r="O7" s="319">
        <f t="shared" si="0"/>
        <v>-1.1006576574185711E-3</v>
      </c>
      <c r="P7" s="234"/>
      <c r="Q7" s="234"/>
      <c r="R7" s="234"/>
      <c r="S7" s="35"/>
      <c r="T7" s="35"/>
      <c r="U7" s="35"/>
      <c r="V7" s="35"/>
      <c r="W7" s="35"/>
      <c r="X7" s="35"/>
    </row>
    <row r="8" spans="1:24" ht="12.75" customHeight="1" x14ac:dyDescent="0.3">
      <c r="A8" s="35"/>
      <c r="B8" s="153" t="s">
        <v>134</v>
      </c>
      <c r="C8" s="212" t="s">
        <v>135</v>
      </c>
      <c r="D8" s="158">
        <v>0.1186102185172918</v>
      </c>
      <c r="E8" s="156"/>
      <c r="F8" s="35"/>
      <c r="G8" s="35"/>
      <c r="H8" s="234" t="s">
        <v>235</v>
      </c>
      <c r="I8" s="306" t="s">
        <v>236</v>
      </c>
      <c r="J8" s="234">
        <f t="shared" si="1"/>
        <v>1.0034952636644547</v>
      </c>
      <c r="K8" s="315">
        <f t="shared" si="2"/>
        <v>3.4891694269288125E-3</v>
      </c>
      <c r="L8" s="234"/>
      <c r="M8" s="307">
        <v>45884</v>
      </c>
      <c r="N8" s="310">
        <v>4540.9941650000001</v>
      </c>
      <c r="O8" s="319">
        <f t="shared" si="0"/>
        <v>2.5994910178911116E-3</v>
      </c>
      <c r="P8" s="234"/>
      <c r="Q8" s="234"/>
      <c r="R8" s="234"/>
      <c r="S8" s="35"/>
      <c r="T8" s="35"/>
      <c r="U8" s="35"/>
      <c r="V8" s="35"/>
      <c r="W8" s="35"/>
      <c r="X8" s="35"/>
    </row>
    <row r="9" spans="1:24" ht="12.75" customHeight="1" x14ac:dyDescent="0.3">
      <c r="A9" s="35"/>
      <c r="B9" s="153" t="s">
        <v>136</v>
      </c>
      <c r="C9" s="154" t="s">
        <v>137</v>
      </c>
      <c r="D9" s="158">
        <f>D8-D7</f>
        <v>7.7310218517291793E-2</v>
      </c>
      <c r="E9" s="156"/>
      <c r="F9" s="35" t="s">
        <v>5264</v>
      </c>
      <c r="G9" s="35"/>
      <c r="H9" s="234" t="s">
        <v>237</v>
      </c>
      <c r="I9" s="306" t="s">
        <v>238</v>
      </c>
      <c r="J9" s="234">
        <f t="shared" si="1"/>
        <v>1.0038200690282024</v>
      </c>
      <c r="K9" s="315">
        <f t="shared" si="2"/>
        <v>3.8127910934327458E-3</v>
      </c>
      <c r="L9" s="234"/>
      <c r="M9" s="307">
        <v>45853</v>
      </c>
      <c r="N9" s="310">
        <v>4529.2204970000003</v>
      </c>
      <c r="O9" s="319">
        <f t="shared" si="0"/>
        <v>2.4001228282064628E-3</v>
      </c>
      <c r="P9" s="234"/>
      <c r="Q9" s="234"/>
      <c r="R9" s="234"/>
      <c r="S9" s="35"/>
      <c r="T9" s="35"/>
      <c r="U9" s="35"/>
      <c r="V9" s="35"/>
      <c r="W9" s="35"/>
      <c r="X9" s="35"/>
    </row>
    <row r="10" spans="1:24" ht="12.75" customHeight="1" x14ac:dyDescent="0.3">
      <c r="A10" s="35"/>
      <c r="B10" s="32" t="s">
        <v>138</v>
      </c>
      <c r="C10" s="213" t="s">
        <v>215</v>
      </c>
      <c r="D10" s="490">
        <v>0.74275754425920848</v>
      </c>
      <c r="E10" s="157"/>
      <c r="F10" s="35"/>
      <c r="G10" s="35"/>
      <c r="H10" s="234" t="s">
        <v>239</v>
      </c>
      <c r="I10" s="306" t="s">
        <v>240</v>
      </c>
      <c r="J10" s="234">
        <f t="shared" si="1"/>
        <v>0.99211113773663429</v>
      </c>
      <c r="K10" s="315">
        <f t="shared" si="2"/>
        <v>-7.9201439639011995E-3</v>
      </c>
      <c r="L10" s="234"/>
      <c r="M10" s="307">
        <v>45823</v>
      </c>
      <c r="N10" s="310">
        <v>4518.3758399999997</v>
      </c>
      <c r="O10" s="319">
        <f t="shared" si="0"/>
        <v>2.600136781227151E-3</v>
      </c>
      <c r="P10" s="234"/>
      <c r="Q10" s="234"/>
      <c r="R10" s="234"/>
      <c r="S10" s="35"/>
      <c r="T10" s="35"/>
      <c r="U10" s="35"/>
      <c r="V10" s="35"/>
      <c r="W10" s="35"/>
      <c r="X10" s="35"/>
    </row>
    <row r="11" spans="1:24" ht="12.75" customHeight="1" x14ac:dyDescent="0.3">
      <c r="A11" s="35"/>
      <c r="B11" s="153" t="s">
        <v>139</v>
      </c>
      <c r="C11" s="212" t="s">
        <v>140</v>
      </c>
      <c r="D11" s="158">
        <v>0.03</v>
      </c>
      <c r="E11" s="156"/>
      <c r="F11" s="35"/>
      <c r="G11" s="35"/>
      <c r="H11" s="234" t="s">
        <v>241</v>
      </c>
      <c r="I11" s="306" t="s">
        <v>242</v>
      </c>
      <c r="J11" s="234">
        <f t="shared" si="1"/>
        <v>0.97597272313240846</v>
      </c>
      <c r="K11" s="315">
        <f t="shared" si="2"/>
        <v>-2.4320640569823537E-2</v>
      </c>
      <c r="L11" s="234"/>
      <c r="M11" s="307">
        <v>45792</v>
      </c>
      <c r="N11" s="310">
        <v>4506.657913</v>
      </c>
      <c r="O11" s="319">
        <f t="shared" si="0"/>
        <v>4.3006717108280013E-3</v>
      </c>
      <c r="P11" s="234"/>
      <c r="Q11" s="234"/>
      <c r="R11" s="234"/>
      <c r="S11" s="35"/>
      <c r="T11" s="35"/>
      <c r="U11" s="35"/>
      <c r="V11" s="35"/>
      <c r="W11" s="35"/>
      <c r="X11" s="35"/>
    </row>
    <row r="12" spans="1:24" ht="12.75" customHeight="1" x14ac:dyDescent="0.3">
      <c r="A12" s="35"/>
      <c r="B12" s="153" t="s">
        <v>141</v>
      </c>
      <c r="C12" s="212" t="s">
        <v>142</v>
      </c>
      <c r="D12" s="158">
        <v>0.04</v>
      </c>
      <c r="E12" s="156"/>
      <c r="F12" s="35"/>
      <c r="G12" s="35"/>
      <c r="H12" s="234" t="s">
        <v>243</v>
      </c>
      <c r="I12" s="306" t="s">
        <v>244</v>
      </c>
      <c r="J12" s="234">
        <f t="shared" si="1"/>
        <v>1.0106738987099262</v>
      </c>
      <c r="K12" s="315">
        <f t="shared" si="2"/>
        <v>1.0617334802039698E-2</v>
      </c>
      <c r="L12" s="234"/>
      <c r="M12" s="307">
        <v>45762</v>
      </c>
      <c r="N12" s="310">
        <v>4487.359254</v>
      </c>
      <c r="O12" s="319">
        <f t="shared" si="0"/>
        <v>5.6002542186979146E-3</v>
      </c>
      <c r="P12" s="234"/>
      <c r="Q12" s="234"/>
      <c r="R12" s="234"/>
      <c r="S12" s="35"/>
      <c r="T12" s="35"/>
      <c r="U12" s="35"/>
      <c r="V12" s="35"/>
      <c r="W12" s="35"/>
      <c r="X12" s="35"/>
    </row>
    <row r="13" spans="1:24" ht="12.75" customHeight="1" x14ac:dyDescent="0.3">
      <c r="A13" s="35"/>
      <c r="B13" s="154"/>
      <c r="C13" s="154"/>
      <c r="D13" s="156"/>
      <c r="E13" s="154"/>
      <c r="F13" s="35"/>
      <c r="G13" s="35"/>
      <c r="H13" s="234" t="s">
        <v>245</v>
      </c>
      <c r="I13" s="306" t="s">
        <v>246</v>
      </c>
      <c r="J13" s="234">
        <f t="shared" si="1"/>
        <v>1.0099064633862893</v>
      </c>
      <c r="K13" s="315">
        <f t="shared" si="2"/>
        <v>9.8577160559257006E-3</v>
      </c>
      <c r="L13" s="234"/>
      <c r="M13" s="307">
        <v>45731</v>
      </c>
      <c r="N13" s="310">
        <v>4462.3688540000003</v>
      </c>
      <c r="O13" s="319">
        <f t="shared" si="0"/>
        <v>1.3100651616112085E-2</v>
      </c>
      <c r="P13" s="234"/>
      <c r="Q13" s="234"/>
      <c r="R13" s="234"/>
      <c r="S13" s="35"/>
      <c r="T13" s="35"/>
      <c r="U13" s="35"/>
      <c r="V13" s="35"/>
      <c r="W13" s="35"/>
      <c r="X13" s="35"/>
    </row>
    <row r="14" spans="1:24" ht="12.75" customHeight="1" x14ac:dyDescent="0.3">
      <c r="A14" s="35"/>
      <c r="B14" s="153" t="s">
        <v>143</v>
      </c>
      <c r="C14" s="154" t="s">
        <v>144</v>
      </c>
      <c r="D14" s="158">
        <f>D7+D10*(D9)</f>
        <v>9.872274805204645E-2</v>
      </c>
      <c r="E14" s="156"/>
      <c r="F14" s="35"/>
      <c r="G14" s="35"/>
      <c r="H14" s="234" t="s">
        <v>247</v>
      </c>
      <c r="I14" s="306" t="s">
        <v>248</v>
      </c>
      <c r="J14" s="234">
        <f t="shared" si="1"/>
        <v>1.000735515992758</v>
      </c>
      <c r="K14" s="315">
        <f t="shared" si="2"/>
        <v>7.3524563343115555E-4</v>
      </c>
      <c r="L14" s="234"/>
      <c r="M14" s="307">
        <v>45703</v>
      </c>
      <c r="N14" s="310">
        <v>4404.6648740000001</v>
      </c>
      <c r="O14" s="319">
        <f t="shared" si="0"/>
        <v>1.5998872890866463E-3</v>
      </c>
      <c r="P14" s="234"/>
      <c r="Q14" s="234"/>
      <c r="R14" s="234"/>
      <c r="S14" s="35"/>
      <c r="T14" s="35"/>
      <c r="U14" s="35"/>
      <c r="V14" s="35"/>
      <c r="W14" s="35"/>
      <c r="X14" s="35"/>
    </row>
    <row r="15" spans="1:24" ht="12.75" customHeight="1" x14ac:dyDescent="0.3">
      <c r="A15" s="35"/>
      <c r="B15" s="153" t="s">
        <v>145</v>
      </c>
      <c r="C15" s="154" t="s">
        <v>146</v>
      </c>
      <c r="D15" s="158">
        <f>(1+D12)/(1+D11)</f>
        <v>1.0097087378640777</v>
      </c>
      <c r="E15" s="156"/>
      <c r="F15" s="35"/>
      <c r="G15" s="35"/>
      <c r="H15" s="234" t="s">
        <v>249</v>
      </c>
      <c r="I15" s="306" t="s">
        <v>250</v>
      </c>
      <c r="J15" s="234">
        <f t="shared" si="1"/>
        <v>1.006886773344136</v>
      </c>
      <c r="K15" s="315">
        <f t="shared" si="2"/>
        <v>6.8631678358096115E-3</v>
      </c>
      <c r="L15" s="234"/>
      <c r="M15" s="307">
        <v>45672</v>
      </c>
      <c r="N15" s="310">
        <v>4397.6291629999996</v>
      </c>
      <c r="O15" s="319">
        <f t="shared" si="0"/>
        <v>5.1997730143400001E-3</v>
      </c>
      <c r="P15" s="234"/>
      <c r="Q15" s="234"/>
      <c r="R15" s="234"/>
      <c r="S15" s="35"/>
      <c r="T15" s="35"/>
      <c r="U15" s="35"/>
      <c r="V15" s="35"/>
      <c r="W15" s="35"/>
      <c r="X15" s="35"/>
    </row>
    <row r="16" spans="1:24" ht="12.75" customHeight="1" x14ac:dyDescent="0.3">
      <c r="A16" s="35"/>
      <c r="B16" s="153" t="s">
        <v>147</v>
      </c>
      <c r="C16" s="154" t="s">
        <v>148</v>
      </c>
      <c r="D16" s="158">
        <f>D14*D15</f>
        <v>9.9681221334105147E-2</v>
      </c>
      <c r="E16" s="156"/>
      <c r="F16" s="35"/>
      <c r="G16" s="35"/>
      <c r="H16" s="234" t="s">
        <v>251</v>
      </c>
      <c r="I16" s="306" t="s">
        <v>252</v>
      </c>
      <c r="J16" s="234">
        <f t="shared" si="1"/>
        <v>0.99871670870551943</v>
      </c>
      <c r="K16" s="315">
        <f t="shared" si="2"/>
        <v>-1.2841154178895313E-3</v>
      </c>
      <c r="L16" s="234"/>
      <c r="M16" s="307">
        <v>45641</v>
      </c>
      <c r="N16" s="310">
        <v>4374.880776</v>
      </c>
      <c r="O16" s="319">
        <f t="shared" si="0"/>
        <v>3.8997600539839219E-3</v>
      </c>
      <c r="P16" s="234"/>
      <c r="Q16" s="234"/>
      <c r="R16" s="234"/>
      <c r="S16" s="35"/>
      <c r="T16" s="35"/>
      <c r="U16" s="35"/>
      <c r="V16" s="35"/>
      <c r="W16" s="35"/>
      <c r="X16" s="35"/>
    </row>
    <row r="17" spans="1:24" ht="12.75" customHeight="1" x14ac:dyDescent="0.3">
      <c r="A17" s="35"/>
      <c r="B17" s="153" t="s">
        <v>149</v>
      </c>
      <c r="C17" s="212"/>
      <c r="D17" s="158">
        <f>R6</f>
        <v>7.71482576039976E-2</v>
      </c>
      <c r="E17" s="156"/>
      <c r="F17" s="35"/>
      <c r="G17" s="35"/>
      <c r="H17" s="234" t="s">
        <v>253</v>
      </c>
      <c r="I17" s="306" t="s">
        <v>254</v>
      </c>
      <c r="J17" s="234">
        <f t="shared" si="1"/>
        <v>1.0051979741880548</v>
      </c>
      <c r="K17" s="315">
        <f t="shared" si="2"/>
        <v>5.1845113530515959E-3</v>
      </c>
      <c r="L17" s="234"/>
      <c r="M17" s="307">
        <v>45611</v>
      </c>
      <c r="N17" s="310">
        <v>4357.886066</v>
      </c>
      <c r="O17" s="319">
        <f t="shared" si="0"/>
        <v>5.5994227352120065E-3</v>
      </c>
      <c r="P17" s="234"/>
      <c r="Q17" s="234"/>
      <c r="R17" s="234"/>
      <c r="S17" s="35"/>
      <c r="T17" s="35"/>
      <c r="U17" s="35"/>
      <c r="V17" s="35"/>
      <c r="W17" s="35"/>
      <c r="X17" s="35"/>
    </row>
    <row r="18" spans="1:24" ht="12.75" customHeight="1" x14ac:dyDescent="0.3">
      <c r="A18" s="35"/>
      <c r="B18" s="154"/>
      <c r="C18" s="154"/>
      <c r="D18" s="156"/>
      <c r="E18" s="154"/>
      <c r="F18" s="35"/>
      <c r="G18" s="35"/>
      <c r="H18" s="234" t="s">
        <v>255</v>
      </c>
      <c r="I18" s="306" t="s">
        <v>256</v>
      </c>
      <c r="J18" s="234">
        <f t="shared" si="1"/>
        <v>0.95687731437848489</v>
      </c>
      <c r="K18" s="315">
        <f t="shared" si="2"/>
        <v>-4.4080093888870998E-2</v>
      </c>
      <c r="L18" s="234"/>
      <c r="M18" s="307">
        <v>45580</v>
      </c>
      <c r="N18" s="310">
        <v>4333.6202940000003</v>
      </c>
      <c r="O18" s="319">
        <f t="shared" si="0"/>
        <v>4.3996268526381469E-3</v>
      </c>
      <c r="P18" s="234"/>
      <c r="Q18" s="234"/>
      <c r="R18" s="234"/>
      <c r="S18" s="35"/>
      <c r="T18" s="35"/>
      <c r="U18" s="35"/>
      <c r="V18" s="35"/>
      <c r="W18" s="35"/>
      <c r="X18" s="35"/>
    </row>
    <row r="19" spans="1:24" ht="12.75" customHeight="1" x14ac:dyDescent="0.3">
      <c r="A19" s="35"/>
      <c r="B19" s="153" t="s">
        <v>150</v>
      </c>
      <c r="C19" s="154"/>
      <c r="D19" s="224">
        <f>D16+D17</f>
        <v>0.17682947893810275</v>
      </c>
      <c r="E19" s="302"/>
      <c r="F19" s="35"/>
      <c r="G19" s="35"/>
      <c r="H19" s="234" t="s">
        <v>257</v>
      </c>
      <c r="I19" s="306" t="s">
        <v>258</v>
      </c>
      <c r="J19" s="234">
        <f t="shared" si="1"/>
        <v>1.0166975766567754</v>
      </c>
      <c r="K19" s="315">
        <f t="shared" si="2"/>
        <v>1.6559704757999963E-2</v>
      </c>
      <c r="L19" s="234"/>
      <c r="M19" s="307">
        <v>45550</v>
      </c>
      <c r="N19" s="310">
        <v>4314.6374990000004</v>
      </c>
      <c r="O19" s="319">
        <f t="shared" si="0"/>
        <v>-1.9948657689016551E-4</v>
      </c>
      <c r="P19" s="234"/>
      <c r="Q19" s="234"/>
      <c r="R19" s="234"/>
      <c r="S19" s="35"/>
      <c r="T19" s="35"/>
      <c r="U19" s="35"/>
      <c r="V19" s="35"/>
      <c r="W19" s="35"/>
      <c r="X19" s="35"/>
    </row>
    <row r="20" spans="1:24" ht="12.75" customHeight="1" x14ac:dyDescent="0.3">
      <c r="A20" s="35"/>
      <c r="B20" s="153" t="s">
        <v>151</v>
      </c>
      <c r="C20" s="154"/>
      <c r="D20" s="224">
        <f>(D19+1)/(D12+1)-1</f>
        <v>0.13156680667125253</v>
      </c>
      <c r="E20" s="156"/>
      <c r="F20" s="35"/>
      <c r="G20" s="35"/>
      <c r="H20" s="234" t="s">
        <v>259</v>
      </c>
      <c r="I20" s="306" t="s">
        <v>260</v>
      </c>
      <c r="J20" s="234">
        <f t="shared" si="1"/>
        <v>1.0041342321874185</v>
      </c>
      <c r="K20" s="315">
        <f t="shared" si="2"/>
        <v>4.12570973066407E-3</v>
      </c>
      <c r="L20" s="234"/>
      <c r="M20" s="307">
        <v>45519</v>
      </c>
      <c r="N20" s="310">
        <v>4315.4983830000001</v>
      </c>
      <c r="O20" s="319">
        <f t="shared" si="0"/>
        <v>3.8003259572901445E-3</v>
      </c>
      <c r="P20" s="234"/>
      <c r="Q20" s="234"/>
      <c r="R20" s="234"/>
      <c r="S20" s="35"/>
      <c r="T20" s="35"/>
      <c r="U20" s="35"/>
      <c r="V20" s="35"/>
      <c r="W20" s="35"/>
      <c r="X20" s="35"/>
    </row>
    <row r="21" spans="1:24" ht="12.75" customHeight="1" x14ac:dyDescent="0.3">
      <c r="A21" s="35"/>
      <c r="B21" s="154"/>
      <c r="C21" s="154"/>
      <c r="D21" s="156"/>
      <c r="E21" s="154"/>
      <c r="F21" s="35"/>
      <c r="G21" s="35"/>
      <c r="H21" s="234" t="s">
        <v>261</v>
      </c>
      <c r="I21" s="306" t="s">
        <v>262</v>
      </c>
      <c r="J21" s="234">
        <f t="shared" si="1"/>
        <v>1.0156482485562253</v>
      </c>
      <c r="K21" s="315">
        <f t="shared" si="2"/>
        <v>1.5527077160102409E-2</v>
      </c>
      <c r="L21" s="234"/>
      <c r="M21" s="307">
        <v>45488</v>
      </c>
      <c r="N21" s="310">
        <v>4299.1601730000002</v>
      </c>
      <c r="O21" s="319">
        <f t="shared" si="0"/>
        <v>2.100488466394778E-3</v>
      </c>
      <c r="P21" s="234"/>
      <c r="Q21" s="234"/>
      <c r="R21" s="234"/>
      <c r="S21" s="35"/>
      <c r="T21" s="35"/>
      <c r="U21" s="35"/>
      <c r="V21" s="35"/>
      <c r="W21" s="35"/>
      <c r="X21" s="35"/>
    </row>
    <row r="22" spans="1:24" ht="12.75" customHeight="1" x14ac:dyDescent="0.3">
      <c r="A22" s="35"/>
      <c r="B22" s="150" t="s">
        <v>152</v>
      </c>
      <c r="C22" s="150"/>
      <c r="D22" s="225" t="s">
        <v>131</v>
      </c>
      <c r="E22" s="151"/>
      <c r="F22" s="35"/>
      <c r="G22" s="35"/>
      <c r="H22" s="234" t="s">
        <v>263</v>
      </c>
      <c r="I22" s="306" t="s">
        <v>264</v>
      </c>
      <c r="J22" s="234">
        <f t="shared" si="1"/>
        <v>0.99710195947772406</v>
      </c>
      <c r="K22" s="315">
        <f t="shared" si="2"/>
        <v>-2.9022479725841696E-3</v>
      </c>
      <c r="L22" s="234"/>
      <c r="M22" s="307">
        <v>45458</v>
      </c>
      <c r="N22" s="310">
        <v>4290.1487649999999</v>
      </c>
      <c r="O22" s="319">
        <f t="shared" si="0"/>
        <v>4.6002748927523691E-3</v>
      </c>
      <c r="P22" s="234"/>
      <c r="Q22" s="234"/>
      <c r="R22" s="234"/>
      <c r="S22" s="35"/>
      <c r="T22" s="35"/>
      <c r="U22" s="35"/>
      <c r="V22" s="35"/>
      <c r="W22" s="35"/>
      <c r="X22" s="35"/>
    </row>
    <row r="23" spans="1:24" ht="12.75" customHeight="1" x14ac:dyDescent="0.3">
      <c r="A23" s="35"/>
      <c r="B23" s="154" t="s">
        <v>153</v>
      </c>
      <c r="C23" s="320" t="s">
        <v>5150</v>
      </c>
      <c r="D23" s="158">
        <v>7.7200000000000005E-2</v>
      </c>
      <c r="E23" s="154"/>
      <c r="F23" s="301"/>
      <c r="G23" s="35"/>
      <c r="H23" s="234" t="s">
        <v>265</v>
      </c>
      <c r="I23" s="306" t="s">
        <v>266</v>
      </c>
      <c r="J23" s="234">
        <f t="shared" si="1"/>
        <v>1.0045150860708016</v>
      </c>
      <c r="K23" s="315">
        <f t="shared" si="2"/>
        <v>4.5049236476831069E-3</v>
      </c>
      <c r="L23" s="234"/>
      <c r="M23" s="307">
        <v>45427</v>
      </c>
      <c r="N23" s="310">
        <v>4270.5032760000004</v>
      </c>
      <c r="O23" s="319">
        <f t="shared" si="0"/>
        <v>3.799602233906187E-3</v>
      </c>
      <c r="P23" s="234"/>
      <c r="Q23" s="234"/>
      <c r="R23" s="234"/>
      <c r="S23" s="35"/>
      <c r="T23" s="35"/>
      <c r="U23" s="35"/>
      <c r="V23" s="35"/>
      <c r="W23" s="35"/>
      <c r="X23" s="35"/>
    </row>
    <row r="24" spans="1:24" ht="12.75" customHeight="1" x14ac:dyDescent="0.3">
      <c r="A24" s="301"/>
      <c r="B24" s="154" t="s">
        <v>154</v>
      </c>
      <c r="C24" s="160"/>
      <c r="D24" s="158">
        <v>0.34</v>
      </c>
      <c r="E24" s="305"/>
      <c r="F24" s="35"/>
      <c r="G24" s="301"/>
      <c r="H24" s="234" t="s">
        <v>267</v>
      </c>
      <c r="I24" s="306" t="s">
        <v>268</v>
      </c>
      <c r="J24" s="234">
        <f t="shared" si="1"/>
        <v>0.99876382809642139</v>
      </c>
      <c r="K24" s="315">
        <f t="shared" si="2"/>
        <v>-1.2369365943239788E-3</v>
      </c>
      <c r="L24" s="234"/>
      <c r="M24" s="307">
        <v>45397</v>
      </c>
      <c r="N24" s="310">
        <v>4254.3384820000001</v>
      </c>
      <c r="O24" s="319">
        <f t="shared" si="0"/>
        <v>1.599552235206965E-3</v>
      </c>
      <c r="P24" s="234"/>
      <c r="Q24" s="234"/>
      <c r="R24" s="234"/>
      <c r="S24" s="301"/>
      <c r="T24" s="301"/>
      <c r="U24" s="301"/>
      <c r="V24" s="301"/>
      <c r="W24" s="301"/>
      <c r="X24" s="301"/>
    </row>
    <row r="25" spans="1:24" ht="12.75" customHeight="1" x14ac:dyDescent="0.3">
      <c r="A25" s="35"/>
      <c r="B25" s="153" t="s">
        <v>155</v>
      </c>
      <c r="C25" s="160"/>
      <c r="D25" s="158">
        <f>D23</f>
        <v>7.7200000000000005E-2</v>
      </c>
      <c r="E25" s="156"/>
      <c r="F25" s="35"/>
      <c r="G25" s="35"/>
      <c r="H25" s="234" t="s">
        <v>269</v>
      </c>
      <c r="I25" s="306" t="s">
        <v>270</v>
      </c>
      <c r="J25" s="234">
        <f t="shared" si="1"/>
        <v>1.0169258891062438</v>
      </c>
      <c r="K25" s="315">
        <f t="shared" si="2"/>
        <v>1.6784242342534561E-2</v>
      </c>
      <c r="L25" s="234"/>
      <c r="M25" s="307">
        <v>45366</v>
      </c>
      <c r="N25" s="310">
        <v>4247.5443130000003</v>
      </c>
      <c r="O25" s="319">
        <f t="shared" si="0"/>
        <v>8.2993711757378616E-3</v>
      </c>
      <c r="P25" s="234"/>
      <c r="Q25" s="234"/>
      <c r="R25" s="234"/>
      <c r="S25" s="35"/>
      <c r="T25" s="35"/>
      <c r="U25" s="35"/>
      <c r="V25" s="35"/>
      <c r="W25" s="35"/>
      <c r="X25" s="35"/>
    </row>
    <row r="26" spans="1:24" ht="12.75" customHeight="1" x14ac:dyDescent="0.3">
      <c r="A26" s="35"/>
      <c r="B26" s="153" t="s">
        <v>156</v>
      </c>
      <c r="C26" s="161"/>
      <c r="D26" s="224">
        <f>D23*(1-D24)</f>
        <v>5.0951999999999997E-2</v>
      </c>
      <c r="E26" s="156"/>
      <c r="F26" s="35"/>
      <c r="G26" s="35"/>
      <c r="H26" s="234" t="s">
        <v>271</v>
      </c>
      <c r="I26" s="306" t="s">
        <v>272</v>
      </c>
      <c r="J26" s="234">
        <f t="shared" si="1"/>
        <v>1.0041023197104548</v>
      </c>
      <c r="K26" s="315">
        <f t="shared" si="2"/>
        <v>4.0939281390620398E-3</v>
      </c>
      <c r="L26" s="234"/>
      <c r="M26" s="307">
        <v>45337</v>
      </c>
      <c r="N26" s="310">
        <v>4212.5825269999996</v>
      </c>
      <c r="O26" s="319">
        <f t="shared" si="0"/>
        <v>4.2003345478468729E-3</v>
      </c>
      <c r="P26" s="234"/>
      <c r="Q26" s="234"/>
      <c r="R26" s="234"/>
      <c r="S26" s="35"/>
      <c r="T26" s="35"/>
      <c r="U26" s="35"/>
      <c r="V26" s="35"/>
      <c r="W26" s="35"/>
      <c r="X26" s="35"/>
    </row>
    <row r="27" spans="1:24" ht="12.75" customHeight="1" x14ac:dyDescent="0.3">
      <c r="A27" s="35"/>
      <c r="B27" s="153"/>
      <c r="C27" s="161"/>
      <c r="D27" s="224"/>
      <c r="E27" s="156"/>
      <c r="F27" s="35"/>
      <c r="G27" s="35"/>
      <c r="H27" s="234" t="s">
        <v>273</v>
      </c>
      <c r="I27" s="306" t="s">
        <v>274</v>
      </c>
      <c r="J27" s="234">
        <f t="shared" si="1"/>
        <v>1.0032887722993622</v>
      </c>
      <c r="K27" s="315">
        <f t="shared" si="2"/>
        <v>3.2833761157196896E-3</v>
      </c>
      <c r="L27" s="234"/>
      <c r="M27" s="307">
        <v>45306</v>
      </c>
      <c r="N27" s="310">
        <v>4194.9622820000004</v>
      </c>
      <c r="O27" s="319">
        <f t="shared" si="0"/>
        <v>5.6001365929375787E-3</v>
      </c>
      <c r="P27" s="234"/>
      <c r="Q27" s="234"/>
      <c r="R27" s="234"/>
      <c r="S27" s="35"/>
      <c r="T27" s="35"/>
      <c r="U27" s="35"/>
      <c r="V27" s="35"/>
      <c r="W27" s="35"/>
      <c r="X27" s="35"/>
    </row>
    <row r="28" spans="1:24" ht="12.75" customHeight="1" x14ac:dyDescent="0.3">
      <c r="A28" s="35"/>
      <c r="B28" s="150" t="s">
        <v>157</v>
      </c>
      <c r="C28" s="151"/>
      <c r="D28" s="151" t="s">
        <v>131</v>
      </c>
      <c r="E28" s="151"/>
      <c r="F28" s="35"/>
      <c r="G28" s="35"/>
      <c r="H28" s="234" t="s">
        <v>275</v>
      </c>
      <c r="I28" s="306" t="s">
        <v>276</v>
      </c>
      <c r="J28" s="234">
        <f t="shared" si="1"/>
        <v>0.99606129449546599</v>
      </c>
      <c r="K28" s="315">
        <f t="shared" si="2"/>
        <v>-3.9464826329890504E-3</v>
      </c>
      <c r="L28" s="234"/>
      <c r="M28" s="307">
        <v>45275</v>
      </c>
      <c r="N28" s="310">
        <v>4171.6007479999998</v>
      </c>
      <c r="O28" s="319">
        <f t="shared" si="0"/>
        <v>2.800465713568347E-3</v>
      </c>
      <c r="P28" s="234"/>
      <c r="Q28" s="234"/>
      <c r="R28" s="234"/>
      <c r="S28" s="35"/>
      <c r="T28" s="35"/>
      <c r="U28" s="35"/>
      <c r="V28" s="35"/>
      <c r="W28" s="35"/>
      <c r="X28" s="35"/>
    </row>
    <row r="29" spans="1:24" ht="12.75" customHeight="1" x14ac:dyDescent="0.3">
      <c r="A29" s="35"/>
      <c r="B29" s="154"/>
      <c r="C29" s="154"/>
      <c r="D29" s="154"/>
      <c r="E29" s="154"/>
      <c r="F29" s="35"/>
      <c r="G29" s="35"/>
      <c r="H29" s="234" t="s">
        <v>277</v>
      </c>
      <c r="I29" s="306" t="s">
        <v>278</v>
      </c>
      <c r="J29" s="234">
        <f t="shared" si="1"/>
        <v>0.9927102899272946</v>
      </c>
      <c r="K29" s="315">
        <f t="shared" si="2"/>
        <v>-7.3164098440368364E-3</v>
      </c>
      <c r="L29" s="234"/>
      <c r="M29" s="307">
        <v>45245</v>
      </c>
      <c r="N29" s="310">
        <v>4159.9509479999997</v>
      </c>
      <c r="O29" s="319">
        <f t="shared" si="0"/>
        <v>2.3997636922643575E-3</v>
      </c>
      <c r="P29" s="234"/>
      <c r="Q29" s="234"/>
      <c r="R29" s="234"/>
      <c r="S29" s="35"/>
      <c r="T29" s="35"/>
      <c r="U29" s="35"/>
      <c r="V29" s="35"/>
      <c r="W29" s="35"/>
      <c r="X29" s="35"/>
    </row>
    <row r="30" spans="1:24" ht="12.75" customHeight="1" x14ac:dyDescent="0.3">
      <c r="A30" s="35"/>
      <c r="B30" s="153" t="s">
        <v>158</v>
      </c>
      <c r="C30" s="154"/>
      <c r="D30" s="159">
        <v>0.6</v>
      </c>
      <c r="E30" s="162"/>
      <c r="F30" s="35"/>
      <c r="G30" s="35"/>
      <c r="H30" s="234" t="s">
        <v>279</v>
      </c>
      <c r="I30" s="306" t="s">
        <v>280</v>
      </c>
      <c r="J30" s="234">
        <f t="shared" si="1"/>
        <v>0.99701891840244605</v>
      </c>
      <c r="K30" s="315">
        <f t="shared" si="2"/>
        <v>-2.9855338718966424E-3</v>
      </c>
      <c r="L30" s="234"/>
      <c r="M30" s="307">
        <v>45214</v>
      </c>
      <c r="N30" s="310">
        <v>4149.9919479999999</v>
      </c>
      <c r="O30" s="319">
        <f t="shared" si="0"/>
        <v>2.6005195913587609E-3</v>
      </c>
      <c r="P30" s="234"/>
      <c r="Q30" s="234"/>
      <c r="R30" s="234"/>
      <c r="S30" s="35"/>
      <c r="T30" s="35"/>
      <c r="U30" s="35"/>
      <c r="V30" s="35"/>
      <c r="W30" s="35"/>
      <c r="X30" s="35"/>
    </row>
    <row r="31" spans="1:24" ht="12.75" customHeight="1" x14ac:dyDescent="0.3">
      <c r="A31" s="35"/>
      <c r="B31" s="153" t="s">
        <v>159</v>
      </c>
      <c r="C31" s="154"/>
      <c r="D31" s="159">
        <v>0.4</v>
      </c>
      <c r="E31" s="162"/>
      <c r="F31" s="35"/>
      <c r="G31" s="35"/>
      <c r="H31" s="234" t="s">
        <v>281</v>
      </c>
      <c r="I31" s="306" t="s">
        <v>282</v>
      </c>
      <c r="J31" s="234">
        <f t="shared" si="1"/>
        <v>0.99523272178620781</v>
      </c>
      <c r="K31" s="315">
        <f t="shared" si="2"/>
        <v>-4.778677929416747E-3</v>
      </c>
      <c r="L31" s="234"/>
      <c r="M31" s="307">
        <v>45184</v>
      </c>
      <c r="N31" s="310">
        <v>4139.2278050000004</v>
      </c>
      <c r="O31" s="319">
        <f t="shared" si="0"/>
        <v>2.3005604797930995E-3</v>
      </c>
      <c r="P31" s="234"/>
      <c r="Q31" s="234"/>
      <c r="R31" s="234"/>
      <c r="S31" s="35"/>
      <c r="T31" s="35"/>
      <c r="U31" s="35"/>
      <c r="V31" s="35"/>
      <c r="W31" s="35"/>
      <c r="X31" s="35"/>
    </row>
    <row r="32" spans="1:24" ht="12.75" customHeight="1" x14ac:dyDescent="0.3">
      <c r="A32" s="35"/>
      <c r="B32" s="154"/>
      <c r="C32" s="154"/>
      <c r="D32" s="154"/>
      <c r="E32" s="154"/>
      <c r="F32" s="35"/>
      <c r="G32" s="35"/>
      <c r="H32" s="234" t="s">
        <v>283</v>
      </c>
      <c r="I32" s="306" t="s">
        <v>284</v>
      </c>
      <c r="J32" s="234">
        <f t="shared" si="1"/>
        <v>1.0036904595258396</v>
      </c>
      <c r="K32" s="315">
        <f t="shared" si="2"/>
        <v>3.6836664879082246E-3</v>
      </c>
      <c r="L32" s="234"/>
      <c r="M32" s="307">
        <v>45153</v>
      </c>
      <c r="N32" s="310">
        <v>4129.7271179999998</v>
      </c>
      <c r="O32" s="319">
        <f t="shared" si="0"/>
        <v>1.199708759639948E-3</v>
      </c>
      <c r="P32" s="234"/>
      <c r="Q32" s="234"/>
      <c r="R32" s="234"/>
      <c r="S32" s="35"/>
      <c r="T32" s="35"/>
      <c r="U32" s="35"/>
      <c r="V32" s="35"/>
      <c r="W32" s="35"/>
      <c r="X32" s="35"/>
    </row>
    <row r="33" spans="1:24" ht="12.75" customHeight="1" x14ac:dyDescent="0.3">
      <c r="A33" s="35"/>
      <c r="B33" s="150" t="s">
        <v>160</v>
      </c>
      <c r="C33" s="150"/>
      <c r="D33" s="151" t="s">
        <v>131</v>
      </c>
      <c r="E33" s="151"/>
      <c r="F33" s="35"/>
      <c r="G33" s="35"/>
      <c r="H33" s="234" t="s">
        <v>285</v>
      </c>
      <c r="I33" s="306" t="s">
        <v>286</v>
      </c>
      <c r="J33" s="234">
        <f t="shared" si="1"/>
        <v>0.99701204696986034</v>
      </c>
      <c r="K33" s="315">
        <f t="shared" si="2"/>
        <v>-2.9924258737813302E-3</v>
      </c>
      <c r="L33" s="234"/>
      <c r="M33" s="307">
        <v>45122</v>
      </c>
      <c r="N33" s="310">
        <v>4124.778585</v>
      </c>
      <c r="O33" s="319">
        <f t="shared" si="0"/>
        <v>-7.9966625237170609E-4</v>
      </c>
      <c r="P33" s="234"/>
      <c r="Q33" s="234"/>
      <c r="R33" s="234"/>
      <c r="S33" s="35"/>
      <c r="T33" s="35"/>
      <c r="U33" s="35"/>
      <c r="V33" s="35"/>
      <c r="W33" s="35"/>
      <c r="X33" s="35"/>
    </row>
    <row r="34" spans="1:24" ht="12.75" customHeight="1" x14ac:dyDescent="0.3">
      <c r="A34" s="35"/>
      <c r="B34" s="154"/>
      <c r="C34" s="154"/>
      <c r="D34" s="154"/>
      <c r="E34" s="154"/>
      <c r="F34" s="35"/>
      <c r="G34" s="35"/>
      <c r="H34" s="234" t="s">
        <v>287</v>
      </c>
      <c r="I34" s="306" t="s">
        <v>288</v>
      </c>
      <c r="J34" s="234">
        <f t="shared" si="1"/>
        <v>0.99926465460953795</v>
      </c>
      <c r="K34" s="315">
        <f t="shared" si="2"/>
        <v>-7.3561588949862917E-4</v>
      </c>
      <c r="L34" s="234"/>
      <c r="M34" s="307">
        <v>45092</v>
      </c>
      <c r="N34" s="310">
        <v>4128.0796710000004</v>
      </c>
      <c r="O34" s="319">
        <f t="shared" si="0"/>
        <v>2.2992514738378661E-3</v>
      </c>
      <c r="P34" s="234"/>
      <c r="Q34" s="234"/>
      <c r="R34" s="234"/>
      <c r="S34" s="35"/>
      <c r="T34" s="35"/>
      <c r="U34" s="35"/>
      <c r="V34" s="35"/>
      <c r="W34" s="35"/>
      <c r="X34" s="35"/>
    </row>
    <row r="35" spans="1:24" ht="12.75" customHeight="1" x14ac:dyDescent="0.3">
      <c r="A35" s="35"/>
      <c r="B35" s="153" t="s">
        <v>5148</v>
      </c>
      <c r="C35" s="154"/>
      <c r="D35" s="186">
        <f>(D20*D30)+(D26*D31)</f>
        <v>9.9320884002751519E-2</v>
      </c>
      <c r="E35" s="163"/>
      <c r="F35" s="35"/>
      <c r="G35" s="35"/>
      <c r="H35" s="234" t="s">
        <v>289</v>
      </c>
      <c r="I35" s="306" t="s">
        <v>290</v>
      </c>
      <c r="J35" s="234">
        <f t="shared" si="1"/>
        <v>1.0160508060828175</v>
      </c>
      <c r="K35" s="315">
        <f t="shared" si="2"/>
        <v>1.5923353893057563E-2</v>
      </c>
      <c r="L35" s="234"/>
      <c r="M35" s="307">
        <v>45061</v>
      </c>
      <c r="N35" s="310">
        <v>4118.6099510000004</v>
      </c>
      <c r="O35" s="319">
        <f t="shared" si="0"/>
        <v>6.1001532624233336E-3</v>
      </c>
      <c r="P35" s="234"/>
      <c r="Q35" s="234"/>
      <c r="R35" s="234"/>
      <c r="S35" s="35"/>
      <c r="T35" s="35"/>
      <c r="U35" s="35"/>
      <c r="V35" s="35"/>
      <c r="W35" s="35"/>
      <c r="X35" s="35"/>
    </row>
    <row r="36" spans="1:24" ht="12.75" customHeight="1" x14ac:dyDescent="0.3">
      <c r="A36" s="35"/>
      <c r="B36" s="153"/>
      <c r="C36" s="154"/>
      <c r="D36" s="186"/>
      <c r="E36" s="154"/>
      <c r="F36" s="35"/>
      <c r="G36" s="35"/>
      <c r="H36" s="234" t="s">
        <v>291</v>
      </c>
      <c r="I36" s="306" t="s">
        <v>292</v>
      </c>
      <c r="J36" s="234">
        <f t="shared" si="1"/>
        <v>1.0077631587488074</v>
      </c>
      <c r="K36" s="315">
        <f t="shared" si="2"/>
        <v>7.7331804826624171E-3</v>
      </c>
      <c r="L36" s="234"/>
      <c r="M36" s="307">
        <v>45031</v>
      </c>
      <c r="N36" s="310">
        <v>4093.6381310000002</v>
      </c>
      <c r="O36" s="319">
        <f t="shared" ref="O36:O66" si="3">(N36-N37)/N37</f>
        <v>7.1003356538255581E-3</v>
      </c>
      <c r="P36" s="234"/>
      <c r="Q36" s="234"/>
      <c r="R36" s="234"/>
      <c r="S36" s="35"/>
      <c r="T36" s="35"/>
      <c r="U36" s="35"/>
      <c r="V36" s="35"/>
      <c r="W36" s="35"/>
      <c r="X36" s="35"/>
    </row>
    <row r="37" spans="1:24" ht="12.75" customHeight="1" x14ac:dyDescent="0.3">
      <c r="A37" s="35"/>
      <c r="B37" s="154"/>
      <c r="C37" s="154"/>
      <c r="D37" s="491"/>
      <c r="E37" s="154"/>
      <c r="F37" s="35"/>
      <c r="G37" s="35"/>
      <c r="H37" s="234" t="s">
        <v>293</v>
      </c>
      <c r="I37" s="306" t="s">
        <v>294</v>
      </c>
      <c r="J37" s="234">
        <f t="shared" si="1"/>
        <v>1.0047085216415914</v>
      </c>
      <c r="K37" s="315">
        <f t="shared" si="2"/>
        <v>4.6974712273998645E-3</v>
      </c>
      <c r="L37" s="234"/>
      <c r="M37" s="307">
        <v>45000</v>
      </c>
      <c r="N37" s="310">
        <v>4064.7768510000001</v>
      </c>
      <c r="O37" s="319">
        <f t="shared" si="3"/>
        <v>8.3999139341351305E-3</v>
      </c>
      <c r="P37" s="234"/>
      <c r="Q37" s="234"/>
      <c r="R37" s="234"/>
      <c r="S37" s="35"/>
      <c r="T37" s="35"/>
      <c r="U37" s="35"/>
      <c r="V37" s="35"/>
      <c r="W37" s="35"/>
      <c r="X37" s="35"/>
    </row>
    <row r="38" spans="1:24" ht="12.75" customHeight="1" x14ac:dyDescent="0.3">
      <c r="A38" s="35"/>
      <c r="B38" s="153"/>
      <c r="C38" s="154"/>
      <c r="D38" s="155"/>
      <c r="E38" s="163"/>
      <c r="F38" s="35"/>
      <c r="G38" s="35"/>
      <c r="H38" s="234" t="s">
        <v>295</v>
      </c>
      <c r="I38" s="306" t="s">
        <v>296</v>
      </c>
      <c r="J38" s="234">
        <f t="shared" si="1"/>
        <v>1.0002739779643437</v>
      </c>
      <c r="K38" s="315">
        <f t="shared" si="2"/>
        <v>2.7394043923510263E-4</v>
      </c>
      <c r="L38" s="234"/>
      <c r="M38" s="307">
        <v>44972</v>
      </c>
      <c r="N38" s="310">
        <v>4030.9174910000002</v>
      </c>
      <c r="O38" s="319">
        <f t="shared" si="3"/>
        <v>5.2995865199469755E-3</v>
      </c>
      <c r="P38" s="234"/>
      <c r="Q38" s="234"/>
      <c r="R38" s="234"/>
      <c r="S38" s="35"/>
      <c r="T38" s="35"/>
      <c r="U38" s="35"/>
      <c r="V38" s="35"/>
      <c r="W38" s="35"/>
      <c r="X38" s="35"/>
    </row>
    <row r="39" spans="1:24" ht="12.75" customHeight="1" x14ac:dyDescent="0.3">
      <c r="A39" s="35"/>
      <c r="B39" s="153"/>
      <c r="C39" s="154"/>
      <c r="D39" s="186"/>
      <c r="E39" s="154"/>
      <c r="F39" s="35"/>
      <c r="G39" s="35"/>
      <c r="H39" s="234" t="s">
        <v>297</v>
      </c>
      <c r="I39" s="306" t="s">
        <v>298</v>
      </c>
      <c r="J39" s="234">
        <f t="shared" si="1"/>
        <v>1.0171721662276307</v>
      </c>
      <c r="K39" s="315">
        <f t="shared" si="2"/>
        <v>1.7026391064858457E-2</v>
      </c>
      <c r="L39" s="234"/>
      <c r="M39" s="307">
        <v>44941</v>
      </c>
      <c r="N39" s="310">
        <v>4009.6679089999998</v>
      </c>
      <c r="O39" s="319">
        <f t="shared" si="3"/>
        <v>6.1996828283252016E-3</v>
      </c>
      <c r="P39" s="234"/>
      <c r="Q39" s="234"/>
      <c r="R39" s="234"/>
      <c r="S39" s="35"/>
      <c r="T39" s="35"/>
      <c r="U39" s="35"/>
      <c r="V39" s="35"/>
      <c r="W39" s="35"/>
      <c r="X39" s="35"/>
    </row>
    <row r="40" spans="1:24" ht="12.75" customHeight="1" x14ac:dyDescent="0.3">
      <c r="A40" s="35"/>
      <c r="B40" s="35"/>
      <c r="C40" s="35"/>
      <c r="D40" s="35"/>
      <c r="E40" s="35"/>
      <c r="F40" s="35"/>
      <c r="G40" s="35"/>
      <c r="H40" s="234" t="s">
        <v>299</v>
      </c>
      <c r="I40" s="306" t="s">
        <v>300</v>
      </c>
      <c r="J40" s="234">
        <f t="shared" si="1"/>
        <v>1.0017015280519497</v>
      </c>
      <c r="K40" s="315">
        <f t="shared" si="2"/>
        <v>1.7000820930879021E-3</v>
      </c>
      <c r="L40" s="234"/>
      <c r="M40" s="307">
        <v>44910</v>
      </c>
      <c r="N40" s="310">
        <v>3984.9624060000001</v>
      </c>
      <c r="O40" s="319">
        <f t="shared" si="3"/>
        <v>4.0996080511731536E-3</v>
      </c>
      <c r="P40" s="234"/>
      <c r="Q40" s="234"/>
      <c r="R40" s="234"/>
      <c r="S40" s="35"/>
      <c r="T40" s="35"/>
      <c r="U40" s="35"/>
      <c r="V40" s="35"/>
      <c r="W40" s="35"/>
      <c r="X40" s="35"/>
    </row>
    <row r="41" spans="1:24" ht="12.75" customHeight="1" x14ac:dyDescent="0.3">
      <c r="A41" s="35"/>
      <c r="B41" s="35"/>
      <c r="C41" s="35"/>
      <c r="D41" s="35"/>
      <c r="E41" s="35"/>
      <c r="F41" s="35"/>
      <c r="G41" s="35"/>
      <c r="H41" s="234" t="s">
        <v>301</v>
      </c>
      <c r="I41" s="306" t="s">
        <v>302</v>
      </c>
      <c r="J41" s="234">
        <f t="shared" si="1"/>
        <v>1.0060313872859425</v>
      </c>
      <c r="K41" s="315">
        <f t="shared" si="2"/>
        <v>6.0132712762648892E-3</v>
      </c>
      <c r="L41" s="234"/>
      <c r="M41" s="307">
        <v>44880</v>
      </c>
      <c r="N41" s="310">
        <v>3968.6923230000002</v>
      </c>
      <c r="O41" s="319">
        <f t="shared" si="3"/>
        <v>5.9007837728849407E-3</v>
      </c>
      <c r="P41" s="234"/>
      <c r="Q41" s="234"/>
      <c r="R41" s="234"/>
      <c r="S41" s="35"/>
      <c r="T41" s="35"/>
      <c r="U41" s="35"/>
      <c r="V41" s="35"/>
      <c r="W41" s="35"/>
      <c r="X41" s="35"/>
    </row>
    <row r="42" spans="1:24" ht="12.75" customHeight="1" x14ac:dyDescent="0.3">
      <c r="A42" s="35"/>
      <c r="B42" s="35"/>
      <c r="C42" s="35"/>
      <c r="D42" s="35"/>
      <c r="E42" s="35"/>
      <c r="F42" s="35"/>
      <c r="G42" s="35"/>
      <c r="H42" s="234" t="s">
        <v>303</v>
      </c>
      <c r="I42" s="306" t="s">
        <v>304</v>
      </c>
      <c r="J42" s="234">
        <f t="shared" si="1"/>
        <v>1.0052226867597833</v>
      </c>
      <c r="K42" s="315">
        <f t="shared" si="2"/>
        <v>5.2090958315240063E-3</v>
      </c>
      <c r="L42" s="234"/>
      <c r="M42" s="307">
        <v>44849</v>
      </c>
      <c r="N42" s="310">
        <v>3945.4113040000002</v>
      </c>
      <c r="O42" s="319">
        <f t="shared" si="3"/>
        <v>-2.9003562660633187E-3</v>
      </c>
      <c r="P42" s="234"/>
      <c r="Q42" s="234"/>
      <c r="R42" s="234"/>
      <c r="S42" s="35"/>
      <c r="T42" s="35"/>
      <c r="U42" s="35"/>
      <c r="V42" s="35"/>
      <c r="W42" s="35"/>
      <c r="X42" s="35"/>
    </row>
    <row r="43" spans="1:24" ht="12.75" customHeight="1" x14ac:dyDescent="0.3">
      <c r="A43" s="35"/>
      <c r="B43" s="35"/>
      <c r="C43" s="35"/>
      <c r="D43" s="35"/>
      <c r="E43" s="35"/>
      <c r="F43" s="35"/>
      <c r="G43" s="35"/>
      <c r="H43" s="234" t="s">
        <v>305</v>
      </c>
      <c r="I43" s="306" t="s">
        <v>306</v>
      </c>
      <c r="J43" s="234">
        <f t="shared" si="1"/>
        <v>1.0009553797298025</v>
      </c>
      <c r="K43" s="315">
        <f t="shared" si="2"/>
        <v>9.549236450547712E-4</v>
      </c>
      <c r="L43" s="234"/>
      <c r="M43" s="307">
        <v>44819</v>
      </c>
      <c r="N43" s="310">
        <v>3956.8876879999998</v>
      </c>
      <c r="O43" s="319">
        <f t="shared" si="3"/>
        <v>-3.5995289909237431E-3</v>
      </c>
      <c r="P43" s="234"/>
      <c r="Q43" s="234"/>
      <c r="R43" s="234"/>
      <c r="S43" s="35"/>
      <c r="T43" s="35"/>
      <c r="U43" s="35"/>
      <c r="V43" s="35"/>
      <c r="W43" s="35"/>
      <c r="X43" s="35"/>
    </row>
    <row r="44" spans="1:24" ht="12.75" customHeight="1" x14ac:dyDescent="0.3">
      <c r="A44" s="35"/>
      <c r="B44" s="35"/>
      <c r="C44" s="35"/>
      <c r="D44" s="35"/>
      <c r="E44" s="35"/>
      <c r="F44" s="35"/>
      <c r="G44" s="35"/>
      <c r="H44" s="234" t="s">
        <v>307</v>
      </c>
      <c r="I44" s="306" t="s">
        <v>308</v>
      </c>
      <c r="J44" s="234">
        <f t="shared" si="1"/>
        <v>1.0081530217730448</v>
      </c>
      <c r="K44" s="315">
        <f t="shared" si="2"/>
        <v>8.1199654421410736E-3</v>
      </c>
      <c r="L44" s="234"/>
      <c r="M44" s="307">
        <v>44788</v>
      </c>
      <c r="N44" s="310">
        <v>3971.1820729999999</v>
      </c>
      <c r="O44" s="319">
        <f t="shared" si="3"/>
        <v>-6.8000340877811538E-3</v>
      </c>
      <c r="P44" s="234"/>
      <c r="Q44" s="234"/>
      <c r="R44" s="234"/>
      <c r="S44" s="35"/>
      <c r="T44" s="35"/>
      <c r="U44" s="35"/>
      <c r="V44" s="35"/>
      <c r="W44" s="35"/>
      <c r="X44" s="35"/>
    </row>
    <row r="45" spans="1:24" ht="12.75" customHeight="1" x14ac:dyDescent="0.3">
      <c r="A45" s="35"/>
      <c r="B45" s="35"/>
      <c r="C45" s="35"/>
      <c r="D45" s="164"/>
      <c r="E45" s="35"/>
      <c r="F45" s="35"/>
      <c r="G45" s="35"/>
      <c r="H45" s="234" t="s">
        <v>309</v>
      </c>
      <c r="I45" s="306" t="s">
        <v>310</v>
      </c>
      <c r="J45" s="234">
        <f t="shared" si="1"/>
        <v>1.0031298904538342</v>
      </c>
      <c r="K45" s="315">
        <f t="shared" si="2"/>
        <v>3.1250025431352807E-3</v>
      </c>
      <c r="L45" s="234"/>
      <c r="M45" s="307">
        <v>44757</v>
      </c>
      <c r="N45" s="310">
        <v>3998.3711330000001</v>
      </c>
      <c r="O45" s="319">
        <f t="shared" si="3"/>
        <v>6.7005775774771096E-3</v>
      </c>
      <c r="P45" s="234"/>
      <c r="Q45" s="234"/>
      <c r="R45" s="234"/>
      <c r="S45" s="35"/>
      <c r="T45" s="35"/>
      <c r="U45" s="35"/>
      <c r="V45" s="35"/>
      <c r="W45" s="35"/>
      <c r="X45" s="35"/>
    </row>
    <row r="46" spans="1:24" ht="12.75" customHeight="1" x14ac:dyDescent="0.3">
      <c r="A46" s="35"/>
      <c r="B46" s="35"/>
      <c r="C46" s="35"/>
      <c r="D46" s="164"/>
      <c r="E46" s="35"/>
      <c r="F46" s="35"/>
      <c r="G46" s="35"/>
      <c r="H46" s="234" t="s">
        <v>311</v>
      </c>
      <c r="I46" s="306" t="s">
        <v>312</v>
      </c>
      <c r="J46" s="234">
        <f t="shared" si="1"/>
        <v>1.0054455648747382</v>
      </c>
      <c r="K46" s="315">
        <f t="shared" si="2"/>
        <v>5.4307913953611387E-3</v>
      </c>
      <c r="L46" s="234"/>
      <c r="M46" s="307">
        <v>44727</v>
      </c>
      <c r="N46" s="310">
        <v>3971.7580600000001</v>
      </c>
      <c r="O46" s="319">
        <f t="shared" si="3"/>
        <v>4.700072641836966E-3</v>
      </c>
      <c r="P46" s="234"/>
      <c r="Q46" s="234"/>
      <c r="R46" s="234"/>
      <c r="S46" s="35"/>
      <c r="T46" s="35"/>
      <c r="U46" s="35"/>
      <c r="V46" s="35"/>
      <c r="W46" s="35"/>
      <c r="X46" s="35"/>
    </row>
    <row r="47" spans="1:24" ht="12.75" customHeight="1" x14ac:dyDescent="0.3">
      <c r="A47" s="35"/>
      <c r="B47" s="35"/>
      <c r="C47" s="35"/>
      <c r="D47" s="164"/>
      <c r="E47" s="35"/>
      <c r="F47" s="35"/>
      <c r="G47" s="35"/>
      <c r="H47" s="234" t="s">
        <v>313</v>
      </c>
      <c r="I47" s="306" t="s">
        <v>314</v>
      </c>
      <c r="J47" s="234">
        <f t="shared" si="1"/>
        <v>1.0031086802863005</v>
      </c>
      <c r="K47" s="315">
        <f t="shared" si="2"/>
        <v>3.1038583304341832E-3</v>
      </c>
      <c r="L47" s="234"/>
      <c r="M47" s="307">
        <v>44696</v>
      </c>
      <c r="N47" s="310">
        <v>3953.1778370000002</v>
      </c>
      <c r="O47" s="319">
        <f t="shared" si="3"/>
        <v>1.0600180866235697E-2</v>
      </c>
      <c r="P47" s="234"/>
      <c r="Q47" s="234"/>
      <c r="R47" s="234"/>
      <c r="S47" s="35"/>
      <c r="T47" s="35"/>
      <c r="U47" s="35"/>
      <c r="V47" s="35"/>
      <c r="W47" s="35"/>
      <c r="X47" s="35"/>
    </row>
    <row r="48" spans="1:24" ht="12.75" customHeight="1" x14ac:dyDescent="0.3">
      <c r="A48" s="35"/>
      <c r="B48" s="35"/>
      <c r="C48" s="35"/>
      <c r="D48" s="35"/>
      <c r="E48" s="35"/>
      <c r="F48" s="35"/>
      <c r="G48" s="35"/>
      <c r="H48" s="234" t="s">
        <v>315</v>
      </c>
      <c r="I48" s="306" t="s">
        <v>316</v>
      </c>
      <c r="J48" s="234">
        <f t="shared" si="1"/>
        <v>1.0057978616933898</v>
      </c>
      <c r="K48" s="315">
        <f t="shared" si="2"/>
        <v>5.7811187775177568E-3</v>
      </c>
      <c r="L48" s="234"/>
      <c r="M48" s="307">
        <v>44666</v>
      </c>
      <c r="N48" s="310">
        <v>3911.7129719999998</v>
      </c>
      <c r="O48" s="319">
        <f t="shared" si="3"/>
        <v>1.6200500575220246E-2</v>
      </c>
      <c r="P48" s="234"/>
      <c r="Q48" s="234"/>
      <c r="R48" s="234"/>
      <c r="S48" s="35"/>
      <c r="T48" s="35"/>
      <c r="U48" s="35"/>
      <c r="V48" s="35"/>
      <c r="W48" s="35"/>
      <c r="X48" s="35"/>
    </row>
    <row r="49" spans="1:24" ht="12.75" customHeight="1" x14ac:dyDescent="0.3">
      <c r="A49" s="35"/>
      <c r="B49" s="35"/>
      <c r="C49" s="35"/>
      <c r="D49" s="35"/>
      <c r="E49" s="35"/>
      <c r="F49" s="35"/>
      <c r="G49" s="35"/>
      <c r="H49" s="234" t="s">
        <v>317</v>
      </c>
      <c r="I49" s="306" t="s">
        <v>318</v>
      </c>
      <c r="J49" s="234">
        <f t="shared" si="1"/>
        <v>1.0054617124932337</v>
      </c>
      <c r="K49" s="315">
        <f t="shared" si="2"/>
        <v>5.4468514282403529E-3</v>
      </c>
      <c r="L49" s="234"/>
      <c r="M49" s="307">
        <v>44635</v>
      </c>
      <c r="N49" s="310">
        <v>3849.3515499999999</v>
      </c>
      <c r="O49" s="319">
        <f t="shared" si="3"/>
        <v>1.0100616091432146E-2</v>
      </c>
      <c r="P49" s="234"/>
      <c r="Q49" s="234"/>
      <c r="R49" s="234"/>
      <c r="S49" s="35"/>
      <c r="T49" s="35"/>
      <c r="U49" s="35"/>
      <c r="V49" s="35"/>
      <c r="W49" s="35"/>
      <c r="X49" s="35"/>
    </row>
    <row r="50" spans="1:24" ht="13.5" customHeight="1" x14ac:dyDescent="0.3">
      <c r="A50" s="35"/>
      <c r="B50" s="35"/>
      <c r="C50" s="35"/>
      <c r="D50" s="35"/>
      <c r="E50" s="35"/>
      <c r="F50" s="35"/>
      <c r="G50" s="35"/>
      <c r="H50" s="234" t="s">
        <v>319</v>
      </c>
      <c r="I50" s="306" t="s">
        <v>320</v>
      </c>
      <c r="J50" s="234">
        <f t="shared" si="1"/>
        <v>0.99712820654768908</v>
      </c>
      <c r="K50" s="315">
        <f t="shared" si="2"/>
        <v>-2.8759249629199042E-3</v>
      </c>
      <c r="L50" s="234"/>
      <c r="M50" s="307">
        <v>44607</v>
      </c>
      <c r="N50" s="310">
        <v>3810.8595209999999</v>
      </c>
      <c r="O50" s="319">
        <f t="shared" si="3"/>
        <v>5.400291615561997E-3</v>
      </c>
      <c r="P50" s="234"/>
      <c r="Q50" s="234"/>
      <c r="R50" s="234"/>
      <c r="S50" s="35"/>
      <c r="T50" s="35"/>
      <c r="U50" s="35"/>
      <c r="V50" s="35"/>
      <c r="W50" s="35"/>
      <c r="X50" s="35"/>
    </row>
    <row r="51" spans="1:24" ht="12.75" customHeight="1" x14ac:dyDescent="0.3">
      <c r="A51" s="35"/>
      <c r="B51" s="35"/>
      <c r="C51" s="35"/>
      <c r="D51" s="35"/>
      <c r="E51" s="35"/>
      <c r="F51" s="35"/>
      <c r="G51" s="35"/>
      <c r="H51" s="234" t="s">
        <v>321</v>
      </c>
      <c r="I51" s="306" t="s">
        <v>322</v>
      </c>
      <c r="J51" s="234">
        <f t="shared" si="1"/>
        <v>1.0077406397534152</v>
      </c>
      <c r="K51" s="315">
        <f t="shared" si="2"/>
        <v>7.710834709451911E-3</v>
      </c>
      <c r="L51" s="234"/>
      <c r="M51" s="307">
        <v>44576</v>
      </c>
      <c r="N51" s="310">
        <v>3790.390308</v>
      </c>
      <c r="O51" s="319">
        <f t="shared" si="3"/>
        <v>7.2995823516213525E-3</v>
      </c>
      <c r="P51" s="234"/>
      <c r="Q51" s="234"/>
      <c r="R51" s="234"/>
      <c r="S51" s="35"/>
      <c r="T51" s="35"/>
      <c r="U51" s="35"/>
      <c r="V51" s="35"/>
      <c r="W51" s="35"/>
      <c r="X51" s="35"/>
    </row>
    <row r="52" spans="1:24" ht="12.75" customHeight="1" x14ac:dyDescent="0.3">
      <c r="A52" s="35"/>
      <c r="B52" s="35"/>
      <c r="C52" s="35"/>
      <c r="D52" s="35"/>
      <c r="E52" s="35"/>
      <c r="F52" s="35"/>
      <c r="G52" s="35"/>
      <c r="H52" s="234" t="s">
        <v>323</v>
      </c>
      <c r="I52" s="306" t="s">
        <v>324</v>
      </c>
      <c r="J52" s="234">
        <f t="shared" si="1"/>
        <v>1.0084317862165963</v>
      </c>
      <c r="K52" s="315">
        <f t="shared" si="2"/>
        <v>8.396437271367168E-3</v>
      </c>
      <c r="L52" s="234"/>
      <c r="M52" s="307">
        <v>44545</v>
      </c>
      <c r="N52" s="310">
        <v>3762.9225449999999</v>
      </c>
      <c r="O52" s="319">
        <f t="shared" si="3"/>
        <v>9.5006905227456324E-3</v>
      </c>
      <c r="P52" s="234"/>
      <c r="Q52" s="234"/>
      <c r="R52" s="234"/>
      <c r="S52" s="35"/>
      <c r="T52" s="35"/>
      <c r="U52" s="35"/>
      <c r="V52" s="35"/>
      <c r="W52" s="35"/>
      <c r="X52" s="35"/>
    </row>
    <row r="53" spans="1:24" ht="12.75" customHeight="1" x14ac:dyDescent="0.3">
      <c r="A53" s="35"/>
      <c r="B53" s="35"/>
      <c r="C53" s="35"/>
      <c r="D53" s="35"/>
      <c r="E53" s="35"/>
      <c r="F53" s="35"/>
      <c r="G53" s="35"/>
      <c r="H53" s="234" t="s">
        <v>325</v>
      </c>
      <c r="I53" s="306" t="s">
        <v>326</v>
      </c>
      <c r="J53" s="234">
        <f t="shared" si="1"/>
        <v>0.99716697988836223</v>
      </c>
      <c r="K53" s="315">
        <f t="shared" si="2"/>
        <v>-2.8370407085309395E-3</v>
      </c>
      <c r="L53" s="234"/>
      <c r="M53" s="307">
        <v>44515</v>
      </c>
      <c r="N53" s="310">
        <v>3727.5086390000001</v>
      </c>
      <c r="O53" s="319">
        <f t="shared" si="3"/>
        <v>1.2499558263289039E-2</v>
      </c>
      <c r="P53" s="234"/>
      <c r="Q53" s="234"/>
      <c r="R53" s="234"/>
      <c r="S53" s="35"/>
      <c r="T53" s="35"/>
      <c r="U53" s="35"/>
      <c r="V53" s="35"/>
      <c r="W53" s="35"/>
      <c r="X53" s="35"/>
    </row>
    <row r="54" spans="1:24" ht="12.75" customHeight="1" x14ac:dyDescent="0.3">
      <c r="A54" s="35"/>
      <c r="B54" s="35"/>
      <c r="C54" s="35"/>
      <c r="D54" s="35"/>
      <c r="E54" s="35"/>
      <c r="F54" s="35"/>
      <c r="G54" s="35"/>
      <c r="H54" s="234" t="s">
        <v>327</v>
      </c>
      <c r="I54" s="306" t="s">
        <v>328</v>
      </c>
      <c r="J54" s="234">
        <f t="shared" si="1"/>
        <v>1.0065004270095919</v>
      </c>
      <c r="K54" s="315">
        <f t="shared" si="2"/>
        <v>6.4793903495732842E-3</v>
      </c>
      <c r="L54" s="234"/>
      <c r="M54" s="307">
        <v>44484</v>
      </c>
      <c r="N54" s="310">
        <v>3681.4916199999998</v>
      </c>
      <c r="O54" s="319">
        <f t="shared" si="3"/>
        <v>1.1599628966228955E-2</v>
      </c>
      <c r="P54" s="234"/>
      <c r="Q54" s="234"/>
      <c r="R54" s="234"/>
      <c r="S54" s="35"/>
      <c r="T54" s="35"/>
      <c r="U54" s="35"/>
      <c r="V54" s="35"/>
      <c r="W54" s="35"/>
      <c r="X54" s="35"/>
    </row>
    <row r="55" spans="1:24" ht="12.75" customHeight="1" x14ac:dyDescent="0.3">
      <c r="A55" s="35"/>
      <c r="B55" s="35"/>
      <c r="C55" s="35"/>
      <c r="D55" s="35"/>
      <c r="E55" s="35"/>
      <c r="F55" s="35"/>
      <c r="G55" s="35"/>
      <c r="H55" s="234" t="s">
        <v>329</v>
      </c>
      <c r="I55" s="306" t="s">
        <v>330</v>
      </c>
      <c r="J55" s="234">
        <f t="shared" si="1"/>
        <v>0.99925945778204084</v>
      </c>
      <c r="K55" s="315">
        <f t="shared" si="2"/>
        <v>-7.4081655479448514E-4</v>
      </c>
      <c r="L55" s="234"/>
      <c r="M55" s="307">
        <v>44454</v>
      </c>
      <c r="N55" s="310">
        <v>3639.2773529999999</v>
      </c>
      <c r="O55" s="319">
        <f t="shared" si="3"/>
        <v>8.6998767397278506E-3</v>
      </c>
      <c r="P55" s="234"/>
      <c r="Q55" s="234"/>
      <c r="R55" s="234"/>
      <c r="S55" s="35"/>
      <c r="T55" s="35"/>
      <c r="U55" s="35"/>
      <c r="V55" s="35"/>
      <c r="W55" s="35"/>
      <c r="X55" s="35"/>
    </row>
    <row r="56" spans="1:24" ht="12.75" customHeight="1" x14ac:dyDescent="0.3">
      <c r="A56" s="35"/>
      <c r="B56" s="35"/>
      <c r="C56" s="35"/>
      <c r="D56" s="35"/>
      <c r="E56" s="35"/>
      <c r="F56" s="35"/>
      <c r="G56" s="35"/>
      <c r="H56" s="234" t="s">
        <v>331</v>
      </c>
      <c r="I56" s="306" t="s">
        <v>332</v>
      </c>
      <c r="J56" s="234">
        <f t="shared" si="1"/>
        <v>1.0078617022788985</v>
      </c>
      <c r="K56" s="315">
        <f t="shared" si="2"/>
        <v>7.8309601162390319E-3</v>
      </c>
      <c r="L56" s="234"/>
      <c r="M56" s="307">
        <v>44423</v>
      </c>
      <c r="N56" s="310">
        <v>3607.8891619999999</v>
      </c>
      <c r="O56" s="319">
        <f t="shared" si="3"/>
        <v>9.5996865277999215E-3</v>
      </c>
      <c r="P56" s="234"/>
      <c r="Q56" s="234"/>
      <c r="R56" s="234"/>
      <c r="S56" s="35"/>
      <c r="T56" s="35"/>
      <c r="U56" s="35"/>
      <c r="V56" s="35"/>
      <c r="W56" s="35"/>
      <c r="X56" s="35"/>
    </row>
    <row r="57" spans="1:24" ht="12.75" customHeight="1" x14ac:dyDescent="0.3">
      <c r="A57" s="35"/>
      <c r="B57" s="35"/>
      <c r="C57" s="35"/>
      <c r="D57" s="35"/>
      <c r="E57" s="35"/>
      <c r="F57" s="35"/>
      <c r="G57" s="35"/>
      <c r="H57" s="234" t="s">
        <v>333</v>
      </c>
      <c r="I57" s="306" t="s">
        <v>334</v>
      </c>
      <c r="J57" s="234">
        <f t="shared" si="1"/>
        <v>0.99264067736814254</v>
      </c>
      <c r="K57" s="315">
        <f t="shared" si="2"/>
        <v>-7.386536043713675E-3</v>
      </c>
      <c r="L57" s="234"/>
      <c r="M57" s="307">
        <v>44392</v>
      </c>
      <c r="N57" s="310">
        <v>3573.583877</v>
      </c>
      <c r="O57" s="319">
        <f t="shared" si="3"/>
        <v>5.3000580325973153E-3</v>
      </c>
      <c r="P57" s="234"/>
      <c r="Q57" s="234"/>
      <c r="R57" s="234"/>
      <c r="S57" s="35"/>
      <c r="T57" s="35"/>
      <c r="U57" s="35"/>
      <c r="V57" s="35"/>
      <c r="W57" s="35"/>
      <c r="X57" s="35"/>
    </row>
    <row r="58" spans="1:24" ht="12.75" customHeight="1" x14ac:dyDescent="0.3">
      <c r="A58" s="35"/>
      <c r="B58" s="35"/>
      <c r="C58" s="35"/>
      <c r="D58" s="35"/>
      <c r="E58" s="35"/>
      <c r="F58" s="35"/>
      <c r="G58" s="35"/>
      <c r="H58" s="234" t="s">
        <v>335</v>
      </c>
      <c r="I58" s="306" t="s">
        <v>336</v>
      </c>
      <c r="J58" s="234">
        <f t="shared" si="1"/>
        <v>0.99702422826912795</v>
      </c>
      <c r="K58" s="315">
        <f t="shared" si="2"/>
        <v>-2.980208142921542E-3</v>
      </c>
      <c r="L58" s="234"/>
      <c r="M58" s="307">
        <v>44362</v>
      </c>
      <c r="N58" s="310">
        <v>3554.7435300000002</v>
      </c>
      <c r="O58" s="319">
        <f t="shared" si="3"/>
        <v>8.3006721537254267E-3</v>
      </c>
      <c r="P58" s="234"/>
      <c r="Q58" s="234"/>
      <c r="R58" s="234"/>
      <c r="S58" s="35"/>
      <c r="T58" s="35"/>
      <c r="U58" s="35"/>
      <c r="V58" s="35"/>
      <c r="W58" s="35"/>
      <c r="X58" s="35"/>
    </row>
    <row r="59" spans="1:24" ht="12.75" customHeight="1" x14ac:dyDescent="0.3">
      <c r="A59" s="35"/>
      <c r="B59" s="35"/>
      <c r="C59" s="35"/>
      <c r="D59" s="35"/>
      <c r="E59" s="35"/>
      <c r="F59" s="35"/>
      <c r="G59" s="35"/>
      <c r="H59" s="234" t="s">
        <v>337</v>
      </c>
      <c r="I59" s="306" t="s">
        <v>338</v>
      </c>
      <c r="J59" s="234">
        <f t="shared" si="1"/>
        <v>1.0056028750106114</v>
      </c>
      <c r="K59" s="315">
        <f t="shared" si="2"/>
        <v>5.5872372900239121E-3</v>
      </c>
      <c r="L59" s="234"/>
      <c r="M59" s="307">
        <v>44331</v>
      </c>
      <c r="N59" s="310">
        <v>3525.479679</v>
      </c>
      <c r="O59" s="319">
        <f t="shared" si="3"/>
        <v>3.0997123494343735E-3</v>
      </c>
      <c r="P59" s="234"/>
      <c r="Q59" s="234"/>
      <c r="R59" s="234"/>
      <c r="S59" s="35"/>
      <c r="T59" s="35"/>
      <c r="U59" s="35"/>
      <c r="V59" s="35"/>
      <c r="W59" s="35"/>
      <c r="X59" s="35"/>
    </row>
    <row r="60" spans="1:24" ht="12.75" customHeight="1" x14ac:dyDescent="0.3">
      <c r="A60" s="35"/>
      <c r="B60" s="35"/>
      <c r="C60" s="35"/>
      <c r="D60" s="35"/>
      <c r="E60" s="35"/>
      <c r="F60" s="35"/>
      <c r="G60" s="35"/>
      <c r="H60" s="234" t="s">
        <v>339</v>
      </c>
      <c r="I60" s="306" t="s">
        <v>340</v>
      </c>
      <c r="J60" s="234">
        <f t="shared" si="1"/>
        <v>0.98433213096945815</v>
      </c>
      <c r="K60" s="315">
        <f t="shared" si="2"/>
        <v>-1.57919074077899E-2</v>
      </c>
      <c r="L60" s="234"/>
      <c r="M60" s="307">
        <v>44301</v>
      </c>
      <c r="N60" s="310">
        <v>3514.5854749999999</v>
      </c>
      <c r="O60" s="319">
        <f t="shared" si="3"/>
        <v>9.3002491649426654E-3</v>
      </c>
      <c r="P60" s="234"/>
      <c r="Q60" s="234"/>
      <c r="R60" s="234"/>
      <c r="S60" s="35"/>
      <c r="T60" s="35"/>
      <c r="U60" s="35"/>
      <c r="V60" s="35"/>
      <c r="W60" s="35"/>
      <c r="X60" s="35"/>
    </row>
    <row r="61" spans="1:24" ht="12.75" customHeight="1" x14ac:dyDescent="0.3">
      <c r="A61" s="35"/>
      <c r="B61" s="35"/>
      <c r="C61" s="35"/>
      <c r="D61" s="35"/>
      <c r="E61" s="35"/>
      <c r="F61" s="35"/>
      <c r="G61" s="35"/>
      <c r="H61" s="234" t="s">
        <v>341</v>
      </c>
      <c r="I61" s="306" t="s">
        <v>342</v>
      </c>
      <c r="J61" s="234">
        <f t="shared" si="1"/>
        <v>0.99586690891943241</v>
      </c>
      <c r="K61" s="315">
        <f t="shared" si="2"/>
        <v>-4.1416559091316139E-3</v>
      </c>
      <c r="L61" s="234"/>
      <c r="M61" s="307">
        <v>44270</v>
      </c>
      <c r="N61" s="310">
        <v>3482.2001460000001</v>
      </c>
      <c r="O61" s="319">
        <f t="shared" si="3"/>
        <v>8.5998899462954304E-3</v>
      </c>
      <c r="P61" s="234"/>
      <c r="Q61" s="234"/>
      <c r="R61" s="234"/>
      <c r="S61" s="35"/>
      <c r="T61" s="35"/>
      <c r="U61" s="35"/>
      <c r="V61" s="35"/>
      <c r="W61" s="35"/>
      <c r="X61" s="35"/>
    </row>
    <row r="62" spans="1:24" ht="12.75" customHeight="1" x14ac:dyDescent="0.3">
      <c r="A62" s="35"/>
      <c r="B62" s="35"/>
      <c r="C62" s="35"/>
      <c r="D62" s="35"/>
      <c r="E62" s="35"/>
      <c r="F62" s="35"/>
      <c r="G62" s="35"/>
      <c r="H62" s="234" t="s">
        <v>343</v>
      </c>
      <c r="I62" s="306" t="s">
        <v>344</v>
      </c>
      <c r="J62" s="234">
        <f t="shared" si="1"/>
        <v>1.0017506078499478</v>
      </c>
      <c r="K62" s="315">
        <f t="shared" si="2"/>
        <v>1.749077322001518E-3</v>
      </c>
      <c r="L62" s="234"/>
      <c r="M62" s="307">
        <v>44242</v>
      </c>
      <c r="N62" s="310">
        <v>3452.508949</v>
      </c>
      <c r="O62" s="319">
        <f t="shared" si="3"/>
        <v>2.499734812285468E-3</v>
      </c>
      <c r="P62" s="234"/>
      <c r="Q62" s="234"/>
      <c r="R62" s="234"/>
      <c r="S62" s="35"/>
      <c r="T62" s="35"/>
      <c r="U62" s="35"/>
      <c r="V62" s="35"/>
      <c r="W62" s="35"/>
      <c r="X62" s="35"/>
    </row>
    <row r="63" spans="1:24" ht="12.75" customHeight="1" x14ac:dyDescent="0.3">
      <c r="A63" s="35"/>
      <c r="B63" s="35"/>
      <c r="C63" s="35"/>
      <c r="D63" s="35"/>
      <c r="E63" s="35"/>
      <c r="F63" s="35"/>
      <c r="G63" s="35"/>
      <c r="H63" s="234" t="s">
        <v>345</v>
      </c>
      <c r="I63" s="306" t="s">
        <v>346</v>
      </c>
      <c r="J63" s="234">
        <f t="shared" si="1"/>
        <v>0.98923149872523486</v>
      </c>
      <c r="K63" s="315">
        <f t="shared" si="2"/>
        <v>-1.0826901216250307E-2</v>
      </c>
      <c r="L63" s="234"/>
      <c r="M63" s="307">
        <v>44211</v>
      </c>
      <c r="N63" s="310">
        <v>3443.9001119999998</v>
      </c>
      <c r="O63" s="319">
        <f t="shared" si="3"/>
        <v>1.3500360855586587E-2</v>
      </c>
      <c r="P63" s="234"/>
      <c r="Q63" s="234"/>
      <c r="R63" s="234"/>
      <c r="S63" s="35"/>
      <c r="T63" s="35"/>
      <c r="U63" s="35"/>
      <c r="V63" s="35"/>
      <c r="W63" s="35"/>
      <c r="X63" s="35"/>
    </row>
    <row r="64" spans="1:24" ht="12.75" customHeight="1" x14ac:dyDescent="0.3">
      <c r="A64" s="35"/>
      <c r="B64" s="35"/>
      <c r="C64" s="35"/>
      <c r="D64" s="35"/>
      <c r="E64" s="35"/>
      <c r="F64" s="35"/>
      <c r="G64" s="35"/>
      <c r="H64" s="234" t="s">
        <v>347</v>
      </c>
      <c r="I64" s="306" t="s">
        <v>348</v>
      </c>
      <c r="J64" s="234">
        <f t="shared" si="1"/>
        <v>0.99507648543118365</v>
      </c>
      <c r="K64" s="315">
        <f t="shared" si="2"/>
        <v>-4.935674997790354E-3</v>
      </c>
      <c r="L64" s="234"/>
      <c r="M64" s="307">
        <v>44180</v>
      </c>
      <c r="N64" s="310">
        <v>3398.025541</v>
      </c>
      <c r="O64" s="319">
        <f t="shared" si="3"/>
        <v>8.9001344733225431E-3</v>
      </c>
      <c r="P64" s="234"/>
      <c r="Q64" s="234"/>
      <c r="R64" s="234"/>
      <c r="S64" s="35"/>
      <c r="T64" s="35"/>
      <c r="U64" s="35"/>
      <c r="V64" s="35"/>
      <c r="W64" s="35"/>
      <c r="X64" s="35"/>
    </row>
    <row r="65" spans="1:24" ht="12.75" customHeight="1" x14ac:dyDescent="0.3">
      <c r="A65" s="35"/>
      <c r="B65" s="35"/>
      <c r="C65" s="35"/>
      <c r="D65" s="35"/>
      <c r="E65" s="35"/>
      <c r="F65" s="35"/>
      <c r="G65" s="35"/>
      <c r="H65" s="234" t="s">
        <v>349</v>
      </c>
      <c r="I65" s="306" t="s">
        <v>350</v>
      </c>
      <c r="J65" s="234">
        <f t="shared" si="1"/>
        <v>0.9993166458243643</v>
      </c>
      <c r="K65" s="315">
        <f t="shared" si="2"/>
        <v>-6.8358776852422303E-4</v>
      </c>
      <c r="L65" s="234"/>
      <c r="M65" s="307">
        <v>44150</v>
      </c>
      <c r="N65" s="310">
        <v>3368.0494480000002</v>
      </c>
      <c r="O65" s="319">
        <f t="shared" si="3"/>
        <v>8.6001762935353568E-3</v>
      </c>
      <c r="P65" s="234"/>
      <c r="Q65" s="234"/>
      <c r="R65" s="234"/>
      <c r="S65" s="35"/>
      <c r="T65" s="35"/>
      <c r="U65" s="35"/>
      <c r="V65" s="35"/>
      <c r="W65" s="35"/>
      <c r="X65" s="35"/>
    </row>
    <row r="66" spans="1:24" ht="12.75" customHeight="1" x14ac:dyDescent="0.3">
      <c r="A66" s="35"/>
      <c r="B66" s="35"/>
      <c r="C66" s="35"/>
      <c r="D66" s="35"/>
      <c r="E66" s="35"/>
      <c r="F66" s="35"/>
      <c r="G66" s="35"/>
      <c r="H66" s="234" t="s">
        <v>351</v>
      </c>
      <c r="I66" s="306" t="s">
        <v>352</v>
      </c>
      <c r="J66" s="234">
        <f t="shared" si="1"/>
        <v>1.0061190674266227</v>
      </c>
      <c r="K66" s="315">
        <f t="shared" si="2"/>
        <v>6.1004219568020351E-3</v>
      </c>
      <c r="L66" s="234"/>
      <c r="M66" s="307">
        <v>44119</v>
      </c>
      <c r="N66" s="310">
        <v>3339.3306160000002</v>
      </c>
      <c r="O66" s="319">
        <f t="shared" si="3"/>
        <v>6.4004210567403901E-3</v>
      </c>
      <c r="P66" s="234"/>
      <c r="Q66" s="234"/>
      <c r="R66" s="234"/>
      <c r="S66" s="35"/>
      <c r="T66" s="35"/>
      <c r="U66" s="35"/>
      <c r="V66" s="35"/>
      <c r="W66" s="35"/>
      <c r="X66" s="35"/>
    </row>
    <row r="67" spans="1:24" ht="12.75" customHeight="1" x14ac:dyDescent="0.3">
      <c r="A67" s="35"/>
      <c r="B67" s="35"/>
      <c r="C67" s="35"/>
      <c r="D67" s="35"/>
      <c r="E67" s="35"/>
      <c r="F67" s="35"/>
      <c r="G67" s="35"/>
      <c r="H67" s="234" t="s">
        <v>353</v>
      </c>
      <c r="I67" s="306" t="s">
        <v>354</v>
      </c>
      <c r="J67" s="234">
        <f t="shared" si="1"/>
        <v>1.000832610819812</v>
      </c>
      <c r="K67" s="315">
        <f t="shared" si="2"/>
        <v>8.3226439170323168E-4</v>
      </c>
      <c r="L67" s="234"/>
      <c r="M67" s="307">
        <v>44089</v>
      </c>
      <c r="N67" s="310">
        <v>3318.093421</v>
      </c>
      <c r="O67" s="319">
        <f t="shared" ref="O67:O130" si="4">(N67-N68)/N68</f>
        <v>2.40054031746913E-3</v>
      </c>
      <c r="P67" s="234"/>
      <c r="Q67" s="234"/>
      <c r="R67" s="234"/>
      <c r="S67" s="35"/>
      <c r="T67" s="35"/>
      <c r="U67" s="35"/>
      <c r="V67" s="35"/>
      <c r="W67" s="35"/>
      <c r="X67" s="35"/>
    </row>
    <row r="68" spans="1:24" ht="12.75" customHeight="1" x14ac:dyDescent="0.3">
      <c r="A68" s="35"/>
      <c r="B68" s="35"/>
      <c r="C68" s="35"/>
      <c r="D68" s="35"/>
      <c r="E68" s="35"/>
      <c r="F68" s="35"/>
      <c r="G68" s="35"/>
      <c r="H68" s="234" t="s">
        <v>355</v>
      </c>
      <c r="I68" s="306" t="s">
        <v>356</v>
      </c>
      <c r="J68" s="234">
        <f t="shared" si="1"/>
        <v>0.99204052098408102</v>
      </c>
      <c r="K68" s="315">
        <f t="shared" si="2"/>
        <v>-7.9913247653008376E-3</v>
      </c>
      <c r="L68" s="234"/>
      <c r="M68" s="307">
        <v>44058</v>
      </c>
      <c r="N68" s="310">
        <v>3310.1472789999998</v>
      </c>
      <c r="O68" s="319">
        <f t="shared" si="4"/>
        <v>3.5996891533451275E-3</v>
      </c>
      <c r="P68" s="234"/>
      <c r="Q68" s="234"/>
      <c r="R68" s="234"/>
      <c r="S68" s="35"/>
      <c r="T68" s="35"/>
      <c r="U68" s="35"/>
      <c r="V68" s="35"/>
      <c r="W68" s="35"/>
      <c r="X68" s="35"/>
    </row>
    <row r="69" spans="1:24" ht="12.75" customHeight="1" x14ac:dyDescent="0.3">
      <c r="A69" s="35"/>
      <c r="B69" s="35"/>
      <c r="C69" s="35"/>
      <c r="D69" s="35"/>
      <c r="E69" s="35"/>
      <c r="F69" s="35"/>
      <c r="G69" s="35"/>
      <c r="H69" s="234" t="s">
        <v>357</v>
      </c>
      <c r="I69" s="306" t="s">
        <v>358</v>
      </c>
      <c r="J69" s="234">
        <f t="shared" ref="J69:J132" si="5">I69/I70</f>
        <v>1.0004507396227447</v>
      </c>
      <c r="K69" s="315">
        <f t="shared" ref="K69:K132" si="6">LN(J69)</f>
        <v>4.5063807015561543E-4</v>
      </c>
      <c r="L69" s="234"/>
      <c r="M69" s="307">
        <v>44027</v>
      </c>
      <c r="N69" s="310">
        <v>3298.2745159999999</v>
      </c>
      <c r="O69" s="319">
        <f t="shared" si="4"/>
        <v>2.5999453777457229E-3</v>
      </c>
      <c r="P69" s="234"/>
      <c r="Q69" s="234"/>
      <c r="R69" s="234"/>
      <c r="S69" s="35"/>
      <c r="T69" s="35"/>
      <c r="U69" s="35"/>
      <c r="V69" s="35"/>
      <c r="W69" s="35"/>
      <c r="X69" s="35"/>
    </row>
    <row r="70" spans="1:24" ht="12.75" customHeight="1" x14ac:dyDescent="0.3">
      <c r="A70" s="35"/>
      <c r="B70" s="35"/>
      <c r="C70" s="35"/>
      <c r="D70" s="35"/>
      <c r="E70" s="35"/>
      <c r="F70" s="35"/>
      <c r="G70" s="35"/>
      <c r="H70" s="234" t="s">
        <v>359</v>
      </c>
      <c r="I70" s="306" t="s">
        <v>360</v>
      </c>
      <c r="J70" s="234">
        <f t="shared" si="5"/>
        <v>1.0090550747009206</v>
      </c>
      <c r="K70" s="315">
        <f t="shared" si="6"/>
        <v>9.0143233317213599E-3</v>
      </c>
      <c r="L70" s="234"/>
      <c r="M70" s="307">
        <v>43997</v>
      </c>
      <c r="N70" s="310">
        <v>3289.7214199999999</v>
      </c>
      <c r="O70" s="319">
        <f t="shared" si="4"/>
        <v>-3.799764040077432E-3</v>
      </c>
      <c r="P70" s="234"/>
      <c r="Q70" s="234"/>
      <c r="R70" s="234"/>
      <c r="S70" s="35"/>
      <c r="T70" s="35"/>
      <c r="U70" s="35"/>
      <c r="V70" s="35"/>
      <c r="W70" s="35"/>
      <c r="X70" s="35"/>
    </row>
    <row r="71" spans="1:24" ht="12.75" customHeight="1" x14ac:dyDescent="0.3">
      <c r="A71" s="35"/>
      <c r="B71" s="35"/>
      <c r="C71" s="35"/>
      <c r="D71" s="35"/>
      <c r="E71" s="35"/>
      <c r="F71" s="35"/>
      <c r="G71" s="35"/>
      <c r="H71" s="234" t="s">
        <v>361</v>
      </c>
      <c r="I71" s="306" t="s">
        <v>362</v>
      </c>
      <c r="J71" s="234">
        <f t="shared" si="5"/>
        <v>0.99484451269675866</v>
      </c>
      <c r="K71" s="315">
        <f t="shared" si="6"/>
        <v>-5.1688226812350909E-3</v>
      </c>
      <c r="L71" s="234"/>
      <c r="M71" s="307">
        <v>43966</v>
      </c>
      <c r="N71" s="310">
        <v>3302.269264</v>
      </c>
      <c r="O71" s="319">
        <f t="shared" si="4"/>
        <v>-3.099940349241576E-3</v>
      </c>
      <c r="P71" s="234"/>
      <c r="Q71" s="234"/>
      <c r="R71" s="234"/>
      <c r="S71" s="35"/>
      <c r="T71" s="35"/>
      <c r="U71" s="35"/>
      <c r="V71" s="35"/>
      <c r="W71" s="35"/>
      <c r="X71" s="35"/>
    </row>
    <row r="72" spans="1:24" ht="12.75" customHeight="1" x14ac:dyDescent="0.3">
      <c r="A72" s="35"/>
      <c r="B72" s="35"/>
      <c r="C72" s="35"/>
      <c r="D72" s="35"/>
      <c r="E72" s="35"/>
      <c r="F72" s="35"/>
      <c r="G72" s="35"/>
      <c r="H72" s="234" t="s">
        <v>363</v>
      </c>
      <c r="I72" s="306" t="s">
        <v>364</v>
      </c>
      <c r="J72" s="234">
        <f t="shared" si="5"/>
        <v>1.0025086083065864</v>
      </c>
      <c r="K72" s="315">
        <f t="shared" si="6"/>
        <v>2.5054670012081754E-3</v>
      </c>
      <c r="L72" s="234"/>
      <c r="M72" s="307">
        <v>43936</v>
      </c>
      <c r="N72" s="310">
        <v>3312.537934</v>
      </c>
      <c r="O72" s="319">
        <f t="shared" si="4"/>
        <v>6.9975194409948184E-4</v>
      </c>
      <c r="P72" s="234"/>
      <c r="Q72" s="234"/>
      <c r="R72" s="234"/>
      <c r="S72" s="35"/>
      <c r="T72" s="35"/>
      <c r="U72" s="35"/>
      <c r="V72" s="35"/>
      <c r="W72" s="35"/>
      <c r="X72" s="35"/>
    </row>
    <row r="73" spans="1:24" ht="12.75" customHeight="1" x14ac:dyDescent="0.3">
      <c r="A73" s="35"/>
      <c r="B73" s="35"/>
      <c r="C73" s="35"/>
      <c r="D73" s="35"/>
      <c r="E73" s="35"/>
      <c r="F73" s="35"/>
      <c r="G73" s="35"/>
      <c r="H73" s="234" t="s">
        <v>365</v>
      </c>
      <c r="I73" s="306" t="s">
        <v>366</v>
      </c>
      <c r="J73" s="234">
        <f t="shared" si="5"/>
        <v>0.99934750058381527</v>
      </c>
      <c r="K73" s="315">
        <f t="shared" si="6"/>
        <v>-6.527123865758635E-4</v>
      </c>
      <c r="L73" s="234"/>
      <c r="M73" s="307">
        <v>43905</v>
      </c>
      <c r="N73" s="310">
        <v>3310.2215999999999</v>
      </c>
      <c r="O73" s="319">
        <f t="shared" si="4"/>
        <v>2.5002721204754148E-3</v>
      </c>
      <c r="P73" s="234"/>
      <c r="Q73" s="234"/>
      <c r="R73" s="234"/>
      <c r="S73" s="35"/>
      <c r="T73" s="35"/>
      <c r="U73" s="35"/>
      <c r="V73" s="35"/>
      <c r="W73" s="35"/>
      <c r="X73" s="35"/>
    </row>
    <row r="74" spans="1:24" ht="12.75" customHeight="1" x14ac:dyDescent="0.3">
      <c r="A74" s="35"/>
      <c r="B74" s="35"/>
      <c r="C74" s="35"/>
      <c r="D74" s="35"/>
      <c r="E74" s="35"/>
      <c r="F74" s="35"/>
      <c r="G74" s="35"/>
      <c r="H74" s="234" t="s">
        <v>367</v>
      </c>
      <c r="I74" s="306" t="s">
        <v>368</v>
      </c>
      <c r="J74" s="234">
        <f t="shared" si="5"/>
        <v>1.0106553564858842</v>
      </c>
      <c r="K74" s="315">
        <f t="shared" si="6"/>
        <v>1.0598988237278098E-2</v>
      </c>
      <c r="L74" s="234"/>
      <c r="M74" s="307">
        <v>43876</v>
      </c>
      <c r="N74" s="310">
        <v>3301.9657870000001</v>
      </c>
      <c r="O74" s="319">
        <f t="shared" si="4"/>
        <v>2.0995252642091464E-3</v>
      </c>
      <c r="P74" s="234"/>
      <c r="Q74" s="234"/>
      <c r="R74" s="234"/>
      <c r="S74" s="35"/>
      <c r="T74" s="35"/>
      <c r="U74" s="35"/>
      <c r="V74" s="35"/>
      <c r="W74" s="35"/>
      <c r="X74" s="35"/>
    </row>
    <row r="75" spans="1:24" ht="12.75" customHeight="1" x14ac:dyDescent="0.3">
      <c r="A75" s="35"/>
      <c r="B75" s="35"/>
      <c r="C75" s="35"/>
      <c r="D75" s="35"/>
      <c r="E75" s="35"/>
      <c r="F75" s="35"/>
      <c r="G75" s="35"/>
      <c r="H75" s="234" t="s">
        <v>369</v>
      </c>
      <c r="I75" s="306" t="s">
        <v>370</v>
      </c>
      <c r="J75" s="234">
        <f t="shared" si="5"/>
        <v>1.0035667760385101</v>
      </c>
      <c r="K75" s="315">
        <f t="shared" si="6"/>
        <v>3.5604301778881437E-3</v>
      </c>
      <c r="L75" s="234"/>
      <c r="M75" s="307">
        <v>43845</v>
      </c>
      <c r="N75" s="310">
        <v>3295.0477510000001</v>
      </c>
      <c r="O75" s="319">
        <f t="shared" si="4"/>
        <v>1.1500524925709037E-2</v>
      </c>
      <c r="P75" s="234"/>
      <c r="Q75" s="234"/>
      <c r="R75" s="234"/>
      <c r="S75" s="35"/>
      <c r="T75" s="35"/>
      <c r="U75" s="35"/>
      <c r="V75" s="35"/>
      <c r="W75" s="35"/>
      <c r="X75" s="35"/>
    </row>
    <row r="76" spans="1:24" ht="12.75" customHeight="1" x14ac:dyDescent="0.3">
      <c r="A76" s="35"/>
      <c r="B76" s="35"/>
      <c r="C76" s="35"/>
      <c r="D76" s="35"/>
      <c r="E76" s="35"/>
      <c r="F76" s="35"/>
      <c r="G76" s="35"/>
      <c r="H76" s="234" t="s">
        <v>371</v>
      </c>
      <c r="I76" s="306" t="s">
        <v>372</v>
      </c>
      <c r="J76" s="234">
        <f t="shared" si="5"/>
        <v>1.0088198914907374</v>
      </c>
      <c r="K76" s="315">
        <f t="shared" si="6"/>
        <v>8.7812234467547559E-3</v>
      </c>
      <c r="L76" s="234"/>
      <c r="M76" s="307">
        <v>43814</v>
      </c>
      <c r="N76" s="310">
        <v>3257.5838269999999</v>
      </c>
      <c r="O76" s="319">
        <f t="shared" si="4"/>
        <v>5.1002565609511606E-3</v>
      </c>
      <c r="P76" s="234"/>
      <c r="Q76" s="234"/>
      <c r="R76" s="234"/>
      <c r="S76" s="35"/>
      <c r="T76" s="35"/>
      <c r="U76" s="35"/>
      <c r="V76" s="35"/>
      <c r="W76" s="35"/>
      <c r="X76" s="35"/>
    </row>
    <row r="77" spans="1:24" ht="12.75" customHeight="1" x14ac:dyDescent="0.3">
      <c r="A77" s="35"/>
      <c r="B77" s="35"/>
      <c r="C77" s="35"/>
      <c r="D77" s="35"/>
      <c r="E77" s="35"/>
      <c r="F77" s="35"/>
      <c r="G77" s="35"/>
      <c r="H77" s="234" t="s">
        <v>373</v>
      </c>
      <c r="I77" s="306" t="s">
        <v>374</v>
      </c>
      <c r="J77" s="234">
        <f t="shared" si="5"/>
        <v>0.99399934335072759</v>
      </c>
      <c r="K77" s="315">
        <f t="shared" si="6"/>
        <v>-6.0187329387313285E-3</v>
      </c>
      <c r="L77" s="234"/>
      <c r="M77" s="307">
        <v>43784</v>
      </c>
      <c r="N77" s="310">
        <v>3241.0536219999999</v>
      </c>
      <c r="O77" s="319">
        <f t="shared" si="4"/>
        <v>1.0004130965540171E-3</v>
      </c>
      <c r="P77" s="234"/>
      <c r="Q77" s="234"/>
      <c r="R77" s="234"/>
      <c r="S77" s="35"/>
      <c r="T77" s="35"/>
      <c r="U77" s="35"/>
      <c r="V77" s="35"/>
      <c r="W77" s="35"/>
      <c r="X77" s="35"/>
    </row>
    <row r="78" spans="1:24" ht="12.75" customHeight="1" x14ac:dyDescent="0.3">
      <c r="A78" s="35"/>
      <c r="B78" s="35"/>
      <c r="C78" s="35"/>
      <c r="D78" s="35"/>
      <c r="E78" s="35"/>
      <c r="F78" s="35"/>
      <c r="G78" s="35"/>
      <c r="H78" s="234" t="s">
        <v>375</v>
      </c>
      <c r="I78" s="306" t="s">
        <v>376</v>
      </c>
      <c r="J78" s="234">
        <f t="shared" si="5"/>
        <v>1.0056340402812805</v>
      </c>
      <c r="K78" s="315">
        <f t="shared" si="6"/>
        <v>5.6182284382417869E-3</v>
      </c>
      <c r="L78" s="234"/>
      <c r="M78" s="307">
        <v>43753</v>
      </c>
      <c r="N78" s="310">
        <v>3237.8144699999998</v>
      </c>
      <c r="O78" s="319">
        <f t="shared" si="4"/>
        <v>-3.9962287257380513E-4</v>
      </c>
      <c r="P78" s="234"/>
      <c r="Q78" s="234"/>
      <c r="R78" s="234"/>
      <c r="S78" s="35"/>
      <c r="T78" s="35"/>
      <c r="U78" s="35"/>
      <c r="V78" s="35"/>
      <c r="W78" s="35"/>
      <c r="X78" s="35"/>
    </row>
    <row r="79" spans="1:24" ht="12.75" customHeight="1" x14ac:dyDescent="0.3">
      <c r="A79" s="35"/>
      <c r="B79" s="35"/>
      <c r="C79" s="35"/>
      <c r="D79" s="35"/>
      <c r="E79" s="35"/>
      <c r="F79" s="35"/>
      <c r="G79" s="35"/>
      <c r="H79" s="234" t="s">
        <v>377</v>
      </c>
      <c r="I79" s="306" t="s">
        <v>378</v>
      </c>
      <c r="J79" s="234">
        <f t="shared" si="5"/>
        <v>1.0052043612123267</v>
      </c>
      <c r="K79" s="315">
        <f t="shared" si="6"/>
        <v>5.1908653292278761E-3</v>
      </c>
      <c r="L79" s="234"/>
      <c r="M79" s="307">
        <v>43723</v>
      </c>
      <c r="N79" s="310">
        <v>3239.1088920000002</v>
      </c>
      <c r="O79" s="319">
        <f t="shared" si="4"/>
        <v>1.100651064025879E-3</v>
      </c>
      <c r="P79" s="234"/>
      <c r="Q79" s="234"/>
      <c r="R79" s="234"/>
      <c r="S79" s="35"/>
      <c r="T79" s="35"/>
      <c r="U79" s="35"/>
      <c r="V79" s="35"/>
      <c r="W79" s="35"/>
      <c r="X79" s="35"/>
    </row>
    <row r="80" spans="1:24" ht="12.75" customHeight="1" x14ac:dyDescent="0.3">
      <c r="A80" s="35"/>
      <c r="B80" s="35"/>
      <c r="C80" s="35"/>
      <c r="D80" s="35"/>
      <c r="E80" s="35"/>
      <c r="F80" s="35"/>
      <c r="G80" s="35"/>
      <c r="H80" s="234" t="s">
        <v>379</v>
      </c>
      <c r="I80" s="306" t="s">
        <v>380</v>
      </c>
      <c r="J80" s="234">
        <f t="shared" si="5"/>
        <v>0.99871644780456159</v>
      </c>
      <c r="K80" s="315">
        <f t="shared" si="6"/>
        <v>-1.2843766541236327E-3</v>
      </c>
      <c r="L80" s="234"/>
      <c r="M80" s="307">
        <v>43692</v>
      </c>
      <c r="N80" s="310">
        <v>3235.5476829999998</v>
      </c>
      <c r="O80" s="319">
        <f t="shared" si="4"/>
        <v>1.9005539623310572E-3</v>
      </c>
      <c r="P80" s="234"/>
      <c r="Q80" s="234"/>
      <c r="R80" s="234"/>
      <c r="S80" s="35"/>
      <c r="T80" s="35"/>
      <c r="U80" s="35"/>
      <c r="V80" s="35"/>
      <c r="W80" s="35"/>
      <c r="X80" s="35"/>
    </row>
    <row r="81" spans="1:24" ht="12.75" customHeight="1" x14ac:dyDescent="0.3">
      <c r="A81" s="35"/>
      <c r="B81" s="35"/>
      <c r="C81" s="35"/>
      <c r="D81" s="35"/>
      <c r="E81" s="35"/>
      <c r="F81" s="35"/>
      <c r="G81" s="35"/>
      <c r="H81" s="234" t="s">
        <v>381</v>
      </c>
      <c r="I81" s="306" t="s">
        <v>382</v>
      </c>
      <c r="J81" s="234">
        <f t="shared" si="5"/>
        <v>0.99406898485698258</v>
      </c>
      <c r="K81" s="315">
        <f t="shared" si="6"/>
        <v>-5.9486734691493546E-3</v>
      </c>
      <c r="L81" s="234"/>
      <c r="M81" s="307">
        <v>43661</v>
      </c>
      <c r="N81" s="310">
        <v>3229.4100149999999</v>
      </c>
      <c r="O81" s="319">
        <f t="shared" si="4"/>
        <v>9.9736211645139343E-5</v>
      </c>
      <c r="P81" s="234"/>
      <c r="Q81" s="234"/>
      <c r="R81" s="234"/>
      <c r="S81" s="35"/>
      <c r="T81" s="35"/>
      <c r="U81" s="35"/>
      <c r="V81" s="35"/>
      <c r="W81" s="35"/>
      <c r="X81" s="35"/>
    </row>
    <row r="82" spans="1:24" ht="12.75" customHeight="1" x14ac:dyDescent="0.3">
      <c r="A82" s="35"/>
      <c r="B82" s="35"/>
      <c r="C82" s="35"/>
      <c r="D82" s="35"/>
      <c r="E82" s="35"/>
      <c r="F82" s="35"/>
      <c r="G82" s="35"/>
      <c r="H82" s="234" t="s">
        <v>383</v>
      </c>
      <c r="I82" s="306" t="s">
        <v>384</v>
      </c>
      <c r="J82" s="234">
        <f t="shared" si="5"/>
        <v>1.0116096820635021</v>
      </c>
      <c r="K82" s="315">
        <f t="shared" si="6"/>
        <v>1.1542806807315471E-2</v>
      </c>
      <c r="L82" s="234"/>
      <c r="M82" s="307">
        <v>43631</v>
      </c>
      <c r="N82" s="310">
        <v>3229.0879580000001</v>
      </c>
      <c r="O82" s="319">
        <f t="shared" si="4"/>
        <v>1.3001778267808788E-3</v>
      </c>
      <c r="P82" s="234"/>
      <c r="Q82" s="234"/>
      <c r="R82" s="234"/>
      <c r="S82" s="35"/>
      <c r="T82" s="35"/>
      <c r="U82" s="35"/>
      <c r="V82" s="35"/>
      <c r="W82" s="35"/>
      <c r="X82" s="35"/>
    </row>
    <row r="83" spans="1:24" ht="12.75" customHeight="1" x14ac:dyDescent="0.3">
      <c r="A83" s="35"/>
      <c r="B83" s="35"/>
      <c r="C83" s="35"/>
      <c r="D83" s="35"/>
      <c r="E83" s="35"/>
      <c r="F83" s="35"/>
      <c r="G83" s="35"/>
      <c r="H83" s="234" t="s">
        <v>385</v>
      </c>
      <c r="I83" s="306" t="s">
        <v>386</v>
      </c>
      <c r="J83" s="234">
        <f t="shared" si="5"/>
        <v>1.0083743349161851</v>
      </c>
      <c r="K83" s="315">
        <f t="shared" si="6"/>
        <v>8.3394647147839816E-3</v>
      </c>
      <c r="L83" s="234"/>
      <c r="M83" s="307">
        <v>43600</v>
      </c>
      <c r="N83" s="310">
        <v>3224.8950209999998</v>
      </c>
      <c r="O83" s="319">
        <f t="shared" si="4"/>
        <v>5.6996949535566416E-3</v>
      </c>
      <c r="P83" s="234"/>
      <c r="Q83" s="234"/>
      <c r="R83" s="234"/>
      <c r="S83" s="35"/>
      <c r="T83" s="35"/>
      <c r="U83" s="35"/>
      <c r="V83" s="35"/>
      <c r="W83" s="35"/>
      <c r="X83" s="35"/>
    </row>
    <row r="84" spans="1:24" ht="12.75" customHeight="1" x14ac:dyDescent="0.3">
      <c r="A84" s="35"/>
      <c r="B84" s="35"/>
      <c r="C84" s="35"/>
      <c r="D84" s="35"/>
      <c r="E84" s="35"/>
      <c r="F84" s="35"/>
      <c r="G84" s="35"/>
      <c r="H84" s="234" t="s">
        <v>387</v>
      </c>
      <c r="I84" s="306" t="s">
        <v>388</v>
      </c>
      <c r="J84" s="234">
        <f t="shared" si="5"/>
        <v>0.99643702077929486</v>
      </c>
      <c r="K84" s="315">
        <f t="shared" si="6"/>
        <v>-3.5693417487012579E-3</v>
      </c>
      <c r="L84" s="234"/>
      <c r="M84" s="307">
        <v>43570</v>
      </c>
      <c r="N84" s="311">
        <v>3206.6182749999998</v>
      </c>
      <c r="O84" s="319">
        <f t="shared" si="4"/>
        <v>7.4996155477402024E-3</v>
      </c>
      <c r="P84" s="234"/>
      <c r="Q84" s="234"/>
      <c r="R84" s="234"/>
      <c r="S84" s="35"/>
      <c r="T84" s="35"/>
      <c r="U84" s="35"/>
      <c r="V84" s="35"/>
      <c r="W84" s="35"/>
      <c r="X84" s="35"/>
    </row>
    <row r="85" spans="1:24" ht="12.75" customHeight="1" x14ac:dyDescent="0.3">
      <c r="A85" s="35"/>
      <c r="B85" s="35"/>
      <c r="C85" s="35"/>
      <c r="D85" s="35"/>
      <c r="E85" s="35"/>
      <c r="F85" s="35"/>
      <c r="G85" s="35"/>
      <c r="H85" s="234" t="s">
        <v>389</v>
      </c>
      <c r="I85" s="306" t="s">
        <v>390</v>
      </c>
      <c r="J85" s="234">
        <f t="shared" si="5"/>
        <v>0.99329695142236285</v>
      </c>
      <c r="K85" s="315">
        <f t="shared" si="6"/>
        <v>-6.7256149064176471E-3</v>
      </c>
      <c r="L85" s="234"/>
      <c r="M85" s="307">
        <v>43539</v>
      </c>
      <c r="N85" s="311">
        <v>3182.7488819999999</v>
      </c>
      <c r="O85" s="319">
        <f t="shared" si="4"/>
        <v>4.2994529857978362E-3</v>
      </c>
      <c r="P85" s="234"/>
      <c r="Q85" s="234"/>
      <c r="R85" s="234"/>
      <c r="S85" s="35"/>
      <c r="T85" s="35"/>
      <c r="U85" s="35"/>
      <c r="V85" s="35"/>
      <c r="W85" s="35"/>
      <c r="X85" s="35"/>
    </row>
    <row r="86" spans="1:24" ht="12.75" customHeight="1" x14ac:dyDescent="0.3">
      <c r="A86" s="35"/>
      <c r="B86" s="35"/>
      <c r="C86" s="35"/>
      <c r="D86" s="35"/>
      <c r="E86" s="35"/>
      <c r="F86" s="35"/>
      <c r="G86" s="35"/>
      <c r="H86" s="234" t="s">
        <v>391</v>
      </c>
      <c r="I86" s="306" t="s">
        <v>392</v>
      </c>
      <c r="J86" s="234">
        <f t="shared" si="5"/>
        <v>0.99898177807004518</v>
      </c>
      <c r="K86" s="315">
        <f t="shared" si="6"/>
        <v>-1.0187406700624057E-3</v>
      </c>
      <c r="L86" s="234"/>
      <c r="M86" s="307">
        <v>43511</v>
      </c>
      <c r="N86" s="311">
        <v>3169.1233849999999</v>
      </c>
      <c r="O86" s="319">
        <f t="shared" si="4"/>
        <v>3.1996174828812628E-3</v>
      </c>
      <c r="P86" s="234"/>
      <c r="Q86" s="234"/>
      <c r="R86" s="234"/>
      <c r="S86" s="35"/>
      <c r="T86" s="35"/>
      <c r="U86" s="35"/>
      <c r="V86" s="35"/>
      <c r="W86" s="35"/>
      <c r="X86" s="35"/>
    </row>
    <row r="87" spans="1:24" ht="12.75" customHeight="1" x14ac:dyDescent="0.3">
      <c r="A87" s="35"/>
      <c r="B87" s="35"/>
      <c r="C87" s="35"/>
      <c r="D87" s="35"/>
      <c r="E87" s="35"/>
      <c r="F87" s="35"/>
      <c r="G87" s="35"/>
      <c r="H87" s="234" t="s">
        <v>393</v>
      </c>
      <c r="I87" s="306" t="s">
        <v>394</v>
      </c>
      <c r="J87" s="234">
        <f t="shared" si="5"/>
        <v>1.0026515608051103</v>
      </c>
      <c r="K87" s="315">
        <f t="shared" si="6"/>
        <v>2.6480516196024629E-3</v>
      </c>
      <c r="L87" s="234"/>
      <c r="M87" s="307">
        <v>43480</v>
      </c>
      <c r="N87" s="311">
        <v>3159.0157429999999</v>
      </c>
      <c r="O87" s="319">
        <f t="shared" si="4"/>
        <v>1.5001068483376609E-3</v>
      </c>
      <c r="P87" s="234"/>
      <c r="Q87" s="234"/>
      <c r="R87" s="234"/>
      <c r="S87" s="35"/>
      <c r="T87" s="35"/>
      <c r="U87" s="35"/>
      <c r="V87" s="35"/>
      <c r="W87" s="35"/>
      <c r="X87" s="35"/>
    </row>
    <row r="88" spans="1:24" ht="12.75" customHeight="1" x14ac:dyDescent="0.3">
      <c r="A88" s="35"/>
      <c r="B88" s="35"/>
      <c r="C88" s="35"/>
      <c r="D88" s="35"/>
      <c r="E88" s="35"/>
      <c r="F88" s="35"/>
      <c r="G88" s="35"/>
      <c r="H88" s="234" t="s">
        <v>395</v>
      </c>
      <c r="I88" s="306" t="s">
        <v>396</v>
      </c>
      <c r="J88" s="234">
        <f t="shared" si="5"/>
        <v>1.0132393718661552</v>
      </c>
      <c r="K88" s="315">
        <f t="shared" si="6"/>
        <v>1.3152497318696129E-2</v>
      </c>
      <c r="L88" s="234"/>
      <c r="M88" s="307">
        <v>43449</v>
      </c>
      <c r="N88" s="311">
        <v>3154.2839800000002</v>
      </c>
      <c r="O88" s="319">
        <f t="shared" si="4"/>
        <v>-2.1004410238913075E-3</v>
      </c>
      <c r="P88" s="234"/>
      <c r="Q88" s="234"/>
      <c r="R88" s="234"/>
      <c r="S88" s="35"/>
      <c r="T88" s="35"/>
      <c r="U88" s="35"/>
      <c r="V88" s="35"/>
      <c r="W88" s="35"/>
      <c r="X88" s="35"/>
    </row>
    <row r="89" spans="1:24" ht="12.75" customHeight="1" x14ac:dyDescent="0.3">
      <c r="A89" s="35"/>
      <c r="B89" s="35"/>
      <c r="C89" s="35"/>
      <c r="D89" s="35"/>
      <c r="E89" s="35"/>
      <c r="F89" s="35"/>
      <c r="G89" s="35"/>
      <c r="H89" s="234" t="s">
        <v>397</v>
      </c>
      <c r="I89" s="306" t="s">
        <v>398</v>
      </c>
      <c r="J89" s="234">
        <f t="shared" si="5"/>
        <v>1.0104011671372475</v>
      </c>
      <c r="K89" s="315">
        <f t="shared" si="6"/>
        <v>1.034744717743546E-2</v>
      </c>
      <c r="L89" s="234"/>
      <c r="M89" s="307">
        <v>43419</v>
      </c>
      <c r="N89" s="311">
        <v>3160.9233129999998</v>
      </c>
      <c r="O89" s="319">
        <f t="shared" si="4"/>
        <v>4.4992648566493949E-3</v>
      </c>
      <c r="P89" s="234"/>
      <c r="Q89" s="234"/>
      <c r="R89" s="234"/>
      <c r="S89" s="35"/>
      <c r="T89" s="35"/>
      <c r="U89" s="35"/>
      <c r="V89" s="35"/>
      <c r="W89" s="35"/>
      <c r="X89" s="35"/>
    </row>
    <row r="90" spans="1:24" ht="12.75" customHeight="1" x14ac:dyDescent="0.3">
      <c r="A90" s="35"/>
      <c r="B90" s="35"/>
      <c r="C90" s="35"/>
      <c r="D90" s="35"/>
      <c r="E90" s="35"/>
      <c r="F90" s="35"/>
      <c r="G90" s="35"/>
      <c r="H90" s="234" t="s">
        <v>399</v>
      </c>
      <c r="I90" s="306" t="s">
        <v>400</v>
      </c>
      <c r="J90" s="234">
        <f t="shared" si="5"/>
        <v>0.99816701201222957</v>
      </c>
      <c r="K90" s="315">
        <f t="shared" si="6"/>
        <v>-1.8346699659301882E-3</v>
      </c>
      <c r="L90" s="234"/>
      <c r="M90" s="307">
        <v>43388</v>
      </c>
      <c r="N90" s="311">
        <v>3146.765183</v>
      </c>
      <c r="O90" s="319">
        <f t="shared" si="4"/>
        <v>4.7997058646539158E-3</v>
      </c>
      <c r="P90" s="234"/>
      <c r="Q90" s="234"/>
      <c r="R90" s="234"/>
      <c r="S90" s="35"/>
      <c r="T90" s="35"/>
      <c r="U90" s="35"/>
      <c r="V90" s="35"/>
      <c r="W90" s="35"/>
      <c r="X90" s="35"/>
    </row>
    <row r="91" spans="1:24" ht="12.75" customHeight="1" x14ac:dyDescent="0.3">
      <c r="A91" s="35"/>
      <c r="B91" s="35"/>
      <c r="C91" s="35"/>
      <c r="D91" s="35"/>
      <c r="E91" s="35"/>
      <c r="F91" s="35"/>
      <c r="G91" s="35"/>
      <c r="H91" s="234" t="s">
        <v>401</v>
      </c>
      <c r="I91" s="306" t="s">
        <v>402</v>
      </c>
      <c r="J91" s="234">
        <f t="shared" si="5"/>
        <v>1.0003986344956548</v>
      </c>
      <c r="K91" s="315">
        <f t="shared" si="6"/>
        <v>3.9855506203352738E-4</v>
      </c>
      <c r="L91" s="234"/>
      <c r="M91" s="307">
        <v>43358</v>
      </c>
      <c r="N91" s="311">
        <v>3131.7337819999998</v>
      </c>
      <c r="O91" s="319">
        <f t="shared" si="4"/>
        <v>-8.9901242508843085E-4</v>
      </c>
      <c r="P91" s="234"/>
      <c r="Q91" s="234"/>
      <c r="R91" s="234"/>
      <c r="S91" s="35"/>
      <c r="T91" s="35"/>
      <c r="U91" s="35"/>
      <c r="V91" s="35"/>
      <c r="W91" s="35"/>
      <c r="X91" s="35"/>
    </row>
    <row r="92" spans="1:24" ht="12.75" customHeight="1" x14ac:dyDescent="0.3">
      <c r="A92" s="35"/>
      <c r="B92" s="35"/>
      <c r="C92" s="35"/>
      <c r="D92" s="35"/>
      <c r="E92" s="35"/>
      <c r="F92" s="35"/>
      <c r="G92" s="35"/>
      <c r="H92" s="234" t="s">
        <v>403</v>
      </c>
      <c r="I92" s="306" t="s">
        <v>404</v>
      </c>
      <c r="J92" s="234">
        <f t="shared" si="5"/>
        <v>1.0257228033395038</v>
      </c>
      <c r="K92" s="315">
        <f t="shared" si="6"/>
        <v>2.5397538061779006E-2</v>
      </c>
      <c r="L92" s="234"/>
      <c r="M92" s="307">
        <v>43327</v>
      </c>
      <c r="N92" s="311">
        <v>3134.5517829999999</v>
      </c>
      <c r="O92" s="319">
        <f t="shared" si="4"/>
        <v>3.3006506527848835E-3</v>
      </c>
      <c r="P92" s="234"/>
      <c r="Q92" s="234"/>
      <c r="R92" s="234"/>
      <c r="S92" s="35"/>
      <c r="T92" s="35"/>
      <c r="U92" s="35"/>
      <c r="V92" s="35"/>
      <c r="W92" s="35"/>
      <c r="X92" s="35"/>
    </row>
    <row r="93" spans="1:24" ht="12.75" customHeight="1" x14ac:dyDescent="0.3">
      <c r="A93" s="35"/>
      <c r="B93" s="35"/>
      <c r="C93" s="35"/>
      <c r="D93" s="35"/>
      <c r="E93" s="35"/>
      <c r="F93" s="35"/>
      <c r="G93" s="35"/>
      <c r="H93" s="234" t="s">
        <v>405</v>
      </c>
      <c r="I93" s="306" t="s">
        <v>406</v>
      </c>
      <c r="J93" s="234">
        <f t="shared" si="5"/>
        <v>0.99886383888789876</v>
      </c>
      <c r="K93" s="315">
        <f t="shared" si="6"/>
        <v>-1.1368070324302901E-3</v>
      </c>
      <c r="L93" s="234"/>
      <c r="M93" s="307">
        <v>43296</v>
      </c>
      <c r="N93" s="311">
        <v>3124.239759</v>
      </c>
      <c r="O93" s="319">
        <f t="shared" si="4"/>
        <v>1.2600141928549507E-2</v>
      </c>
      <c r="P93" s="234"/>
      <c r="Q93" s="234"/>
      <c r="R93" s="234"/>
      <c r="S93" s="35"/>
      <c r="T93" s="35"/>
      <c r="U93" s="35"/>
      <c r="V93" s="35"/>
      <c r="W93" s="35"/>
      <c r="X93" s="35"/>
    </row>
    <row r="94" spans="1:24" ht="12.75" customHeight="1" x14ac:dyDescent="0.3">
      <c r="A94" s="35"/>
      <c r="B94" s="35"/>
      <c r="C94" s="35"/>
      <c r="D94" s="35"/>
      <c r="E94" s="35"/>
      <c r="F94" s="35"/>
      <c r="G94" s="35"/>
      <c r="H94" s="234" t="s">
        <v>407</v>
      </c>
      <c r="I94" s="306" t="s">
        <v>408</v>
      </c>
      <c r="J94" s="234">
        <f t="shared" si="5"/>
        <v>1.0017406828832849</v>
      </c>
      <c r="K94" s="315">
        <f t="shared" si="6"/>
        <v>1.7391696506191131E-3</v>
      </c>
      <c r="L94" s="234"/>
      <c r="M94" s="307">
        <v>43266</v>
      </c>
      <c r="N94" s="311">
        <v>3085.363738</v>
      </c>
      <c r="O94" s="319">
        <f t="shared" si="4"/>
        <v>4.0005319449584551E-3</v>
      </c>
      <c r="P94" s="234"/>
      <c r="Q94" s="234"/>
      <c r="R94" s="234"/>
      <c r="S94" s="35"/>
      <c r="T94" s="35"/>
      <c r="U94" s="35"/>
      <c r="V94" s="35"/>
      <c r="W94" s="35"/>
      <c r="X94" s="35"/>
    </row>
    <row r="95" spans="1:24" ht="12.75" customHeight="1" x14ac:dyDescent="0.3">
      <c r="A95" s="35"/>
      <c r="B95" s="35"/>
      <c r="C95" s="35"/>
      <c r="D95" s="35"/>
      <c r="E95" s="35"/>
      <c r="F95" s="35"/>
      <c r="G95" s="35"/>
      <c r="H95" s="234" t="s">
        <v>409</v>
      </c>
      <c r="I95" s="306" t="s">
        <v>410</v>
      </c>
      <c r="J95" s="234">
        <f t="shared" si="5"/>
        <v>0.97894713845660897</v>
      </c>
      <c r="K95" s="315">
        <f t="shared" si="6"/>
        <v>-2.127763335722806E-2</v>
      </c>
      <c r="L95" s="234"/>
      <c r="M95" s="307">
        <v>43235</v>
      </c>
      <c r="N95" s="311">
        <v>3073.0698240000002</v>
      </c>
      <c r="O95" s="319">
        <f t="shared" si="4"/>
        <v>2.1995778508429394E-3</v>
      </c>
      <c r="P95" s="234"/>
      <c r="Q95" s="234"/>
      <c r="R95" s="234"/>
      <c r="S95" s="35"/>
      <c r="T95" s="35"/>
      <c r="U95" s="35"/>
      <c r="V95" s="35"/>
      <c r="W95" s="35"/>
      <c r="X95" s="35"/>
    </row>
    <row r="96" spans="1:24" ht="12.75" customHeight="1" x14ac:dyDescent="0.3">
      <c r="A96" s="35"/>
      <c r="B96" s="35"/>
      <c r="C96" s="35"/>
      <c r="D96" s="35"/>
      <c r="E96" s="35"/>
      <c r="F96" s="35"/>
      <c r="G96" s="35"/>
      <c r="H96" s="234" t="s">
        <v>411</v>
      </c>
      <c r="I96" s="306" t="s">
        <v>412</v>
      </c>
      <c r="J96" s="234">
        <f t="shared" si="5"/>
        <v>1.0071878598514019</v>
      </c>
      <c r="K96" s="315">
        <f t="shared" si="6"/>
        <v>7.1621503109833874E-3</v>
      </c>
      <c r="L96" s="234"/>
      <c r="M96" s="307">
        <v>43205</v>
      </c>
      <c r="N96" s="311">
        <v>3066.3252029999999</v>
      </c>
      <c r="O96" s="319">
        <f t="shared" si="4"/>
        <v>8.9962585362078574E-4</v>
      </c>
      <c r="P96" s="234"/>
      <c r="Q96" s="234"/>
      <c r="R96" s="234"/>
      <c r="S96" s="35"/>
      <c r="T96" s="35"/>
      <c r="U96" s="35"/>
      <c r="V96" s="35"/>
      <c r="W96" s="35"/>
      <c r="X96" s="35"/>
    </row>
    <row r="97" spans="1:24" ht="12.75" customHeight="1" x14ac:dyDescent="0.3">
      <c r="A97" s="35"/>
      <c r="B97" s="35"/>
      <c r="C97" s="35"/>
      <c r="D97" s="35"/>
      <c r="E97" s="35"/>
      <c r="F97" s="35"/>
      <c r="G97" s="35"/>
      <c r="H97" s="234" t="s">
        <v>413</v>
      </c>
      <c r="I97" s="306" t="s">
        <v>414</v>
      </c>
      <c r="J97" s="234">
        <f t="shared" si="5"/>
        <v>0.99990465992930166</v>
      </c>
      <c r="K97" s="315">
        <f t="shared" si="6"/>
        <v>-9.5344615851768237E-5</v>
      </c>
      <c r="L97" s="234"/>
      <c r="M97" s="307">
        <v>43174</v>
      </c>
      <c r="N97" s="311">
        <v>3063.569137</v>
      </c>
      <c r="O97" s="319">
        <f t="shared" si="4"/>
        <v>3.2003441602585303E-3</v>
      </c>
      <c r="P97" s="234"/>
      <c r="Q97" s="234"/>
      <c r="R97" s="234"/>
      <c r="S97" s="35"/>
      <c r="T97" s="35"/>
      <c r="U97" s="35"/>
      <c r="V97" s="35"/>
      <c r="W97" s="35"/>
      <c r="X97" s="35"/>
    </row>
    <row r="98" spans="1:24" ht="12.75" customHeight="1" x14ac:dyDescent="0.3">
      <c r="A98" s="35"/>
      <c r="B98" s="35"/>
      <c r="C98" s="35"/>
      <c r="D98" s="35"/>
      <c r="E98" s="35"/>
      <c r="F98" s="35"/>
      <c r="G98" s="35"/>
      <c r="H98" s="234" t="s">
        <v>415</v>
      </c>
      <c r="I98" s="306" t="s">
        <v>416</v>
      </c>
      <c r="J98" s="234">
        <f t="shared" si="5"/>
        <v>0.99760756798677208</v>
      </c>
      <c r="K98" s="315">
        <f t="shared" si="6"/>
        <v>-2.3952984514485688E-3</v>
      </c>
      <c r="L98" s="234"/>
      <c r="M98" s="307">
        <v>43146</v>
      </c>
      <c r="N98" s="311">
        <v>3053.7959390000001</v>
      </c>
      <c r="O98" s="319">
        <f t="shared" si="4"/>
        <v>2.9004607587923997E-3</v>
      </c>
      <c r="P98" s="234"/>
      <c r="Q98" s="234"/>
      <c r="R98" s="234"/>
      <c r="S98" s="35"/>
      <c r="T98" s="35"/>
      <c r="U98" s="35"/>
      <c r="V98" s="35"/>
      <c r="W98" s="35"/>
      <c r="X98" s="35"/>
    </row>
    <row r="99" spans="1:24" ht="12.75" customHeight="1" x14ac:dyDescent="0.3">
      <c r="A99" s="35"/>
      <c r="B99" s="35"/>
      <c r="C99" s="35"/>
      <c r="D99" s="35"/>
      <c r="E99" s="35"/>
      <c r="F99" s="35"/>
      <c r="G99" s="35"/>
      <c r="H99" s="234" t="s">
        <v>417</v>
      </c>
      <c r="I99" s="306" t="s">
        <v>418</v>
      </c>
      <c r="J99" s="234">
        <f t="shared" si="5"/>
        <v>0.99108120454496018</v>
      </c>
      <c r="K99" s="315">
        <f t="shared" si="6"/>
        <v>-8.9588059860445553E-3</v>
      </c>
      <c r="L99" s="234"/>
      <c r="M99" s="307">
        <v>43115</v>
      </c>
      <c r="N99" s="311">
        <v>3044.96414</v>
      </c>
      <c r="O99" s="319">
        <f t="shared" si="4"/>
        <v>4.4004807418800947E-3</v>
      </c>
      <c r="P99" s="234"/>
      <c r="Q99" s="234"/>
      <c r="R99" s="234"/>
      <c r="S99" s="35"/>
      <c r="T99" s="35"/>
      <c r="U99" s="35"/>
      <c r="V99" s="35"/>
      <c r="W99" s="35"/>
      <c r="X99" s="35"/>
    </row>
    <row r="100" spans="1:24" ht="12.75" customHeight="1" x14ac:dyDescent="0.3">
      <c r="A100" s="35"/>
      <c r="B100" s="35"/>
      <c r="C100" s="35"/>
      <c r="D100" s="35"/>
      <c r="E100" s="35"/>
      <c r="F100" s="35"/>
      <c r="G100" s="35"/>
      <c r="H100" s="234" t="s">
        <v>419</v>
      </c>
      <c r="I100" s="306" t="s">
        <v>420</v>
      </c>
      <c r="J100" s="234">
        <f t="shared" si="5"/>
        <v>1.0168253102212654</v>
      </c>
      <c r="K100" s="315">
        <f t="shared" si="6"/>
        <v>1.6685332618381832E-2</v>
      </c>
      <c r="L100" s="234"/>
      <c r="M100" s="307">
        <v>43084</v>
      </c>
      <c r="N100" s="311">
        <v>3031.6235390000002</v>
      </c>
      <c r="O100" s="319">
        <f t="shared" si="4"/>
        <v>2.8005120399380388E-3</v>
      </c>
      <c r="P100" s="234"/>
      <c r="Q100" s="234"/>
      <c r="R100" s="234"/>
      <c r="S100" s="35"/>
      <c r="T100" s="35"/>
      <c r="U100" s="35"/>
      <c r="V100" s="35"/>
      <c r="W100" s="35"/>
      <c r="X100" s="35"/>
    </row>
    <row r="101" spans="1:24" ht="12.75" customHeight="1" x14ac:dyDescent="0.3">
      <c r="A101" s="35"/>
      <c r="B101" s="35"/>
      <c r="C101" s="35"/>
      <c r="D101" s="35"/>
      <c r="E101" s="35"/>
      <c r="F101" s="35"/>
      <c r="G101" s="35"/>
      <c r="H101" s="234" t="s">
        <v>421</v>
      </c>
      <c r="I101" s="306" t="s">
        <v>422</v>
      </c>
      <c r="J101" s="234">
        <f t="shared" si="5"/>
        <v>0.99791042799437879</v>
      </c>
      <c r="K101" s="315">
        <f t="shared" si="6"/>
        <v>-2.0917582072192244E-3</v>
      </c>
      <c r="L101" s="234"/>
      <c r="M101" s="307">
        <v>43054</v>
      </c>
      <c r="N101" s="311">
        <v>3023.1571509999999</v>
      </c>
      <c r="O101" s="319">
        <f t="shared" si="4"/>
        <v>4.2009287826324593E-3</v>
      </c>
      <c r="P101" s="234"/>
      <c r="Q101" s="234"/>
      <c r="R101" s="234"/>
      <c r="S101" s="35"/>
      <c r="T101" s="35"/>
      <c r="U101" s="35"/>
      <c r="V101" s="35"/>
      <c r="W101" s="35"/>
      <c r="X101" s="35"/>
    </row>
    <row r="102" spans="1:24" ht="12.75" customHeight="1" x14ac:dyDescent="0.3">
      <c r="A102" s="35"/>
      <c r="B102" s="35"/>
      <c r="C102" s="35"/>
      <c r="D102" s="35"/>
      <c r="E102" s="35"/>
      <c r="F102" s="35"/>
      <c r="G102" s="35"/>
      <c r="H102" s="234" t="s">
        <v>423</v>
      </c>
      <c r="I102" s="306" t="s">
        <v>424</v>
      </c>
      <c r="J102" s="234">
        <f t="shared" si="5"/>
        <v>0.9955100127448252</v>
      </c>
      <c r="K102" s="315">
        <f t="shared" si="6"/>
        <v>-4.500097522615939E-3</v>
      </c>
      <c r="L102" s="234"/>
      <c r="M102" s="307">
        <v>43023</v>
      </c>
      <c r="N102" s="311">
        <v>3010.5102120000001</v>
      </c>
      <c r="O102" s="319">
        <f t="shared" si="4"/>
        <v>1.598987723119061E-3</v>
      </c>
      <c r="P102" s="234"/>
      <c r="Q102" s="234"/>
      <c r="R102" s="234"/>
      <c r="S102" s="35"/>
      <c r="T102" s="35"/>
      <c r="U102" s="35"/>
      <c r="V102" s="35"/>
      <c r="W102" s="35"/>
      <c r="X102" s="35"/>
    </row>
    <row r="103" spans="1:24" ht="12.75" customHeight="1" x14ac:dyDescent="0.3">
      <c r="A103" s="35"/>
      <c r="B103" s="35"/>
      <c r="C103" s="35"/>
      <c r="D103" s="35"/>
      <c r="E103" s="35"/>
      <c r="F103" s="35"/>
      <c r="G103" s="35"/>
      <c r="H103" s="234" t="s">
        <v>425</v>
      </c>
      <c r="I103" s="306" t="s">
        <v>426</v>
      </c>
      <c r="J103" s="234">
        <f t="shared" si="5"/>
        <v>1.0147764943733368</v>
      </c>
      <c r="K103" s="315">
        <f t="shared" si="6"/>
        <v>1.4668385657755589E-2</v>
      </c>
      <c r="L103" s="234"/>
      <c r="M103" s="307">
        <v>42993</v>
      </c>
      <c r="N103" s="311">
        <v>3005.7041279999999</v>
      </c>
      <c r="O103" s="319">
        <f t="shared" si="4"/>
        <v>1.8993077458622726E-3</v>
      </c>
      <c r="P103" s="234"/>
      <c r="Q103" s="234"/>
      <c r="R103" s="234"/>
      <c r="S103" s="35"/>
      <c r="T103" s="35"/>
      <c r="U103" s="35"/>
      <c r="V103" s="35"/>
      <c r="W103" s="35"/>
      <c r="X103" s="35"/>
    </row>
    <row r="104" spans="1:24" ht="12.75" customHeight="1" x14ac:dyDescent="0.3">
      <c r="A104" s="35"/>
      <c r="B104" s="35"/>
      <c r="C104" s="35"/>
      <c r="D104" s="35"/>
      <c r="E104" s="35"/>
      <c r="F104" s="35"/>
      <c r="G104" s="35"/>
      <c r="H104" s="234" t="s">
        <v>427</v>
      </c>
      <c r="I104" s="306" t="s">
        <v>428</v>
      </c>
      <c r="J104" s="234">
        <f t="shared" si="5"/>
        <v>1.0102801703099069</v>
      </c>
      <c r="K104" s="315">
        <f t="shared" si="6"/>
        <v>1.0227688732357678E-2</v>
      </c>
      <c r="L104" s="234"/>
      <c r="M104" s="307">
        <v>42962</v>
      </c>
      <c r="N104" s="311">
        <v>3000.0061930000002</v>
      </c>
      <c r="O104" s="319">
        <f t="shared" si="4"/>
        <v>2.4005281249885897E-3</v>
      </c>
      <c r="P104" s="234"/>
      <c r="Q104" s="234"/>
      <c r="R104" s="234"/>
      <c r="S104" s="35"/>
      <c r="T104" s="35"/>
      <c r="U104" s="35"/>
      <c r="V104" s="35"/>
      <c r="W104" s="35"/>
      <c r="X104" s="35"/>
    </row>
    <row r="105" spans="1:24" ht="12.75" customHeight="1" x14ac:dyDescent="0.3">
      <c r="A105" s="35"/>
      <c r="B105" s="35"/>
      <c r="C105" s="35"/>
      <c r="D105" s="35"/>
      <c r="E105" s="35"/>
      <c r="F105" s="35"/>
      <c r="G105" s="35"/>
      <c r="H105" s="234" t="s">
        <v>429</v>
      </c>
      <c r="I105" s="306" t="s">
        <v>430</v>
      </c>
      <c r="J105" s="234">
        <f t="shared" si="5"/>
        <v>1.0014890464838198</v>
      </c>
      <c r="K105" s="315">
        <f t="shared" si="6"/>
        <v>1.4879389534107903E-3</v>
      </c>
      <c r="L105" s="234"/>
      <c r="M105" s="307">
        <v>42931</v>
      </c>
      <c r="N105" s="311">
        <v>2992.8218400000001</v>
      </c>
      <c r="O105" s="319">
        <f t="shared" si="4"/>
        <v>-2.3000323427380502E-3</v>
      </c>
      <c r="P105" s="234"/>
      <c r="Q105" s="234"/>
      <c r="R105" s="234"/>
      <c r="S105" s="35"/>
      <c r="T105" s="35"/>
      <c r="U105" s="35"/>
      <c r="V105" s="35"/>
      <c r="W105" s="35"/>
      <c r="X105" s="35"/>
    </row>
    <row r="106" spans="1:24" ht="12.75" customHeight="1" x14ac:dyDescent="0.3">
      <c r="A106" s="35"/>
      <c r="B106" s="35"/>
      <c r="C106" s="35"/>
      <c r="D106" s="35"/>
      <c r="E106" s="35"/>
      <c r="F106" s="35"/>
      <c r="G106" s="35"/>
      <c r="H106" s="234" t="s">
        <v>431</v>
      </c>
      <c r="I106" s="306" t="s">
        <v>432</v>
      </c>
      <c r="J106" s="234">
        <f t="shared" si="5"/>
        <v>1.0040093627302931</v>
      </c>
      <c r="K106" s="315">
        <f t="shared" si="6"/>
        <v>4.0013466546346636E-3</v>
      </c>
      <c r="L106" s="234"/>
      <c r="M106" s="307">
        <v>42901</v>
      </c>
      <c r="N106" s="311">
        <v>2999.7212960000002</v>
      </c>
      <c r="O106" s="319">
        <f t="shared" si="4"/>
        <v>3.1003801195772047E-3</v>
      </c>
      <c r="P106" s="234"/>
      <c r="Q106" s="234"/>
      <c r="R106" s="234"/>
      <c r="S106" s="35"/>
      <c r="T106" s="35"/>
      <c r="U106" s="35"/>
      <c r="V106" s="35"/>
      <c r="W106" s="35"/>
      <c r="X106" s="35"/>
    </row>
    <row r="107" spans="1:24" ht="12.75" customHeight="1" x14ac:dyDescent="0.3">
      <c r="A107" s="35"/>
      <c r="B107" s="35"/>
      <c r="C107" s="35"/>
      <c r="D107" s="35"/>
      <c r="E107" s="35"/>
      <c r="F107" s="35"/>
      <c r="G107" s="35"/>
      <c r="H107" s="234" t="s">
        <v>433</v>
      </c>
      <c r="I107" s="306" t="s">
        <v>434</v>
      </c>
      <c r="J107" s="234">
        <f t="shared" si="5"/>
        <v>0.99638880529641893</v>
      </c>
      <c r="K107" s="315">
        <f t="shared" si="6"/>
        <v>-3.6177308073479719E-3</v>
      </c>
      <c r="L107" s="234"/>
      <c r="M107" s="307">
        <v>42870</v>
      </c>
      <c r="N107" s="311">
        <v>2990.4497649999998</v>
      </c>
      <c r="O107" s="319">
        <f t="shared" si="4"/>
        <v>1.399924018571795E-3</v>
      </c>
      <c r="P107" s="234"/>
      <c r="Q107" s="234"/>
      <c r="R107" s="234"/>
      <c r="S107" s="35"/>
      <c r="T107" s="35"/>
      <c r="U107" s="35"/>
      <c r="V107" s="35"/>
      <c r="W107" s="35"/>
      <c r="X107" s="35"/>
    </row>
    <row r="108" spans="1:24" ht="12.75" customHeight="1" x14ac:dyDescent="0.3">
      <c r="A108" s="35"/>
      <c r="B108" s="35"/>
      <c r="C108" s="35"/>
      <c r="D108" s="35"/>
      <c r="E108" s="35"/>
      <c r="F108" s="35"/>
      <c r="G108" s="35"/>
      <c r="H108" s="234" t="s">
        <v>435</v>
      </c>
      <c r="I108" s="306" t="s">
        <v>436</v>
      </c>
      <c r="J108" s="234">
        <f t="shared" si="5"/>
        <v>0.99203654085844151</v>
      </c>
      <c r="K108" s="315">
        <f t="shared" si="6"/>
        <v>-7.9953368328924291E-3</v>
      </c>
      <c r="L108" s="234"/>
      <c r="M108" s="307">
        <v>42840</v>
      </c>
      <c r="N108" s="311">
        <v>2986.2692149999998</v>
      </c>
      <c r="O108" s="319">
        <f t="shared" si="4"/>
        <v>2.4991322601269489E-3</v>
      </c>
      <c r="P108" s="234"/>
      <c r="Q108" s="234"/>
      <c r="R108" s="234"/>
      <c r="S108" s="35"/>
      <c r="T108" s="35"/>
      <c r="U108" s="35"/>
      <c r="V108" s="35"/>
      <c r="W108" s="35"/>
      <c r="X108" s="35"/>
    </row>
    <row r="109" spans="1:24" ht="12.75" customHeight="1" x14ac:dyDescent="0.3">
      <c r="A109" s="35"/>
      <c r="B109" s="35"/>
      <c r="C109" s="35"/>
      <c r="D109" s="35"/>
      <c r="E109" s="35"/>
      <c r="F109" s="35"/>
      <c r="G109" s="35"/>
      <c r="H109" s="234" t="s">
        <v>437</v>
      </c>
      <c r="I109" s="306" t="s">
        <v>438</v>
      </c>
      <c r="J109" s="234">
        <f t="shared" si="5"/>
        <v>1.0096833506654006</v>
      </c>
      <c r="K109" s="315">
        <f t="shared" si="6"/>
        <v>9.6367675046466032E-3</v>
      </c>
      <c r="L109" s="234"/>
      <c r="M109" s="307">
        <v>42809</v>
      </c>
      <c r="N109" s="311">
        <v>2978.8247379999998</v>
      </c>
      <c r="O109" s="319">
        <f t="shared" si="4"/>
        <v>3.3000615248410664E-3</v>
      </c>
      <c r="P109" s="234"/>
      <c r="Q109" s="234"/>
      <c r="R109" s="234"/>
      <c r="S109" s="35"/>
      <c r="T109" s="35"/>
      <c r="U109" s="35"/>
      <c r="V109" s="35"/>
      <c r="W109" s="35"/>
      <c r="X109" s="35"/>
    </row>
    <row r="110" spans="1:24" ht="12.75" customHeight="1" x14ac:dyDescent="0.3">
      <c r="A110" s="35"/>
      <c r="B110" s="35"/>
      <c r="C110" s="35"/>
      <c r="D110" s="35"/>
      <c r="E110" s="35"/>
      <c r="F110" s="35"/>
      <c r="G110" s="35"/>
      <c r="H110" s="234" t="s">
        <v>439</v>
      </c>
      <c r="I110" s="306" t="s">
        <v>440</v>
      </c>
      <c r="J110" s="234">
        <f t="shared" si="5"/>
        <v>1.0043290698554455</v>
      </c>
      <c r="K110" s="315">
        <f t="shared" si="6"/>
        <v>4.3197263885138559E-3</v>
      </c>
      <c r="L110" s="234"/>
      <c r="M110" s="307">
        <v>42781</v>
      </c>
      <c r="N110" s="311">
        <v>2969.0267669999998</v>
      </c>
      <c r="O110" s="319">
        <f t="shared" si="4"/>
        <v>3.8004899673375028E-3</v>
      </c>
      <c r="P110" s="234"/>
      <c r="Q110" s="234"/>
      <c r="R110" s="234"/>
      <c r="S110" s="35"/>
      <c r="T110" s="35"/>
      <c r="U110" s="35"/>
      <c r="V110" s="35"/>
      <c r="W110" s="35"/>
      <c r="X110" s="35"/>
    </row>
    <row r="111" spans="1:24" ht="12.75" customHeight="1" x14ac:dyDescent="0.3">
      <c r="A111" s="35"/>
      <c r="B111" s="35"/>
      <c r="C111" s="35"/>
      <c r="D111" s="35"/>
      <c r="E111" s="35"/>
      <c r="F111" s="35"/>
      <c r="G111" s="35"/>
      <c r="H111" s="234" t="s">
        <v>441</v>
      </c>
      <c r="I111" s="306" t="s">
        <v>442</v>
      </c>
      <c r="J111" s="234">
        <f t="shared" si="5"/>
        <v>0.98945618475639896</v>
      </c>
      <c r="K111" s="315">
        <f t="shared" si="6"/>
        <v>-1.0599795105462299E-2</v>
      </c>
      <c r="L111" s="234"/>
      <c r="M111" s="307">
        <v>42750</v>
      </c>
      <c r="N111" s="311">
        <v>2957.7857319999998</v>
      </c>
      <c r="O111" s="319">
        <f t="shared" si="4"/>
        <v>2.9991052253973056E-3</v>
      </c>
      <c r="P111" s="234"/>
      <c r="Q111" s="234"/>
      <c r="R111" s="234"/>
      <c r="S111" s="35"/>
      <c r="T111" s="35"/>
      <c r="U111" s="35"/>
      <c r="V111" s="35"/>
      <c r="W111" s="35"/>
      <c r="X111" s="35"/>
    </row>
    <row r="112" spans="1:24" ht="12.75" customHeight="1" x14ac:dyDescent="0.3">
      <c r="A112" s="35"/>
      <c r="B112" s="35"/>
      <c r="C112" s="35"/>
      <c r="D112" s="35"/>
      <c r="E112" s="35"/>
      <c r="F112" s="35"/>
      <c r="G112" s="35"/>
      <c r="H112" s="234" t="s">
        <v>443</v>
      </c>
      <c r="I112" s="306" t="s">
        <v>444</v>
      </c>
      <c r="J112" s="234">
        <f t="shared" si="5"/>
        <v>0.99789269167538486</v>
      </c>
      <c r="K112" s="315">
        <f t="shared" si="6"/>
        <v>-2.1095318230830323E-3</v>
      </c>
      <c r="L112" s="234"/>
      <c r="M112" s="307">
        <v>42719</v>
      </c>
      <c r="N112" s="311">
        <v>2948.941546</v>
      </c>
      <c r="O112" s="319">
        <f t="shared" si="4"/>
        <v>1.801020851670537E-3</v>
      </c>
      <c r="P112" s="234"/>
      <c r="Q112" s="234"/>
      <c r="R112" s="234"/>
      <c r="S112" s="35"/>
      <c r="T112" s="35"/>
      <c r="U112" s="35"/>
      <c r="V112" s="35"/>
      <c r="W112" s="35"/>
      <c r="X112" s="35"/>
    </row>
    <row r="113" spans="1:24" ht="12.75" customHeight="1" x14ac:dyDescent="0.3">
      <c r="A113" s="35"/>
      <c r="B113" s="35"/>
      <c r="C113" s="35"/>
      <c r="D113" s="35"/>
      <c r="E113" s="35"/>
      <c r="F113" s="35"/>
      <c r="G113" s="35"/>
      <c r="H113" s="234" t="s">
        <v>445</v>
      </c>
      <c r="I113" s="306" t="s">
        <v>446</v>
      </c>
      <c r="J113" s="234">
        <f t="shared" si="5"/>
        <v>0.98864484289693177</v>
      </c>
      <c r="K113" s="315">
        <f t="shared" si="6"/>
        <v>-1.1420119137069345E-2</v>
      </c>
      <c r="L113" s="234"/>
      <c r="M113" s="307">
        <v>42689</v>
      </c>
      <c r="N113" s="311">
        <v>2943.6399889999998</v>
      </c>
      <c r="O113" s="319">
        <f t="shared" si="4"/>
        <v>2.600975085957189E-3</v>
      </c>
      <c r="P113" s="234"/>
      <c r="Q113" s="234"/>
      <c r="R113" s="234"/>
      <c r="S113" s="35"/>
      <c r="T113" s="35"/>
      <c r="U113" s="35"/>
      <c r="V113" s="35"/>
      <c r="W113" s="35"/>
      <c r="X113" s="35"/>
    </row>
    <row r="114" spans="1:24" ht="12.75" customHeight="1" x14ac:dyDescent="0.3">
      <c r="A114" s="35"/>
      <c r="B114" s="35"/>
      <c r="C114" s="35"/>
      <c r="D114" s="35"/>
      <c r="E114" s="35"/>
      <c r="F114" s="35"/>
      <c r="G114" s="35"/>
      <c r="H114" s="234" t="s">
        <v>447</v>
      </c>
      <c r="I114" s="306" t="s">
        <v>448</v>
      </c>
      <c r="J114" s="234">
        <f t="shared" si="5"/>
        <v>1.0098555611925155</v>
      </c>
      <c r="K114" s="315">
        <f t="shared" si="6"/>
        <v>9.8073119061643597E-3</v>
      </c>
      <c r="L114" s="234"/>
      <c r="M114" s="307">
        <v>42658</v>
      </c>
      <c r="N114" s="311">
        <v>2936.0035170000001</v>
      </c>
      <c r="O114" s="319">
        <f t="shared" si="4"/>
        <v>8.0012817698208556E-4</v>
      </c>
      <c r="P114" s="234"/>
      <c r="Q114" s="234"/>
      <c r="R114" s="234"/>
      <c r="S114" s="35"/>
      <c r="T114" s="35"/>
      <c r="U114" s="35"/>
      <c r="V114" s="35"/>
      <c r="W114" s="35"/>
      <c r="X114" s="35"/>
    </row>
    <row r="115" spans="1:24" ht="12.75" customHeight="1" x14ac:dyDescent="0.3">
      <c r="A115" s="35"/>
      <c r="B115" s="35"/>
      <c r="C115" s="35"/>
      <c r="D115" s="35"/>
      <c r="E115" s="35"/>
      <c r="F115" s="35"/>
      <c r="G115" s="35"/>
      <c r="H115" s="234" t="s">
        <v>449</v>
      </c>
      <c r="I115" s="306" t="s">
        <v>450</v>
      </c>
      <c r="J115" s="234">
        <f t="shared" si="5"/>
        <v>0.99892681472648681</v>
      </c>
      <c r="K115" s="315">
        <f t="shared" si="6"/>
        <v>-1.0737615491660882E-3</v>
      </c>
      <c r="L115" s="234"/>
      <c r="M115" s="307">
        <v>42628</v>
      </c>
      <c r="N115" s="311">
        <v>2933.6562159999999</v>
      </c>
      <c r="O115" s="319">
        <f t="shared" si="4"/>
        <v>4.3999244941006722E-3</v>
      </c>
      <c r="P115" s="234"/>
      <c r="Q115" s="234"/>
      <c r="R115" s="234"/>
      <c r="S115" s="35"/>
      <c r="T115" s="35"/>
      <c r="U115" s="35"/>
      <c r="V115" s="35"/>
      <c r="W115" s="35"/>
      <c r="X115" s="35"/>
    </row>
    <row r="116" spans="1:24" ht="12.75" customHeight="1" x14ac:dyDescent="0.3">
      <c r="A116" s="35"/>
      <c r="B116" s="35"/>
      <c r="C116" s="35"/>
      <c r="D116" s="35"/>
      <c r="E116" s="35"/>
      <c r="F116" s="35"/>
      <c r="G116" s="35"/>
      <c r="H116" s="234" t="s">
        <v>451</v>
      </c>
      <c r="I116" s="306" t="s">
        <v>452</v>
      </c>
      <c r="J116" s="234">
        <f t="shared" si="5"/>
        <v>1.0059828162720608</v>
      </c>
      <c r="K116" s="315">
        <f t="shared" si="6"/>
        <v>5.9649902911651561E-3</v>
      </c>
      <c r="L116" s="234"/>
      <c r="M116" s="307">
        <v>42597</v>
      </c>
      <c r="N116" s="311">
        <v>2920.8048950000002</v>
      </c>
      <c r="O116" s="319">
        <f t="shared" si="4"/>
        <v>5.2007955086846129E-3</v>
      </c>
      <c r="P116" s="234"/>
      <c r="Q116" s="234"/>
      <c r="R116" s="234"/>
      <c r="S116" s="35"/>
      <c r="T116" s="35"/>
      <c r="U116" s="35"/>
      <c r="V116" s="35"/>
      <c r="W116" s="35"/>
      <c r="X116" s="35"/>
    </row>
    <row r="117" spans="1:24" ht="12.75" customHeight="1" x14ac:dyDescent="0.3">
      <c r="A117" s="35"/>
      <c r="B117" s="35"/>
      <c r="C117" s="35"/>
      <c r="D117" s="35"/>
      <c r="E117" s="35"/>
      <c r="F117" s="35"/>
      <c r="G117" s="35"/>
      <c r="H117" s="234" t="s">
        <v>453</v>
      </c>
      <c r="I117" s="306" t="s">
        <v>454</v>
      </c>
      <c r="J117" s="234">
        <f t="shared" si="5"/>
        <v>0.98391879730307907</v>
      </c>
      <c r="K117" s="315">
        <f t="shared" si="6"/>
        <v>-1.6211908401075729E-2</v>
      </c>
      <c r="L117" s="234"/>
      <c r="M117" s="307">
        <v>42566</v>
      </c>
      <c r="N117" s="311">
        <v>2905.6929799999998</v>
      </c>
      <c r="O117" s="319">
        <f t="shared" si="4"/>
        <v>3.499293063483057E-3</v>
      </c>
      <c r="P117" s="234"/>
      <c r="Q117" s="234"/>
      <c r="R117" s="234"/>
      <c r="S117" s="35"/>
      <c r="T117" s="35"/>
      <c r="U117" s="35"/>
      <c r="V117" s="35"/>
      <c r="W117" s="35"/>
      <c r="X117" s="35"/>
    </row>
    <row r="118" spans="1:24" ht="12.75" customHeight="1" x14ac:dyDescent="0.3">
      <c r="A118" s="35"/>
      <c r="B118" s="35"/>
      <c r="C118" s="35"/>
      <c r="D118" s="35"/>
      <c r="E118" s="35"/>
      <c r="F118" s="35"/>
      <c r="G118" s="35"/>
      <c r="H118" s="234" t="s">
        <v>455</v>
      </c>
      <c r="I118" s="306" t="s">
        <v>456</v>
      </c>
      <c r="J118" s="234">
        <f t="shared" si="5"/>
        <v>1.000346825074715</v>
      </c>
      <c r="K118" s="315">
        <f t="shared" si="6"/>
        <v>3.467649448013654E-4</v>
      </c>
      <c r="L118" s="234"/>
      <c r="M118" s="307">
        <v>42536</v>
      </c>
      <c r="N118" s="311">
        <v>2895.5605650000002</v>
      </c>
      <c r="O118" s="319">
        <f t="shared" si="4"/>
        <v>7.7990105069303158E-3</v>
      </c>
      <c r="P118" s="234"/>
      <c r="Q118" s="234"/>
      <c r="R118" s="234"/>
      <c r="S118" s="35"/>
      <c r="T118" s="35"/>
      <c r="U118" s="35"/>
      <c r="V118" s="35"/>
      <c r="W118" s="35"/>
      <c r="X118" s="35"/>
    </row>
    <row r="119" spans="1:24" ht="12.75" customHeight="1" x14ac:dyDescent="0.3">
      <c r="A119" s="35"/>
      <c r="B119" s="35"/>
      <c r="C119" s="35"/>
      <c r="D119" s="35"/>
      <c r="E119" s="35"/>
      <c r="F119" s="35"/>
      <c r="G119" s="35"/>
      <c r="H119" s="234" t="s">
        <v>457</v>
      </c>
      <c r="I119" s="306" t="s">
        <v>458</v>
      </c>
      <c r="J119" s="234">
        <f t="shared" si="5"/>
        <v>1.0019593345656193</v>
      </c>
      <c r="K119" s="315">
        <f t="shared" si="6"/>
        <v>1.9574175732604074E-3</v>
      </c>
      <c r="L119" s="234"/>
      <c r="M119" s="307">
        <v>42505</v>
      </c>
      <c r="N119" s="311">
        <v>2873.1528159999998</v>
      </c>
      <c r="O119" s="319">
        <f t="shared" si="4"/>
        <v>6.1007347905584364E-3</v>
      </c>
      <c r="P119" s="234"/>
      <c r="Q119" s="234"/>
      <c r="R119" s="234"/>
      <c r="S119" s="35"/>
      <c r="T119" s="35"/>
      <c r="U119" s="35"/>
      <c r="V119" s="35"/>
      <c r="W119" s="35"/>
      <c r="X119" s="35"/>
    </row>
    <row r="120" spans="1:24" ht="12.75" customHeight="1" x14ac:dyDescent="0.3">
      <c r="A120" s="35"/>
      <c r="B120" s="35"/>
      <c r="C120" s="35"/>
      <c r="D120" s="35"/>
      <c r="E120" s="35"/>
      <c r="F120" s="35"/>
      <c r="G120" s="35"/>
      <c r="H120" s="234" t="s">
        <v>459</v>
      </c>
      <c r="I120" s="306" t="s">
        <v>460</v>
      </c>
      <c r="J120" s="234">
        <f t="shared" si="5"/>
        <v>0.99964522757173058</v>
      </c>
      <c r="K120" s="315">
        <f t="shared" si="6"/>
        <v>-3.5483537489561175E-4</v>
      </c>
      <c r="L120" s="234"/>
      <c r="M120" s="307">
        <v>42475</v>
      </c>
      <c r="N120" s="311">
        <v>2855.7307599999999</v>
      </c>
      <c r="O120" s="319">
        <f t="shared" si="4"/>
        <v>4.2995483095994765E-3</v>
      </c>
      <c r="P120" s="234"/>
      <c r="Q120" s="234"/>
      <c r="R120" s="234"/>
      <c r="S120" s="35"/>
      <c r="T120" s="35"/>
      <c r="U120" s="35"/>
      <c r="V120" s="35"/>
      <c r="W120" s="35"/>
      <c r="X120" s="35"/>
    </row>
    <row r="121" spans="1:24" ht="12.75" customHeight="1" x14ac:dyDescent="0.3">
      <c r="A121" s="35"/>
      <c r="B121" s="35"/>
      <c r="C121" s="35"/>
      <c r="D121" s="35"/>
      <c r="E121" s="35"/>
      <c r="F121" s="35"/>
      <c r="G121" s="35"/>
      <c r="H121" s="234" t="s">
        <v>461</v>
      </c>
      <c r="I121" s="306" t="s">
        <v>462</v>
      </c>
      <c r="J121" s="234">
        <f t="shared" si="5"/>
        <v>0.99347221100398719</v>
      </c>
      <c r="K121" s="315">
        <f t="shared" si="6"/>
        <v>-6.5491881877092631E-3</v>
      </c>
      <c r="L121" s="234"/>
      <c r="M121" s="307">
        <v>42444</v>
      </c>
      <c r="N121" s="311">
        <v>2843.5049730000001</v>
      </c>
      <c r="O121" s="319">
        <f t="shared" si="4"/>
        <v>8.9995451926979577E-3</v>
      </c>
      <c r="P121" s="234"/>
      <c r="Q121" s="234"/>
      <c r="R121" s="234"/>
      <c r="S121" s="35"/>
      <c r="T121" s="35"/>
      <c r="U121" s="35"/>
      <c r="V121" s="35"/>
      <c r="W121" s="35"/>
      <c r="X121" s="35"/>
    </row>
    <row r="122" spans="1:24" ht="12.75" customHeight="1" x14ac:dyDescent="0.3">
      <c r="A122" s="35"/>
      <c r="B122" s="35"/>
      <c r="C122" s="35"/>
      <c r="D122" s="35"/>
      <c r="E122" s="35"/>
      <c r="F122" s="35"/>
      <c r="G122" s="35"/>
      <c r="H122" s="234" t="s">
        <v>463</v>
      </c>
      <c r="I122" s="306" t="s">
        <v>464</v>
      </c>
      <c r="J122" s="234">
        <f t="shared" si="5"/>
        <v>0.99594126164601948</v>
      </c>
      <c r="K122" s="315">
        <f t="shared" si="6"/>
        <v>-4.0669973875727865E-3</v>
      </c>
      <c r="L122" s="234"/>
      <c r="M122" s="307">
        <v>42415</v>
      </c>
      <c r="N122" s="310">
        <v>2818.1429680000001</v>
      </c>
      <c r="O122" s="319">
        <f t="shared" si="4"/>
        <v>1.2699274480974359E-2</v>
      </c>
      <c r="P122" s="234"/>
      <c r="Q122" s="234"/>
      <c r="R122" s="234"/>
      <c r="S122" s="35"/>
      <c r="T122" s="35"/>
      <c r="U122" s="35"/>
      <c r="V122" s="35"/>
      <c r="W122" s="35"/>
      <c r="X122" s="35"/>
    </row>
    <row r="123" spans="1:24" ht="12.75" customHeight="1" x14ac:dyDescent="0.3">
      <c r="A123" s="35"/>
      <c r="B123" s="35"/>
      <c r="C123" s="35"/>
      <c r="D123" s="35"/>
      <c r="E123" s="35"/>
      <c r="F123" s="35"/>
      <c r="G123" s="35"/>
      <c r="H123" s="234" t="s">
        <v>465</v>
      </c>
      <c r="I123" s="306" t="s">
        <v>466</v>
      </c>
      <c r="J123" s="234">
        <f t="shared" si="5"/>
        <v>0.9946898277467412</v>
      </c>
      <c r="K123" s="315">
        <f t="shared" si="6"/>
        <v>-5.3243213295214795E-3</v>
      </c>
      <c r="L123" s="234"/>
      <c r="M123" s="307">
        <v>42384</v>
      </c>
      <c r="N123" s="310">
        <v>2782.8033839999998</v>
      </c>
      <c r="O123" s="319">
        <f t="shared" si="4"/>
        <v>9.5990293662590945E-3</v>
      </c>
      <c r="P123" s="234"/>
      <c r="Q123" s="234"/>
      <c r="R123" s="234"/>
      <c r="S123" s="35"/>
      <c r="T123" s="35"/>
      <c r="U123" s="35"/>
      <c r="V123" s="35"/>
      <c r="W123" s="35"/>
      <c r="X123" s="35"/>
    </row>
    <row r="124" spans="1:24" ht="12.75" customHeight="1" x14ac:dyDescent="0.3">
      <c r="A124" s="35"/>
      <c r="B124" s="35"/>
      <c r="C124" s="35"/>
      <c r="D124" s="35"/>
      <c r="E124" s="35"/>
      <c r="F124" s="35"/>
      <c r="G124" s="35"/>
      <c r="H124" s="234" t="s">
        <v>467</v>
      </c>
      <c r="I124" s="306" t="s">
        <v>468</v>
      </c>
      <c r="J124" s="234">
        <f t="shared" si="5"/>
        <v>0.98685599017968029</v>
      </c>
      <c r="K124" s="315">
        <f t="shared" si="6"/>
        <v>-1.3231156800260154E-2</v>
      </c>
      <c r="L124" s="234"/>
      <c r="M124" s="307">
        <v>42353</v>
      </c>
      <c r="N124" s="310">
        <v>2756.3451460000001</v>
      </c>
      <c r="O124" s="319">
        <f t="shared" si="4"/>
        <v>1.0099978650530873E-2</v>
      </c>
      <c r="P124" s="234"/>
      <c r="Q124" s="234"/>
      <c r="R124" s="234"/>
      <c r="S124" s="35"/>
      <c r="T124" s="35"/>
      <c r="U124" s="35"/>
      <c r="V124" s="35"/>
      <c r="W124" s="35"/>
      <c r="X124" s="35"/>
    </row>
    <row r="125" spans="1:24" ht="12.75" customHeight="1" x14ac:dyDescent="0.3">
      <c r="A125" s="35"/>
      <c r="B125" s="35"/>
      <c r="C125" s="35"/>
      <c r="D125" s="35"/>
      <c r="E125" s="35"/>
      <c r="F125" s="35"/>
      <c r="G125" s="35"/>
      <c r="H125" s="234" t="s">
        <v>469</v>
      </c>
      <c r="I125" s="306" t="s">
        <v>470</v>
      </c>
      <c r="J125" s="234">
        <f t="shared" si="5"/>
        <v>0.99865224279702636</v>
      </c>
      <c r="K125" s="315">
        <f t="shared" si="6"/>
        <v>-1.3486662445827784E-3</v>
      </c>
      <c r="L125" s="234"/>
      <c r="M125" s="307">
        <v>42323</v>
      </c>
      <c r="N125" s="310">
        <v>2728.7844810000001</v>
      </c>
      <c r="O125" s="319">
        <f t="shared" si="4"/>
        <v>8.198859559738635E-3</v>
      </c>
      <c r="P125" s="234"/>
      <c r="Q125" s="234"/>
      <c r="R125" s="234"/>
      <c r="S125" s="35"/>
      <c r="T125" s="35"/>
      <c r="U125" s="35"/>
      <c r="V125" s="35"/>
      <c r="W125" s="35"/>
      <c r="X125" s="35"/>
    </row>
    <row r="126" spans="1:24" ht="12.75" customHeight="1" x14ac:dyDescent="0.3">
      <c r="A126" s="35"/>
      <c r="B126" s="35"/>
      <c r="C126" s="35"/>
      <c r="D126" s="35"/>
      <c r="E126" s="35"/>
      <c r="F126" s="35"/>
      <c r="G126" s="35"/>
      <c r="H126" s="234" t="s">
        <v>471</v>
      </c>
      <c r="I126" s="306" t="s">
        <v>472</v>
      </c>
      <c r="J126" s="234">
        <f t="shared" si="5"/>
        <v>0.98744204155310944</v>
      </c>
      <c r="K126" s="315">
        <f t="shared" si="6"/>
        <v>-1.2637476027425728E-2</v>
      </c>
      <c r="L126" s="234"/>
      <c r="M126" s="307">
        <v>42292</v>
      </c>
      <c r="N126" s="310">
        <v>2706.5935009999998</v>
      </c>
      <c r="O126" s="319">
        <f t="shared" si="4"/>
        <v>5.3995605984760208E-3</v>
      </c>
      <c r="P126" s="234"/>
      <c r="Q126" s="234"/>
      <c r="R126" s="234"/>
      <c r="S126" s="35"/>
      <c r="T126" s="35"/>
      <c r="U126" s="35"/>
      <c r="V126" s="35"/>
      <c r="W126" s="35"/>
      <c r="X126" s="35"/>
    </row>
    <row r="127" spans="1:24" ht="12.75" customHeight="1" x14ac:dyDescent="0.3">
      <c r="A127" s="35"/>
      <c r="B127" s="35"/>
      <c r="C127" s="35"/>
      <c r="D127" s="35"/>
      <c r="E127" s="35"/>
      <c r="F127" s="35"/>
      <c r="G127" s="35"/>
      <c r="H127" s="234" t="s">
        <v>473</v>
      </c>
      <c r="I127" s="306" t="s">
        <v>474</v>
      </c>
      <c r="J127" s="234">
        <f t="shared" si="5"/>
        <v>1.0023912920072662</v>
      </c>
      <c r="K127" s="315">
        <f t="shared" si="6"/>
        <v>2.388437418398834E-3</v>
      </c>
      <c r="L127" s="234"/>
      <c r="M127" s="307">
        <v>42262</v>
      </c>
      <c r="N127" s="310">
        <v>2692.057573</v>
      </c>
      <c r="O127" s="319">
        <f t="shared" si="4"/>
        <v>2.1996214147553101E-3</v>
      </c>
      <c r="P127" s="234"/>
      <c r="Q127" s="234"/>
      <c r="R127" s="234"/>
      <c r="S127" s="35"/>
      <c r="T127" s="35"/>
      <c r="U127" s="35"/>
      <c r="V127" s="35"/>
      <c r="W127" s="35"/>
      <c r="X127" s="35"/>
    </row>
    <row r="128" spans="1:24" ht="12.75" customHeight="1" x14ac:dyDescent="0.3">
      <c r="A128" s="35"/>
      <c r="B128" s="35"/>
      <c r="C128" s="35"/>
      <c r="D128" s="35"/>
      <c r="E128" s="35"/>
      <c r="F128" s="35"/>
      <c r="G128" s="35"/>
      <c r="H128" s="234" t="s">
        <v>475</v>
      </c>
      <c r="I128" s="306" t="s">
        <v>476</v>
      </c>
      <c r="J128" s="234">
        <f t="shared" si="5"/>
        <v>1.0134986443822771</v>
      </c>
      <c r="K128" s="315">
        <f t="shared" si="6"/>
        <v>1.3408349348369071E-2</v>
      </c>
      <c r="L128" s="234"/>
      <c r="M128" s="307">
        <v>42231</v>
      </c>
      <c r="N128" s="310">
        <v>2686.149062</v>
      </c>
      <c r="O128" s="319">
        <f t="shared" si="4"/>
        <v>6.198974858736858E-3</v>
      </c>
      <c r="P128" s="234"/>
      <c r="Q128" s="234"/>
      <c r="R128" s="234"/>
      <c r="S128" s="35"/>
      <c r="T128" s="35"/>
      <c r="U128" s="35"/>
      <c r="V128" s="35"/>
      <c r="W128" s="35"/>
      <c r="X128" s="35"/>
    </row>
    <row r="129" spans="1:24" ht="12.75" customHeight="1" x14ac:dyDescent="0.3">
      <c r="A129" s="35"/>
      <c r="B129" s="35"/>
      <c r="C129" s="35"/>
      <c r="D129" s="35"/>
      <c r="E129" s="35"/>
      <c r="F129" s="35"/>
      <c r="G129" s="35"/>
      <c r="H129" s="234" t="s">
        <v>477</v>
      </c>
      <c r="I129" s="306" t="s">
        <v>478</v>
      </c>
      <c r="J129" s="234">
        <f t="shared" si="5"/>
        <v>0.99616723740203172</v>
      </c>
      <c r="K129" s="315">
        <f t="shared" si="6"/>
        <v>-3.8401264544991286E-3</v>
      </c>
      <c r="L129" s="234"/>
      <c r="M129" s="307">
        <v>42200</v>
      </c>
      <c r="N129" s="310">
        <v>2669.600277</v>
      </c>
      <c r="O129" s="319">
        <f t="shared" si="4"/>
        <v>7.9011365160901008E-3</v>
      </c>
      <c r="P129" s="234"/>
      <c r="Q129" s="234"/>
      <c r="R129" s="234"/>
      <c r="S129" s="35"/>
      <c r="T129" s="35"/>
      <c r="U129" s="35"/>
      <c r="V129" s="35"/>
      <c r="W129" s="35"/>
      <c r="X129" s="35"/>
    </row>
    <row r="130" spans="1:24" ht="12.75" customHeight="1" x14ac:dyDescent="0.3">
      <c r="A130" s="35"/>
      <c r="B130" s="35"/>
      <c r="C130" s="35"/>
      <c r="D130" s="35"/>
      <c r="E130" s="35"/>
      <c r="F130" s="35"/>
      <c r="G130" s="35"/>
      <c r="H130" s="234" t="s">
        <v>479</v>
      </c>
      <c r="I130" s="306" t="s">
        <v>480</v>
      </c>
      <c r="J130" s="234">
        <f t="shared" si="5"/>
        <v>1.0052644845342265</v>
      </c>
      <c r="K130" s="315">
        <f t="shared" si="6"/>
        <v>5.2506755790060564E-3</v>
      </c>
      <c r="L130" s="234"/>
      <c r="M130" s="307">
        <v>42170</v>
      </c>
      <c r="N130" s="310">
        <v>2648.6727519999999</v>
      </c>
      <c r="O130" s="319">
        <f t="shared" si="4"/>
        <v>7.3989618528045248E-3</v>
      </c>
      <c r="P130" s="234"/>
      <c r="Q130" s="234"/>
      <c r="R130" s="234"/>
      <c r="S130" s="35"/>
      <c r="T130" s="35"/>
      <c r="U130" s="35"/>
      <c r="V130" s="35"/>
      <c r="W130" s="35"/>
      <c r="X130" s="35"/>
    </row>
    <row r="131" spans="1:24" ht="12.75" customHeight="1" x14ac:dyDescent="0.3">
      <c r="A131" s="35"/>
      <c r="B131" s="35"/>
      <c r="C131" s="35"/>
      <c r="D131" s="35"/>
      <c r="E131" s="35"/>
      <c r="F131" s="35"/>
      <c r="G131" s="35"/>
      <c r="H131" s="234" t="s">
        <v>481</v>
      </c>
      <c r="I131" s="306" t="s">
        <v>482</v>
      </c>
      <c r="J131" s="234">
        <f t="shared" si="5"/>
        <v>1.014539875059365</v>
      </c>
      <c r="K131" s="315">
        <f t="shared" si="6"/>
        <v>1.4435184646214676E-2</v>
      </c>
      <c r="L131" s="234"/>
      <c r="M131" s="307">
        <v>42139</v>
      </c>
      <c r="N131" s="310">
        <v>2629.219259</v>
      </c>
      <c r="O131" s="319">
        <f t="shared" ref="O131:O135" si="7">(N131-N132)/N132</f>
        <v>7.1003926322498008E-3</v>
      </c>
      <c r="P131" s="234"/>
      <c r="Q131" s="234"/>
      <c r="R131" s="234"/>
      <c r="S131" s="35"/>
      <c r="T131" s="35"/>
      <c r="U131" s="35"/>
      <c r="V131" s="35"/>
      <c r="W131" s="35"/>
      <c r="X131" s="35"/>
    </row>
    <row r="132" spans="1:24" ht="12.75" customHeight="1" x14ac:dyDescent="0.3">
      <c r="A132" s="35"/>
      <c r="B132" s="35"/>
      <c r="C132" s="35"/>
      <c r="D132" s="35"/>
      <c r="E132" s="35"/>
      <c r="F132" s="35"/>
      <c r="G132" s="35"/>
      <c r="H132" s="234" t="s">
        <v>483</v>
      </c>
      <c r="I132" s="306" t="s">
        <v>484</v>
      </c>
      <c r="J132" s="234">
        <f t="shared" si="5"/>
        <v>0.99819127289170251</v>
      </c>
      <c r="K132" s="315">
        <f t="shared" si="6"/>
        <v>-1.8103648302663273E-3</v>
      </c>
      <c r="L132" s="234"/>
      <c r="M132" s="307">
        <v>42109</v>
      </c>
      <c r="N132" s="310">
        <v>2610.6823890000001</v>
      </c>
      <c r="O132" s="319">
        <f t="shared" si="7"/>
        <v>1.3200844050935726E-2</v>
      </c>
      <c r="P132" s="234"/>
      <c r="Q132" s="234"/>
      <c r="R132" s="234"/>
      <c r="S132" s="35"/>
      <c r="T132" s="35"/>
      <c r="U132" s="35"/>
      <c r="V132" s="35"/>
      <c r="W132" s="35"/>
      <c r="X132" s="35"/>
    </row>
    <row r="133" spans="1:24" ht="12.75" customHeight="1" x14ac:dyDescent="0.3">
      <c r="A133" s="35"/>
      <c r="B133" s="35"/>
      <c r="C133" s="35"/>
      <c r="D133" s="35"/>
      <c r="E133" s="35"/>
      <c r="F133" s="35"/>
      <c r="G133" s="35"/>
      <c r="H133" s="234" t="s">
        <v>485</v>
      </c>
      <c r="I133" s="306" t="s">
        <v>486</v>
      </c>
      <c r="J133" s="234">
        <f t="shared" ref="J133:J196" si="8">I133/I134</f>
        <v>1.0099140439134695</v>
      </c>
      <c r="K133" s="315">
        <f t="shared" ref="K133:K196" si="9">LN(J133)</f>
        <v>9.8652221953602053E-3</v>
      </c>
      <c r="L133" s="234"/>
      <c r="M133" s="307">
        <v>42078</v>
      </c>
      <c r="N133" s="310">
        <v>2576.6681939999999</v>
      </c>
      <c r="O133" s="319">
        <f t="shared" si="7"/>
        <v>1.2198920004007949E-2</v>
      </c>
      <c r="P133" s="234"/>
      <c r="Q133" s="234"/>
      <c r="R133" s="234"/>
      <c r="S133" s="35"/>
      <c r="T133" s="35"/>
      <c r="U133" s="35"/>
      <c r="V133" s="35"/>
      <c r="W133" s="35"/>
      <c r="X133" s="35"/>
    </row>
    <row r="134" spans="1:24" ht="12.75" customHeight="1" x14ac:dyDescent="0.3">
      <c r="A134" s="35"/>
      <c r="B134" s="35"/>
      <c r="C134" s="35"/>
      <c r="D134" s="35"/>
      <c r="E134" s="35"/>
      <c r="F134" s="35"/>
      <c r="G134" s="35"/>
      <c r="H134" s="234" t="s">
        <v>487</v>
      </c>
      <c r="I134" s="306" t="s">
        <v>488</v>
      </c>
      <c r="J134" s="234">
        <f t="shared" si="8"/>
        <v>0.98982232817888205</v>
      </c>
      <c r="K134" s="315">
        <f t="shared" si="9"/>
        <v>-1.0229818445515989E-2</v>
      </c>
      <c r="L134" s="234"/>
      <c r="M134" s="309">
        <v>42050</v>
      </c>
      <c r="N134" s="312">
        <v>2545.6144469999999</v>
      </c>
      <c r="O134" s="319">
        <f t="shared" si="7"/>
        <v>1.2399442129871043E-2</v>
      </c>
      <c r="P134" s="234"/>
      <c r="Q134" s="234"/>
      <c r="R134" s="234"/>
      <c r="S134" s="35"/>
      <c r="T134" s="35"/>
      <c r="U134" s="35"/>
      <c r="V134" s="35"/>
      <c r="W134" s="35"/>
      <c r="X134" s="35"/>
    </row>
    <row r="135" spans="1:24" ht="12.75" customHeight="1" x14ac:dyDescent="0.3">
      <c r="A135" s="35"/>
      <c r="B135" s="35"/>
      <c r="C135" s="35"/>
      <c r="D135" s="35"/>
      <c r="E135" s="35"/>
      <c r="F135" s="35"/>
      <c r="G135" s="35"/>
      <c r="H135" s="234" t="s">
        <v>489</v>
      </c>
      <c r="I135" s="306" t="s">
        <v>490</v>
      </c>
      <c r="J135" s="234">
        <f t="shared" si="8"/>
        <v>1.0044744859101296</v>
      </c>
      <c r="K135" s="315">
        <f t="shared" si="9"/>
        <v>4.4645051594601123E-3</v>
      </c>
      <c r="L135" s="234"/>
      <c r="M135" s="307">
        <v>42019</v>
      </c>
      <c r="N135" s="310">
        <v>2514.4368330000002</v>
      </c>
      <c r="O135" s="319">
        <f t="shared" si="7"/>
        <v>7.7995451907037347E-3</v>
      </c>
      <c r="P135" s="234"/>
      <c r="Q135" s="234"/>
      <c r="R135" s="234"/>
      <c r="S135" s="35"/>
      <c r="T135" s="35"/>
      <c r="U135" s="35"/>
      <c r="V135" s="35"/>
      <c r="W135" s="35"/>
      <c r="X135" s="35"/>
    </row>
    <row r="136" spans="1:24" ht="12.75" customHeight="1" x14ac:dyDescent="0.3">
      <c r="A136" s="35"/>
      <c r="B136" s="35"/>
      <c r="C136" s="35"/>
      <c r="D136" s="35"/>
      <c r="E136" s="35"/>
      <c r="F136" s="35"/>
      <c r="G136" s="35"/>
      <c r="H136" s="234" t="s">
        <v>491</v>
      </c>
      <c r="I136" s="306" t="s">
        <v>492</v>
      </c>
      <c r="J136" s="234">
        <f t="shared" si="8"/>
        <v>0.99588669447766853</v>
      </c>
      <c r="K136" s="315">
        <f t="shared" si="9"/>
        <v>-4.1217884333524576E-3</v>
      </c>
      <c r="L136" s="242"/>
      <c r="M136" s="307">
        <v>41988</v>
      </c>
      <c r="N136" s="310">
        <v>2494.9771460000002</v>
      </c>
      <c r="O136" s="257"/>
      <c r="P136" s="234"/>
      <c r="Q136" s="234"/>
      <c r="R136" s="234"/>
      <c r="S136" s="35"/>
      <c r="T136" s="35"/>
      <c r="U136" s="35"/>
      <c r="V136" s="35"/>
      <c r="W136" s="35"/>
      <c r="X136" s="35"/>
    </row>
    <row r="137" spans="1:24" ht="12.75" customHeight="1" x14ac:dyDescent="0.3">
      <c r="A137" s="35"/>
      <c r="B137" s="35"/>
      <c r="C137" s="35"/>
      <c r="D137" s="35"/>
      <c r="E137" s="35"/>
      <c r="F137" s="35"/>
      <c r="G137" s="35"/>
      <c r="H137" s="234" t="s">
        <v>493</v>
      </c>
      <c r="I137" s="306" t="s">
        <v>494</v>
      </c>
      <c r="J137" s="234">
        <f t="shared" si="8"/>
        <v>0.9884727679054176</v>
      </c>
      <c r="K137" s="315">
        <f t="shared" si="9"/>
        <v>-1.1594185657956606E-2</v>
      </c>
      <c r="L137" s="234"/>
      <c r="M137" s="307">
        <v>41958</v>
      </c>
      <c r="N137" s="310">
        <v>2482.3178200000002</v>
      </c>
      <c r="O137" s="257"/>
      <c r="P137" s="234"/>
      <c r="Q137" s="234"/>
      <c r="R137" s="234"/>
      <c r="S137" s="35"/>
      <c r="T137" s="35"/>
      <c r="U137" s="35"/>
      <c r="V137" s="35"/>
      <c r="W137" s="35"/>
      <c r="X137" s="35"/>
    </row>
    <row r="138" spans="1:24" ht="12.75" customHeight="1" x14ac:dyDescent="0.3">
      <c r="A138" s="35"/>
      <c r="B138" s="35"/>
      <c r="C138" s="35"/>
      <c r="D138" s="35"/>
      <c r="E138" s="35"/>
      <c r="F138" s="35"/>
      <c r="G138" s="35"/>
      <c r="H138" s="234" t="s">
        <v>495</v>
      </c>
      <c r="I138" s="306" t="s">
        <v>496</v>
      </c>
      <c r="J138" s="234">
        <f t="shared" si="8"/>
        <v>0.9990708997147878</v>
      </c>
      <c r="K138" s="315">
        <f t="shared" si="9"/>
        <v>-9.2953216641021217E-4</v>
      </c>
      <c r="L138" s="234"/>
      <c r="M138" s="307">
        <v>41927</v>
      </c>
      <c r="N138" s="310">
        <v>2471.9376689999999</v>
      </c>
      <c r="O138" s="257"/>
      <c r="P138" s="234"/>
      <c r="Q138" s="234"/>
      <c r="R138" s="234"/>
      <c r="S138" s="35"/>
      <c r="T138" s="35"/>
      <c r="U138" s="35"/>
      <c r="V138" s="35"/>
      <c r="W138" s="35"/>
      <c r="X138" s="35"/>
    </row>
    <row r="139" spans="1:24" ht="12.75" customHeight="1" x14ac:dyDescent="0.3">
      <c r="A139" s="35"/>
      <c r="B139" s="35"/>
      <c r="C139" s="35"/>
      <c r="D139" s="35"/>
      <c r="E139" s="35"/>
      <c r="F139" s="35"/>
      <c r="G139" s="35"/>
      <c r="H139" s="234" t="s">
        <v>497</v>
      </c>
      <c r="I139" s="306" t="s">
        <v>498</v>
      </c>
      <c r="J139" s="234">
        <f t="shared" si="8"/>
        <v>0.99704142011834318</v>
      </c>
      <c r="K139" s="315">
        <f t="shared" si="9"/>
        <v>-2.9629651306570721E-3</v>
      </c>
      <c r="L139" s="234"/>
      <c r="M139" s="307">
        <v>41897</v>
      </c>
      <c r="N139" s="310">
        <v>2457.9281810000002</v>
      </c>
      <c r="O139" s="257"/>
      <c r="P139" s="234"/>
      <c r="Q139" s="234"/>
      <c r="R139" s="234"/>
      <c r="S139" s="35"/>
      <c r="T139" s="35"/>
      <c r="U139" s="35"/>
      <c r="V139" s="35"/>
      <c r="W139" s="35"/>
      <c r="X139" s="35"/>
    </row>
    <row r="140" spans="1:24" ht="12.75" customHeight="1" x14ac:dyDescent="0.3">
      <c r="A140" s="35"/>
      <c r="B140" s="35"/>
      <c r="C140" s="35"/>
      <c r="D140" s="35"/>
      <c r="E140" s="35"/>
      <c r="F140" s="35"/>
      <c r="G140" s="35"/>
      <c r="H140" s="234" t="s">
        <v>499</v>
      </c>
      <c r="I140" s="306" t="s">
        <v>500</v>
      </c>
      <c r="J140" s="234">
        <f t="shared" si="8"/>
        <v>1.0148966562691311</v>
      </c>
      <c r="K140" s="315">
        <f t="shared" si="9"/>
        <v>1.478679082648591E-2</v>
      </c>
      <c r="L140" s="234"/>
      <c r="M140" s="307">
        <v>41866</v>
      </c>
      <c r="N140" s="310">
        <v>2451.796707</v>
      </c>
      <c r="O140" s="257"/>
      <c r="P140" s="234"/>
      <c r="Q140" s="234"/>
      <c r="R140" s="234"/>
      <c r="S140" s="35"/>
      <c r="T140" s="35"/>
      <c r="U140" s="35"/>
      <c r="V140" s="35"/>
      <c r="W140" s="35"/>
      <c r="X140" s="35"/>
    </row>
    <row r="141" spans="1:24" ht="12.75" customHeight="1" x14ac:dyDescent="0.3">
      <c r="A141" s="35"/>
      <c r="B141" s="35"/>
      <c r="C141" s="35"/>
      <c r="D141" s="35"/>
      <c r="E141" s="35"/>
      <c r="F141" s="35"/>
      <c r="G141" s="35"/>
      <c r="H141" s="234" t="s">
        <v>501</v>
      </c>
      <c r="I141" s="306" t="s">
        <v>502</v>
      </c>
      <c r="J141" s="234">
        <f t="shared" si="8"/>
        <v>0.99573294629898401</v>
      </c>
      <c r="K141" s="315">
        <f t="shared" si="9"/>
        <v>-4.2761835556359316E-3</v>
      </c>
      <c r="L141" s="234"/>
      <c r="M141" s="307">
        <v>41835</v>
      </c>
      <c r="N141" s="310">
        <v>2451.5489710000002</v>
      </c>
      <c r="O141" s="257"/>
      <c r="P141" s="234"/>
      <c r="Q141" s="234"/>
      <c r="R141" s="234"/>
      <c r="S141" s="35"/>
      <c r="T141" s="35"/>
      <c r="U141" s="35"/>
      <c r="V141" s="35"/>
      <c r="W141" s="35"/>
      <c r="X141" s="35"/>
    </row>
    <row r="142" spans="1:24" ht="12.75" customHeight="1" x14ac:dyDescent="0.3">
      <c r="A142" s="35"/>
      <c r="B142" s="35"/>
      <c r="C142" s="35"/>
      <c r="D142" s="35"/>
      <c r="E142" s="35"/>
      <c r="F142" s="35"/>
      <c r="G142" s="35"/>
      <c r="H142" s="234" t="s">
        <v>503</v>
      </c>
      <c r="I142" s="306" t="s">
        <v>504</v>
      </c>
      <c r="J142" s="234">
        <f t="shared" si="8"/>
        <v>1.0049078591378795</v>
      </c>
      <c r="K142" s="315">
        <f t="shared" si="9"/>
        <v>4.8958548580752201E-3</v>
      </c>
      <c r="L142" s="234"/>
      <c r="M142" s="307">
        <v>41805</v>
      </c>
      <c r="N142" s="310">
        <v>2441.7819669999999</v>
      </c>
      <c r="O142" s="257"/>
      <c r="P142" s="234"/>
      <c r="Q142" s="234"/>
      <c r="R142" s="234"/>
      <c r="S142" s="35"/>
      <c r="T142" s="35"/>
      <c r="U142" s="35"/>
      <c r="V142" s="35"/>
      <c r="W142" s="35"/>
      <c r="X142" s="35"/>
    </row>
    <row r="143" spans="1:24" ht="12.75" customHeight="1" x14ac:dyDescent="0.3">
      <c r="A143" s="35"/>
      <c r="B143" s="35"/>
      <c r="C143" s="35"/>
      <c r="D143" s="35"/>
      <c r="E143" s="35"/>
      <c r="F143" s="35"/>
      <c r="G143" s="35"/>
      <c r="H143" s="234" t="s">
        <v>505</v>
      </c>
      <c r="I143" s="306" t="s">
        <v>506</v>
      </c>
      <c r="J143" s="234">
        <f t="shared" si="8"/>
        <v>1.0050130823860512</v>
      </c>
      <c r="K143" s="315">
        <f t="shared" si="9"/>
        <v>5.0005587258682462E-3</v>
      </c>
      <c r="L143" s="234"/>
      <c r="M143" s="307">
        <v>41774</v>
      </c>
      <c r="N143" s="310">
        <v>2430.6028660000002</v>
      </c>
      <c r="O143" s="257"/>
      <c r="P143" s="234"/>
      <c r="Q143" s="234"/>
      <c r="R143" s="234"/>
      <c r="S143" s="35"/>
      <c r="T143" s="35"/>
      <c r="U143" s="35"/>
      <c r="V143" s="35"/>
      <c r="W143" s="35"/>
      <c r="X143" s="35"/>
    </row>
    <row r="144" spans="1:24" ht="12.75" customHeight="1" x14ac:dyDescent="0.3">
      <c r="A144" s="35"/>
      <c r="B144" s="35"/>
      <c r="C144" s="35"/>
      <c r="D144" s="35"/>
      <c r="E144" s="35"/>
      <c r="F144" s="35"/>
      <c r="G144" s="35"/>
      <c r="H144" s="234" t="s">
        <v>507</v>
      </c>
      <c r="I144" s="306" t="s">
        <v>508</v>
      </c>
      <c r="J144" s="234">
        <f t="shared" si="8"/>
        <v>1.0053567744407439</v>
      </c>
      <c r="K144" s="315">
        <f t="shared" si="9"/>
        <v>5.3424779571718036E-3</v>
      </c>
      <c r="L144" s="234"/>
      <c r="M144" s="307">
        <v>41744</v>
      </c>
      <c r="N144" s="310">
        <v>2414.4256850000002</v>
      </c>
      <c r="O144" s="257"/>
      <c r="P144" s="234"/>
      <c r="Q144" s="234"/>
      <c r="R144" s="234"/>
      <c r="S144" s="35"/>
      <c r="T144" s="35"/>
      <c r="U144" s="35"/>
      <c r="V144" s="35"/>
      <c r="W144" s="35"/>
      <c r="X144" s="35"/>
    </row>
    <row r="145" spans="1:24" ht="12.75" customHeight="1" x14ac:dyDescent="0.3">
      <c r="A145" s="35"/>
      <c r="B145" s="35"/>
      <c r="C145" s="35"/>
      <c r="D145" s="35"/>
      <c r="E145" s="35"/>
      <c r="F145" s="35"/>
      <c r="G145" s="35"/>
      <c r="H145" s="234" t="s">
        <v>509</v>
      </c>
      <c r="I145" s="306" t="s">
        <v>510</v>
      </c>
      <c r="J145" s="234">
        <f t="shared" si="8"/>
        <v>0.99716389178704212</v>
      </c>
      <c r="K145" s="315">
        <f t="shared" si="9"/>
        <v>-2.8401375881550424E-3</v>
      </c>
      <c r="L145" s="234"/>
      <c r="M145" s="307">
        <v>41713</v>
      </c>
      <c r="N145" s="310">
        <v>2392.4143140000001</v>
      </c>
      <c r="O145" s="257"/>
      <c r="P145" s="234"/>
      <c r="Q145" s="234"/>
      <c r="R145" s="234"/>
      <c r="S145" s="35"/>
      <c r="T145" s="35"/>
      <c r="U145" s="35"/>
      <c r="V145" s="35"/>
      <c r="W145" s="35"/>
      <c r="X145" s="35"/>
    </row>
    <row r="146" spans="1:24" ht="12.75" customHeight="1" x14ac:dyDescent="0.3">
      <c r="A146" s="35"/>
      <c r="B146" s="35"/>
      <c r="C146" s="35"/>
      <c r="D146" s="35"/>
      <c r="E146" s="35"/>
      <c r="F146" s="35"/>
      <c r="G146" s="35"/>
      <c r="H146" s="234" t="s">
        <v>511</v>
      </c>
      <c r="I146" s="306" t="s">
        <v>512</v>
      </c>
      <c r="J146" s="234">
        <f t="shared" si="8"/>
        <v>0.99901641269561647</v>
      </c>
      <c r="K146" s="315">
        <f t="shared" si="9"/>
        <v>-9.8407134379891034E-4</v>
      </c>
      <c r="L146" s="234"/>
      <c r="M146" s="307">
        <v>41685</v>
      </c>
      <c r="N146" s="310">
        <v>2376.0265570000001</v>
      </c>
      <c r="O146" s="257"/>
      <c r="P146" s="234"/>
      <c r="Q146" s="234"/>
      <c r="R146" s="234"/>
      <c r="S146" s="35"/>
      <c r="T146" s="35"/>
      <c r="U146" s="35"/>
      <c r="V146" s="35"/>
      <c r="W146" s="35"/>
      <c r="X146" s="35"/>
    </row>
    <row r="147" spans="1:24" ht="12.75" customHeight="1" x14ac:dyDescent="0.3">
      <c r="A147" s="35"/>
      <c r="B147" s="35"/>
      <c r="C147" s="35"/>
      <c r="D147" s="35"/>
      <c r="E147" s="35"/>
      <c r="F147" s="35"/>
      <c r="G147" s="35"/>
      <c r="H147" s="234" t="s">
        <v>513</v>
      </c>
      <c r="I147" s="306" t="s">
        <v>514</v>
      </c>
      <c r="J147" s="234">
        <f t="shared" si="8"/>
        <v>0.99440158244709975</v>
      </c>
      <c r="K147" s="315">
        <f t="shared" si="9"/>
        <v>-5.6141474281933852E-3</v>
      </c>
      <c r="L147" s="234"/>
      <c r="M147" s="307">
        <v>41654</v>
      </c>
      <c r="N147" s="310">
        <v>2363.0265939999999</v>
      </c>
      <c r="O147" s="257"/>
      <c r="P147" s="234"/>
      <c r="Q147" s="234"/>
      <c r="R147" s="234"/>
      <c r="S147" s="35"/>
      <c r="T147" s="35"/>
      <c r="U147" s="35"/>
      <c r="V147" s="35"/>
      <c r="W147" s="35"/>
      <c r="X147" s="35"/>
    </row>
    <row r="148" spans="1:24" ht="12.75" customHeight="1" x14ac:dyDescent="0.3">
      <c r="A148" s="35"/>
      <c r="B148" s="35"/>
      <c r="C148" s="35"/>
      <c r="D148" s="35"/>
      <c r="E148" s="35"/>
      <c r="F148" s="35"/>
      <c r="G148" s="35"/>
      <c r="H148" s="234" t="s">
        <v>515</v>
      </c>
      <c r="I148" s="306" t="s">
        <v>516</v>
      </c>
      <c r="J148" s="234">
        <f t="shared" si="8"/>
        <v>0.99604498825855892</v>
      </c>
      <c r="K148" s="315">
        <f t="shared" si="9"/>
        <v>-3.9628534833283128E-3</v>
      </c>
      <c r="L148" s="234"/>
      <c r="M148" s="307">
        <v>41623</v>
      </c>
      <c r="N148" s="310">
        <v>2341.4859219999998</v>
      </c>
      <c r="O148" s="257"/>
      <c r="P148" s="234"/>
      <c r="Q148" s="234"/>
      <c r="R148" s="234"/>
      <c r="S148" s="35"/>
      <c r="T148" s="35"/>
      <c r="U148" s="35"/>
      <c r="V148" s="35"/>
      <c r="W148" s="35"/>
      <c r="X148" s="35"/>
    </row>
    <row r="149" spans="1:24" ht="12.75" customHeight="1" x14ac:dyDescent="0.3">
      <c r="A149" s="35"/>
      <c r="B149" s="35"/>
      <c r="C149" s="35"/>
      <c r="D149" s="35"/>
      <c r="E149" s="35"/>
      <c r="F149" s="35"/>
      <c r="G149" s="35"/>
      <c r="H149" s="234" t="s">
        <v>517</v>
      </c>
      <c r="I149" s="306" t="s">
        <v>518</v>
      </c>
      <c r="J149" s="234">
        <f t="shared" si="8"/>
        <v>1.0055560835459509</v>
      </c>
      <c r="K149" s="315">
        <f t="shared" si="9"/>
        <v>5.5407054487988973E-3</v>
      </c>
      <c r="L149" s="234"/>
      <c r="M149" s="307">
        <v>41593</v>
      </c>
      <c r="N149" s="310">
        <v>2328.907111</v>
      </c>
      <c r="O149" s="257"/>
      <c r="P149" s="234"/>
      <c r="Q149" s="234"/>
      <c r="R149" s="234"/>
      <c r="S149" s="35"/>
      <c r="T149" s="35"/>
      <c r="U149" s="35"/>
      <c r="V149" s="35"/>
      <c r="W149" s="35"/>
      <c r="X149" s="35"/>
    </row>
    <row r="150" spans="1:24" ht="12.75" customHeight="1" x14ac:dyDescent="0.3">
      <c r="A150" s="35"/>
      <c r="B150" s="35"/>
      <c r="C150" s="35"/>
      <c r="D150" s="35"/>
      <c r="E150" s="35"/>
      <c r="F150" s="35"/>
      <c r="G150" s="35"/>
      <c r="H150" s="234" t="s">
        <v>519</v>
      </c>
      <c r="I150" s="306" t="s">
        <v>520</v>
      </c>
      <c r="J150" s="234">
        <f t="shared" si="8"/>
        <v>0.99825580546757553</v>
      </c>
      <c r="K150" s="315">
        <f t="shared" si="9"/>
        <v>-1.7457174107629451E-3</v>
      </c>
      <c r="L150" s="234"/>
      <c r="M150" s="307">
        <v>41562</v>
      </c>
      <c r="N150" s="310">
        <v>2315.708959</v>
      </c>
      <c r="O150" s="257"/>
      <c r="P150" s="234"/>
      <c r="Q150" s="234"/>
      <c r="R150" s="234"/>
      <c r="S150" s="35"/>
      <c r="T150" s="35"/>
      <c r="U150" s="35"/>
      <c r="V150" s="35"/>
      <c r="W150" s="35"/>
      <c r="X150" s="35"/>
    </row>
    <row r="151" spans="1:24" ht="12.75" customHeight="1" x14ac:dyDescent="0.3">
      <c r="A151" s="35"/>
      <c r="B151" s="35"/>
      <c r="C151" s="35"/>
      <c r="D151" s="35"/>
      <c r="E151" s="35"/>
      <c r="F151" s="35"/>
      <c r="G151" s="35"/>
      <c r="H151" s="234" t="s">
        <v>521</v>
      </c>
      <c r="I151" s="306" t="s">
        <v>522</v>
      </c>
      <c r="J151" s="234">
        <f t="shared" si="8"/>
        <v>0.98902891458432574</v>
      </c>
      <c r="K151" s="315">
        <f t="shared" si="9"/>
        <v>-1.1031711604462405E-2</v>
      </c>
      <c r="L151" s="234"/>
      <c r="M151" s="307">
        <v>41532</v>
      </c>
      <c r="N151" s="310">
        <v>2307.6327550000001</v>
      </c>
      <c r="O151" s="257"/>
      <c r="P151" s="234"/>
      <c r="Q151" s="234"/>
      <c r="R151" s="234"/>
      <c r="S151" s="35"/>
      <c r="T151" s="35"/>
      <c r="U151" s="35"/>
      <c r="V151" s="35"/>
      <c r="W151" s="35"/>
      <c r="X151" s="35"/>
    </row>
    <row r="152" spans="1:24" ht="12.75" customHeight="1" x14ac:dyDescent="0.3">
      <c r="A152" s="35"/>
      <c r="B152" s="35"/>
      <c r="C152" s="35"/>
      <c r="D152" s="35"/>
      <c r="E152" s="35"/>
      <c r="F152" s="35"/>
      <c r="G152" s="35"/>
      <c r="H152" s="234" t="s">
        <v>523</v>
      </c>
      <c r="I152" s="306" t="s">
        <v>524</v>
      </c>
      <c r="J152" s="234">
        <f t="shared" si="8"/>
        <v>0.99767406692638383</v>
      </c>
      <c r="K152" s="315">
        <f t="shared" si="9"/>
        <v>-2.328642257683458E-3</v>
      </c>
      <c r="L152" s="234"/>
      <c r="M152" s="307">
        <v>41501</v>
      </c>
      <c r="N152" s="310">
        <v>2302.1082350000001</v>
      </c>
      <c r="O152" s="257"/>
      <c r="P152" s="234"/>
      <c r="Q152" s="234"/>
      <c r="R152" s="234"/>
      <c r="S152" s="35"/>
      <c r="T152" s="35"/>
      <c r="U152" s="35"/>
      <c r="V152" s="35"/>
      <c r="W152" s="35"/>
      <c r="X152" s="35"/>
    </row>
    <row r="153" spans="1:24" ht="12.75" customHeight="1" x14ac:dyDescent="0.3">
      <c r="A153" s="35"/>
      <c r="B153" s="35"/>
      <c r="C153" s="35"/>
      <c r="D153" s="35"/>
      <c r="E153" s="35"/>
      <c r="F153" s="35"/>
      <c r="G153" s="35"/>
      <c r="H153" s="234" t="s">
        <v>525</v>
      </c>
      <c r="I153" s="306" t="s">
        <v>526</v>
      </c>
      <c r="J153" s="234">
        <f t="shared" si="8"/>
        <v>0.99518421109208044</v>
      </c>
      <c r="K153" s="315">
        <f t="shared" si="9"/>
        <v>-4.827422183282015E-3</v>
      </c>
      <c r="L153" s="234"/>
      <c r="M153" s="307">
        <v>41470</v>
      </c>
      <c r="N153" s="310">
        <v>2301.4207670000001</v>
      </c>
      <c r="O153" s="257"/>
      <c r="P153" s="234"/>
      <c r="Q153" s="234"/>
      <c r="R153" s="234"/>
      <c r="S153" s="35"/>
      <c r="T153" s="35"/>
      <c r="U153" s="35"/>
      <c r="V153" s="35"/>
      <c r="W153" s="35"/>
      <c r="X153" s="35"/>
    </row>
    <row r="154" spans="1:24" ht="12.75" customHeight="1" x14ac:dyDescent="0.3">
      <c r="A154" s="35"/>
      <c r="B154" s="35"/>
      <c r="C154" s="35"/>
      <c r="D154" s="35"/>
      <c r="E154" s="35"/>
      <c r="F154" s="35"/>
      <c r="G154" s="35"/>
      <c r="H154" s="234" t="s">
        <v>527</v>
      </c>
      <c r="I154" s="306" t="s">
        <v>528</v>
      </c>
      <c r="J154" s="234">
        <f t="shared" si="8"/>
        <v>1.0101711356923611</v>
      </c>
      <c r="K154" s="315">
        <f t="shared" si="9"/>
        <v>1.011975777918124E-2</v>
      </c>
      <c r="L154" s="234"/>
      <c r="M154" s="307">
        <v>41440</v>
      </c>
      <c r="N154" s="310">
        <v>2295.4503220000001</v>
      </c>
      <c r="O154" s="257"/>
      <c r="P154" s="234"/>
      <c r="Q154" s="234"/>
      <c r="R154" s="234"/>
      <c r="S154" s="35"/>
      <c r="T154" s="35"/>
      <c r="U154" s="35"/>
      <c r="V154" s="35"/>
      <c r="W154" s="35"/>
      <c r="X154" s="35"/>
    </row>
    <row r="155" spans="1:24" ht="12.75" customHeight="1" x14ac:dyDescent="0.3">
      <c r="A155" s="35"/>
      <c r="B155" s="35"/>
      <c r="C155" s="35"/>
      <c r="D155" s="35"/>
      <c r="E155" s="35"/>
      <c r="F155" s="35"/>
      <c r="G155" s="35"/>
      <c r="H155" s="234" t="s">
        <v>529</v>
      </c>
      <c r="I155" s="306" t="s">
        <v>530</v>
      </c>
      <c r="J155" s="234">
        <f t="shared" si="8"/>
        <v>1.00226375667518</v>
      </c>
      <c r="K155" s="315">
        <f t="shared" si="9"/>
        <v>2.2611982384291027E-3</v>
      </c>
      <c r="L155" s="234"/>
      <c r="M155" s="307">
        <v>41409</v>
      </c>
      <c r="N155" s="310">
        <v>2286.990127</v>
      </c>
      <c r="O155" s="257"/>
      <c r="P155" s="234"/>
      <c r="Q155" s="234"/>
      <c r="R155" s="234"/>
      <c r="S155" s="35"/>
      <c r="T155" s="35"/>
      <c r="U155" s="35"/>
      <c r="V155" s="35"/>
      <c r="W155" s="35"/>
      <c r="X155" s="35"/>
    </row>
    <row r="156" spans="1:24" ht="12.75" customHeight="1" x14ac:dyDescent="0.3">
      <c r="A156" s="35"/>
      <c r="B156" s="35"/>
      <c r="C156" s="35"/>
      <c r="D156" s="35"/>
      <c r="E156" s="35"/>
      <c r="F156" s="35"/>
      <c r="G156" s="35"/>
      <c r="H156" s="234" t="s">
        <v>531</v>
      </c>
      <c r="I156" s="306" t="s">
        <v>532</v>
      </c>
      <c r="J156" s="234">
        <f t="shared" si="8"/>
        <v>1.0040138993101337</v>
      </c>
      <c r="K156" s="315">
        <f t="shared" si="9"/>
        <v>4.0058651081072323E-3</v>
      </c>
      <c r="L156" s="234"/>
      <c r="M156" s="307">
        <v>41379</v>
      </c>
      <c r="N156" s="310">
        <v>2274.4794440000001</v>
      </c>
      <c r="O156" s="257"/>
      <c r="P156" s="234"/>
      <c r="Q156" s="234"/>
      <c r="R156" s="234"/>
      <c r="S156" s="35"/>
      <c r="T156" s="35"/>
      <c r="U156" s="35"/>
      <c r="V156" s="35"/>
      <c r="W156" s="35"/>
      <c r="X156" s="35"/>
    </row>
    <row r="157" spans="1:24" ht="12.75" customHeight="1" x14ac:dyDescent="0.3">
      <c r="A157" s="35"/>
      <c r="B157" s="35"/>
      <c r="C157" s="35"/>
      <c r="D157" s="35"/>
      <c r="E157" s="35"/>
      <c r="F157" s="35"/>
      <c r="G157" s="35"/>
      <c r="H157" s="234" t="s">
        <v>533</v>
      </c>
      <c r="I157" s="306" t="s">
        <v>534</v>
      </c>
      <c r="J157" s="234">
        <f t="shared" si="8"/>
        <v>0.99559040041775149</v>
      </c>
      <c r="K157" s="315">
        <f t="shared" si="9"/>
        <v>-4.4193505422642264E-3</v>
      </c>
      <c r="L157" s="234"/>
      <c r="M157" s="307">
        <v>41348</v>
      </c>
      <c r="N157" s="310">
        <v>2263.8391689999999</v>
      </c>
      <c r="O157" s="257"/>
      <c r="P157" s="234"/>
      <c r="Q157" s="234"/>
      <c r="R157" s="234"/>
      <c r="S157" s="35"/>
      <c r="T157" s="35"/>
      <c r="U157" s="35"/>
      <c r="V157" s="35"/>
      <c r="W157" s="35"/>
      <c r="X157" s="35"/>
    </row>
    <row r="158" spans="1:24" ht="12.75" customHeight="1" x14ac:dyDescent="0.3">
      <c r="A158" s="35"/>
      <c r="B158" s="35"/>
      <c r="C158" s="35"/>
      <c r="D158" s="35"/>
      <c r="E158" s="35"/>
      <c r="F158" s="35"/>
      <c r="G158" s="35"/>
      <c r="H158" s="234" t="s">
        <v>535</v>
      </c>
      <c r="I158" s="306" t="s">
        <v>536</v>
      </c>
      <c r="J158" s="234">
        <f t="shared" si="8"/>
        <v>0.98409809505456469</v>
      </c>
      <c r="K158" s="315">
        <f t="shared" si="9"/>
        <v>-1.6029696802508712E-2</v>
      </c>
      <c r="L158" s="234"/>
      <c r="M158" s="307">
        <v>41320</v>
      </c>
      <c r="N158" s="310">
        <v>2250.33754</v>
      </c>
      <c r="O158" s="257"/>
      <c r="P158" s="234"/>
      <c r="Q158" s="234"/>
      <c r="R158" s="234"/>
      <c r="S158" s="35"/>
      <c r="T158" s="35"/>
      <c r="U158" s="35"/>
      <c r="V158" s="35"/>
      <c r="W158" s="35"/>
      <c r="X158" s="35"/>
    </row>
    <row r="159" spans="1:24" ht="12.75" customHeight="1" x14ac:dyDescent="0.3">
      <c r="A159" s="35"/>
      <c r="B159" s="35"/>
      <c r="C159" s="35"/>
      <c r="D159" s="35"/>
      <c r="E159" s="35"/>
      <c r="F159" s="35"/>
      <c r="G159" s="35"/>
      <c r="H159" s="234" t="s">
        <v>537</v>
      </c>
      <c r="I159" s="306" t="s">
        <v>538</v>
      </c>
      <c r="J159" s="234">
        <f t="shared" si="8"/>
        <v>1.0033873786129652</v>
      </c>
      <c r="K159" s="315">
        <f t="shared" si="9"/>
        <v>3.3816543691763518E-3</v>
      </c>
      <c r="L159" s="234"/>
      <c r="M159" s="307">
        <v>41289</v>
      </c>
      <c r="N159" s="310">
        <v>2231.1503630000002</v>
      </c>
      <c r="O159" s="257"/>
      <c r="P159" s="234"/>
      <c r="Q159" s="234"/>
      <c r="R159" s="234"/>
      <c r="S159" s="35"/>
      <c r="T159" s="35"/>
      <c r="U159" s="35"/>
      <c r="V159" s="35"/>
      <c r="W159" s="35"/>
      <c r="X159" s="35"/>
    </row>
    <row r="160" spans="1:24" ht="12.75" customHeight="1" x14ac:dyDescent="0.3">
      <c r="A160" s="35"/>
      <c r="B160" s="35"/>
      <c r="C160" s="35"/>
      <c r="D160" s="35"/>
      <c r="E160" s="35"/>
      <c r="F160" s="35"/>
      <c r="G160" s="35"/>
      <c r="H160" s="234" t="s">
        <v>539</v>
      </c>
      <c r="I160" s="306" t="s">
        <v>540</v>
      </c>
      <c r="J160" s="234">
        <f t="shared" si="8"/>
        <v>1.0032330837871626</v>
      </c>
      <c r="K160" s="315">
        <f t="shared" si="9"/>
        <v>3.2278686094894551E-3</v>
      </c>
      <c r="L160" s="234"/>
      <c r="M160" s="307">
        <v>41258</v>
      </c>
      <c r="N160" s="310">
        <v>2213.6601799999999</v>
      </c>
      <c r="O160" s="257"/>
      <c r="P160" s="234"/>
      <c r="Q160" s="234"/>
      <c r="R160" s="234"/>
      <c r="S160" s="35"/>
      <c r="T160" s="35"/>
      <c r="U160" s="35"/>
      <c r="V160" s="35"/>
      <c r="W160" s="35"/>
      <c r="X160" s="35"/>
    </row>
    <row r="161" spans="1:24" ht="12.75" customHeight="1" x14ac:dyDescent="0.3">
      <c r="A161" s="35"/>
      <c r="B161" s="35"/>
      <c r="C161" s="35"/>
      <c r="D161" s="35"/>
      <c r="E161" s="35"/>
      <c r="F161" s="35"/>
      <c r="G161" s="35"/>
      <c r="H161" s="234" t="s">
        <v>541</v>
      </c>
      <c r="I161" s="306" t="s">
        <v>542</v>
      </c>
      <c r="J161" s="234">
        <f t="shared" si="8"/>
        <v>0.99893063480101918</v>
      </c>
      <c r="K161" s="315">
        <f t="shared" si="9"/>
        <v>-1.0699373778937323E-3</v>
      </c>
      <c r="L161" s="234"/>
      <c r="M161" s="307">
        <v>41228</v>
      </c>
      <c r="N161" s="310">
        <v>2200.4558339999999</v>
      </c>
      <c r="O161" s="257"/>
      <c r="P161" s="234"/>
      <c r="Q161" s="234"/>
      <c r="R161" s="234"/>
      <c r="S161" s="35"/>
      <c r="T161" s="35"/>
      <c r="U161" s="35"/>
      <c r="V161" s="35"/>
      <c r="W161" s="35"/>
      <c r="X161" s="35"/>
    </row>
    <row r="162" spans="1:24" ht="12.75" customHeight="1" x14ac:dyDescent="0.3">
      <c r="A162" s="35"/>
      <c r="B162" s="35"/>
      <c r="C162" s="35"/>
      <c r="D162" s="35"/>
      <c r="E162" s="35"/>
      <c r="F162" s="35"/>
      <c r="G162" s="35"/>
      <c r="H162" s="234" t="s">
        <v>543</v>
      </c>
      <c r="I162" s="306" t="s">
        <v>544</v>
      </c>
      <c r="J162" s="234">
        <f t="shared" si="8"/>
        <v>1.0065739570164349</v>
      </c>
      <c r="K162" s="315">
        <f t="shared" si="9"/>
        <v>6.5524427985629878E-3</v>
      </c>
      <c r="L162" s="234"/>
      <c r="M162" s="307">
        <v>41197</v>
      </c>
      <c r="N162" s="310">
        <v>2187.548773</v>
      </c>
      <c r="O162" s="257"/>
      <c r="P162" s="234"/>
      <c r="Q162" s="234"/>
      <c r="R162" s="234"/>
      <c r="S162" s="35"/>
      <c r="T162" s="35"/>
      <c r="U162" s="35"/>
      <c r="V162" s="35"/>
      <c r="W162" s="35"/>
      <c r="X162" s="35"/>
    </row>
    <row r="163" spans="1:24" ht="12.75" customHeight="1" x14ac:dyDescent="0.3">
      <c r="A163" s="35"/>
      <c r="B163" s="35"/>
      <c r="C163" s="35"/>
      <c r="D163" s="35"/>
      <c r="E163" s="35"/>
      <c r="F163" s="35"/>
      <c r="G163" s="35"/>
      <c r="H163" s="234" t="s">
        <v>545</v>
      </c>
      <c r="I163" s="306" t="s">
        <v>546</v>
      </c>
      <c r="J163" s="234">
        <f t="shared" si="8"/>
        <v>0.99611412945705757</v>
      </c>
      <c r="K163" s="315">
        <f t="shared" si="9"/>
        <v>-3.893440153929503E-3</v>
      </c>
      <c r="L163" s="234"/>
      <c r="M163" s="307">
        <v>41167</v>
      </c>
      <c r="N163" s="310">
        <v>2175.14957</v>
      </c>
      <c r="O163" s="257"/>
      <c r="P163" s="234"/>
      <c r="Q163" s="234"/>
      <c r="R163" s="234"/>
      <c r="S163" s="35"/>
      <c r="T163" s="35"/>
      <c r="U163" s="35"/>
      <c r="V163" s="35"/>
      <c r="W163" s="35"/>
      <c r="X163" s="35"/>
    </row>
    <row r="164" spans="1:24" ht="12.75" customHeight="1" x14ac:dyDescent="0.3">
      <c r="A164" s="35"/>
      <c r="B164" s="35"/>
      <c r="C164" s="35"/>
      <c r="D164" s="35"/>
      <c r="E164" s="35"/>
      <c r="F164" s="35"/>
      <c r="G164" s="35"/>
      <c r="H164" s="234" t="s">
        <v>547</v>
      </c>
      <c r="I164" s="306" t="s">
        <v>548</v>
      </c>
      <c r="J164" s="234">
        <f t="shared" si="8"/>
        <v>1.0175740489876615</v>
      </c>
      <c r="K164" s="315">
        <f t="shared" si="9"/>
        <v>1.7421411104459855E-2</v>
      </c>
      <c r="L164" s="234"/>
      <c r="M164" s="307">
        <v>41136</v>
      </c>
      <c r="N164" s="310">
        <v>2166.2682239999999</v>
      </c>
      <c r="O164" s="257"/>
      <c r="P164" s="234"/>
      <c r="Q164" s="234"/>
      <c r="R164" s="234"/>
      <c r="S164" s="35"/>
      <c r="T164" s="35"/>
      <c r="U164" s="35"/>
      <c r="V164" s="35"/>
      <c r="W164" s="35"/>
      <c r="X164" s="35"/>
    </row>
    <row r="165" spans="1:24" ht="12.75" customHeight="1" x14ac:dyDescent="0.3">
      <c r="A165" s="35"/>
      <c r="B165" s="35"/>
      <c r="C165" s="35"/>
      <c r="D165" s="35"/>
      <c r="E165" s="35"/>
      <c r="F165" s="35"/>
      <c r="G165" s="35"/>
      <c r="H165" s="234" t="s">
        <v>549</v>
      </c>
      <c r="I165" s="306" t="s">
        <v>550</v>
      </c>
      <c r="J165" s="234">
        <f t="shared" si="8"/>
        <v>1.0003589322863253</v>
      </c>
      <c r="K165" s="315">
        <f t="shared" si="9"/>
        <v>3.5886788554213351E-4</v>
      </c>
      <c r="L165" s="234"/>
      <c r="M165" s="307">
        <v>41105</v>
      </c>
      <c r="N165" s="310">
        <v>2156.990499</v>
      </c>
      <c r="O165" s="257"/>
      <c r="P165" s="234"/>
      <c r="Q165" s="234"/>
      <c r="R165" s="234"/>
      <c r="S165" s="35"/>
      <c r="T165" s="35"/>
      <c r="U165" s="35"/>
      <c r="V165" s="35"/>
      <c r="W165" s="35"/>
      <c r="X165" s="35"/>
    </row>
    <row r="166" spans="1:24" ht="12.75" customHeight="1" x14ac:dyDescent="0.3">
      <c r="A166" s="35"/>
      <c r="B166" s="35"/>
      <c r="C166" s="35"/>
      <c r="D166" s="35"/>
      <c r="E166" s="35"/>
      <c r="F166" s="35"/>
      <c r="G166" s="35"/>
      <c r="H166" s="234" t="s">
        <v>551</v>
      </c>
      <c r="I166" s="306" t="s">
        <v>552</v>
      </c>
      <c r="J166" s="234">
        <f t="shared" si="8"/>
        <v>1.0020846790768689</v>
      </c>
      <c r="K166" s="315">
        <f t="shared" si="9"/>
        <v>2.0825091486548087E-3</v>
      </c>
      <c r="L166" s="234"/>
      <c r="M166" s="307">
        <v>41075</v>
      </c>
      <c r="N166" s="310">
        <v>2155.2687310000001</v>
      </c>
      <c r="O166" s="257"/>
      <c r="P166" s="234"/>
      <c r="Q166" s="234"/>
      <c r="R166" s="234"/>
      <c r="S166" s="35"/>
      <c r="T166" s="35"/>
      <c r="U166" s="35"/>
      <c r="V166" s="35"/>
      <c r="W166" s="35"/>
      <c r="X166" s="35"/>
    </row>
    <row r="167" spans="1:24" ht="12.75" customHeight="1" x14ac:dyDescent="0.3">
      <c r="A167" s="35"/>
      <c r="B167" s="35"/>
      <c r="C167" s="35"/>
      <c r="D167" s="35"/>
      <c r="E167" s="35"/>
      <c r="F167" s="35"/>
      <c r="G167" s="35"/>
      <c r="H167" s="234" t="s">
        <v>553</v>
      </c>
      <c r="I167" s="306" t="s">
        <v>554</v>
      </c>
      <c r="J167" s="234">
        <f t="shared" si="8"/>
        <v>1.020785565496261</v>
      </c>
      <c r="K167" s="315">
        <f t="shared" si="9"/>
        <v>2.0572493124655339E-2</v>
      </c>
      <c r="L167" s="234"/>
      <c r="M167" s="307">
        <v>41044</v>
      </c>
      <c r="N167" s="310">
        <v>2147.5393589999999</v>
      </c>
      <c r="O167" s="257"/>
      <c r="P167" s="234"/>
      <c r="Q167" s="234"/>
      <c r="R167" s="234"/>
      <c r="S167" s="35"/>
      <c r="T167" s="35"/>
      <c r="U167" s="35"/>
      <c r="V167" s="35"/>
      <c r="W167" s="35"/>
      <c r="X167" s="35"/>
    </row>
    <row r="168" spans="1:24" ht="12.75" customHeight="1" x14ac:dyDescent="0.3">
      <c r="A168" s="35"/>
      <c r="B168" s="35"/>
      <c r="C168" s="35"/>
      <c r="D168" s="35"/>
      <c r="E168" s="35"/>
      <c r="F168" s="35"/>
      <c r="G168" s="35"/>
      <c r="H168" s="234" t="s">
        <v>555</v>
      </c>
      <c r="I168" s="306" t="s">
        <v>556</v>
      </c>
      <c r="J168" s="234">
        <f t="shared" si="8"/>
        <v>0.99955810870525852</v>
      </c>
      <c r="K168" s="315">
        <f t="shared" si="9"/>
        <v>-4.4198895747159841E-4</v>
      </c>
      <c r="L168" s="234"/>
      <c r="M168" s="307">
        <v>41014</v>
      </c>
      <c r="N168" s="310">
        <v>2133.8828950000002</v>
      </c>
      <c r="O168" s="257"/>
      <c r="P168" s="234"/>
      <c r="Q168" s="234"/>
      <c r="R168" s="234"/>
      <c r="S168" s="35"/>
      <c r="T168" s="35"/>
      <c r="U168" s="35"/>
      <c r="V168" s="35"/>
      <c r="W168" s="35"/>
      <c r="X168" s="35"/>
    </row>
    <row r="169" spans="1:24" ht="12.75" customHeight="1" x14ac:dyDescent="0.3">
      <c r="A169" s="35"/>
      <c r="B169" s="35"/>
      <c r="C169" s="35"/>
      <c r="D169" s="35"/>
      <c r="E169" s="35"/>
      <c r="F169" s="35"/>
      <c r="G169" s="35"/>
      <c r="H169" s="234" t="s">
        <v>557</v>
      </c>
      <c r="I169" s="306" t="s">
        <v>558</v>
      </c>
      <c r="J169" s="234">
        <f t="shared" si="8"/>
        <v>1.0001348324706552</v>
      </c>
      <c r="K169" s="315">
        <f t="shared" si="9"/>
        <v>1.348233815745766E-4</v>
      </c>
      <c r="L169" s="234"/>
      <c r="M169" s="307">
        <v>40983</v>
      </c>
      <c r="N169" s="310">
        <v>2129.4112540000001</v>
      </c>
      <c r="O169" s="257"/>
      <c r="P169" s="234"/>
      <c r="Q169" s="234"/>
      <c r="R169" s="234"/>
      <c r="S169" s="35"/>
      <c r="T169" s="35"/>
      <c r="U169" s="35"/>
      <c r="V169" s="35"/>
      <c r="W169" s="35"/>
      <c r="X169" s="35"/>
    </row>
    <row r="170" spans="1:24" ht="12.75" customHeight="1" x14ac:dyDescent="0.3">
      <c r="A170" s="35"/>
      <c r="B170" s="35"/>
      <c r="C170" s="35"/>
      <c r="D170" s="35"/>
      <c r="E170" s="35"/>
      <c r="F170" s="35"/>
      <c r="G170" s="35"/>
      <c r="H170" s="234" t="s">
        <v>559</v>
      </c>
      <c r="I170" s="306" t="s">
        <v>560</v>
      </c>
      <c r="J170" s="234">
        <f t="shared" si="8"/>
        <v>0.9879228304386114</v>
      </c>
      <c r="K170" s="315">
        <f t="shared" si="9"/>
        <v>-1.2150691128278313E-2</v>
      </c>
      <c r="L170" s="234"/>
      <c r="M170" s="307">
        <v>40954</v>
      </c>
      <c r="N170" s="310">
        <v>2119.8734060000002</v>
      </c>
      <c r="O170" s="257"/>
      <c r="P170" s="234"/>
      <c r="Q170" s="234"/>
      <c r="R170" s="234"/>
      <c r="S170" s="35"/>
      <c r="T170" s="35"/>
      <c r="U170" s="35"/>
      <c r="V170" s="35"/>
      <c r="W170" s="35"/>
      <c r="X170" s="35"/>
    </row>
    <row r="171" spans="1:24" ht="12.75" customHeight="1" x14ac:dyDescent="0.3">
      <c r="A171" s="35"/>
      <c r="B171" s="35"/>
      <c r="C171" s="35"/>
      <c r="D171" s="35"/>
      <c r="E171" s="35"/>
      <c r="F171" s="35"/>
      <c r="G171" s="35"/>
      <c r="H171" s="234" t="s">
        <v>561</v>
      </c>
      <c r="I171" s="306" t="s">
        <v>562</v>
      </c>
      <c r="J171" s="234">
        <f t="shared" si="8"/>
        <v>1.0004738389095782</v>
      </c>
      <c r="K171" s="315">
        <f t="shared" si="9"/>
        <v>4.7372668337210884E-4</v>
      </c>
      <c r="L171" s="234"/>
      <c r="M171" s="307">
        <v>40923</v>
      </c>
      <c r="N171" s="310">
        <v>2108.0687710000002</v>
      </c>
      <c r="O171" s="257"/>
      <c r="P171" s="234"/>
      <c r="Q171" s="234"/>
      <c r="R171" s="234"/>
      <c r="S171" s="35"/>
      <c r="T171" s="35"/>
      <c r="U171" s="35"/>
      <c r="V171" s="35"/>
      <c r="W171" s="35"/>
      <c r="X171" s="35"/>
    </row>
    <row r="172" spans="1:24" ht="12.75" customHeight="1" x14ac:dyDescent="0.3">
      <c r="A172" s="35"/>
      <c r="B172" s="35"/>
      <c r="C172" s="35"/>
      <c r="D172" s="35"/>
      <c r="E172" s="35"/>
      <c r="F172" s="35"/>
      <c r="G172" s="35"/>
      <c r="H172" s="234" t="s">
        <v>563</v>
      </c>
      <c r="I172" s="306" t="s">
        <v>564</v>
      </c>
      <c r="J172" s="234">
        <f t="shared" si="8"/>
        <v>0.99980013916236099</v>
      </c>
      <c r="K172" s="315">
        <f t="shared" si="9"/>
        <v>-1.9988081247772373E-4</v>
      </c>
      <c r="L172" s="234"/>
      <c r="M172" s="307">
        <v>40892</v>
      </c>
      <c r="N172" s="310">
        <v>2097.5833320000002</v>
      </c>
      <c r="O172" s="257"/>
      <c r="P172" s="234"/>
      <c r="Q172" s="234"/>
      <c r="R172" s="234"/>
      <c r="S172" s="35"/>
      <c r="T172" s="35"/>
      <c r="U172" s="35"/>
      <c r="V172" s="35"/>
      <c r="W172" s="35"/>
      <c r="X172" s="35"/>
    </row>
    <row r="173" spans="1:24" ht="12.75" customHeight="1" x14ac:dyDescent="0.3">
      <c r="A173" s="35"/>
      <c r="B173" s="35"/>
      <c r="C173" s="35"/>
      <c r="D173" s="35"/>
      <c r="E173" s="35"/>
      <c r="F173" s="35"/>
      <c r="G173" s="35"/>
      <c r="H173" s="234" t="s">
        <v>565</v>
      </c>
      <c r="I173" s="306" t="s">
        <v>566</v>
      </c>
      <c r="J173" s="234">
        <f t="shared" si="8"/>
        <v>1.0005702985549967</v>
      </c>
      <c r="K173" s="315">
        <f t="shared" si="9"/>
        <v>5.7013599657738674E-4</v>
      </c>
      <c r="L173" s="234"/>
      <c r="M173" s="307">
        <v>40862</v>
      </c>
      <c r="N173" s="310">
        <v>2086.732481</v>
      </c>
      <c r="O173" s="257"/>
      <c r="P173" s="234"/>
      <c r="Q173" s="234"/>
      <c r="R173" s="234"/>
      <c r="S173" s="35"/>
      <c r="T173" s="35"/>
      <c r="U173" s="35"/>
      <c r="V173" s="35"/>
      <c r="W173" s="35"/>
      <c r="X173" s="35"/>
    </row>
    <row r="174" spans="1:24" ht="12.75" customHeight="1" x14ac:dyDescent="0.3">
      <c r="A174" s="35"/>
      <c r="B174" s="35"/>
      <c r="C174" s="35"/>
      <c r="D174" s="35"/>
      <c r="E174" s="35"/>
      <c r="F174" s="35"/>
      <c r="G174" s="35"/>
      <c r="H174" s="234" t="s">
        <v>567</v>
      </c>
      <c r="I174" s="306" t="s">
        <v>568</v>
      </c>
      <c r="J174" s="234">
        <f t="shared" si="8"/>
        <v>1.0020483742884496</v>
      </c>
      <c r="K174" s="315">
        <f t="shared" si="9"/>
        <v>2.0462792303244611E-3</v>
      </c>
      <c r="L174" s="234"/>
      <c r="M174" s="307">
        <v>40831</v>
      </c>
      <c r="N174" s="310">
        <v>2077.7953940000002</v>
      </c>
      <c r="O174" s="257"/>
      <c r="P174" s="234"/>
      <c r="Q174" s="234"/>
      <c r="R174" s="234"/>
      <c r="S174" s="35"/>
      <c r="T174" s="35"/>
      <c r="U174" s="35"/>
      <c r="V174" s="35"/>
      <c r="W174" s="35"/>
      <c r="X174" s="35"/>
    </row>
    <row r="175" spans="1:24" ht="12.75" customHeight="1" x14ac:dyDescent="0.3">
      <c r="A175" s="35"/>
      <c r="B175" s="35"/>
      <c r="C175" s="35"/>
      <c r="D175" s="35"/>
      <c r="E175" s="35"/>
      <c r="F175" s="35"/>
      <c r="G175" s="35"/>
      <c r="H175" s="234" t="s">
        <v>569</v>
      </c>
      <c r="I175" s="306" t="s">
        <v>570</v>
      </c>
      <c r="J175" s="234">
        <f t="shared" si="8"/>
        <v>1.0012037539289191</v>
      </c>
      <c r="K175" s="315">
        <f t="shared" si="9"/>
        <v>1.2030299980566172E-3</v>
      </c>
      <c r="L175" s="234"/>
      <c r="M175" s="307">
        <v>40801</v>
      </c>
      <c r="N175" s="310">
        <v>2066.8392560000002</v>
      </c>
      <c r="O175" s="257"/>
      <c r="P175" s="234"/>
      <c r="Q175" s="234"/>
      <c r="R175" s="234"/>
      <c r="S175" s="35"/>
      <c r="T175" s="35"/>
      <c r="U175" s="35"/>
      <c r="V175" s="35"/>
      <c r="W175" s="35"/>
      <c r="X175" s="35"/>
    </row>
    <row r="176" spans="1:24" ht="12.75" customHeight="1" x14ac:dyDescent="0.3">
      <c r="A176" s="35"/>
      <c r="B176" s="35"/>
      <c r="C176" s="35"/>
      <c r="D176" s="35"/>
      <c r="E176" s="35"/>
      <c r="F176" s="35"/>
      <c r="G176" s="35"/>
      <c r="H176" s="234" t="s">
        <v>571</v>
      </c>
      <c r="I176" s="306" t="s">
        <v>572</v>
      </c>
      <c r="J176" s="234">
        <f t="shared" si="8"/>
        <v>1.0176490604559718</v>
      </c>
      <c r="K176" s="315">
        <f t="shared" si="9"/>
        <v>1.7495124367636016E-2</v>
      </c>
      <c r="L176" s="234"/>
      <c r="M176" s="307">
        <v>40770</v>
      </c>
      <c r="N176" s="310">
        <v>2059.221364</v>
      </c>
      <c r="O176" s="257"/>
      <c r="P176" s="234"/>
      <c r="Q176" s="234"/>
      <c r="R176" s="234"/>
      <c r="S176" s="35"/>
      <c r="T176" s="35"/>
      <c r="U176" s="35"/>
      <c r="V176" s="35"/>
      <c r="W176" s="35"/>
      <c r="X176" s="35"/>
    </row>
    <row r="177" spans="1:24" ht="12.75" customHeight="1" x14ac:dyDescent="0.3">
      <c r="A177" s="35"/>
      <c r="B177" s="35"/>
      <c r="C177" s="35"/>
      <c r="D177" s="35"/>
      <c r="E177" s="35"/>
      <c r="F177" s="35"/>
      <c r="G177" s="35"/>
      <c r="H177" s="234" t="s">
        <v>573</v>
      </c>
      <c r="I177" s="306" t="s">
        <v>574</v>
      </c>
      <c r="J177" s="234">
        <f t="shared" si="8"/>
        <v>1.0136201980562283</v>
      </c>
      <c r="K177" s="315">
        <f t="shared" si="9"/>
        <v>1.3528276874621688E-2</v>
      </c>
      <c r="L177" s="234"/>
      <c r="M177" s="307">
        <v>40739</v>
      </c>
      <c r="N177" s="310">
        <v>2055.9326649999998</v>
      </c>
      <c r="O177" s="257"/>
      <c r="P177" s="234"/>
      <c r="Q177" s="234"/>
      <c r="R177" s="234"/>
      <c r="S177" s="35"/>
      <c r="T177" s="35"/>
      <c r="U177" s="35"/>
      <c r="V177" s="35"/>
      <c r="W177" s="35"/>
      <c r="X177" s="35"/>
    </row>
    <row r="178" spans="1:24" ht="12.75" customHeight="1" x14ac:dyDescent="0.3">
      <c r="A178" s="35"/>
      <c r="B178" s="35"/>
      <c r="C178" s="35"/>
      <c r="D178" s="35"/>
      <c r="E178" s="35"/>
      <c r="F178" s="35"/>
      <c r="G178" s="35"/>
      <c r="H178" s="234" t="s">
        <v>575</v>
      </c>
      <c r="I178" s="306" t="s">
        <v>576</v>
      </c>
      <c r="J178" s="234">
        <f t="shared" si="8"/>
        <v>1.0063092942537601</v>
      </c>
      <c r="K178" s="315">
        <f t="shared" si="9"/>
        <v>6.2894739810392206E-3</v>
      </c>
      <c r="L178" s="234"/>
      <c r="M178" s="307">
        <v>40709</v>
      </c>
      <c r="N178" s="310">
        <v>2052.8545410000002</v>
      </c>
      <c r="O178" s="257"/>
      <c r="P178" s="234"/>
      <c r="Q178" s="234"/>
      <c r="R178" s="234"/>
      <c r="S178" s="35"/>
      <c r="T178" s="35"/>
      <c r="U178" s="35"/>
      <c r="V178" s="35"/>
      <c r="W178" s="35"/>
      <c r="X178" s="35"/>
    </row>
    <row r="179" spans="1:24" ht="12.75" customHeight="1" x14ac:dyDescent="0.3">
      <c r="A179" s="35"/>
      <c r="B179" s="35"/>
      <c r="C179" s="35"/>
      <c r="D179" s="35"/>
      <c r="E179" s="35"/>
      <c r="F179" s="35"/>
      <c r="G179" s="35"/>
      <c r="H179" s="234" t="s">
        <v>577</v>
      </c>
      <c r="I179" s="306" t="s">
        <v>578</v>
      </c>
      <c r="J179" s="234">
        <f t="shared" si="8"/>
        <v>1.0103962093581471</v>
      </c>
      <c r="K179" s="315">
        <f t="shared" si="9"/>
        <v>1.0342540422153566E-2</v>
      </c>
      <c r="L179" s="234"/>
      <c r="M179" s="307">
        <v>40678</v>
      </c>
      <c r="N179" s="310">
        <v>2043.248566</v>
      </c>
      <c r="O179" s="257"/>
      <c r="P179" s="234"/>
      <c r="Q179" s="234"/>
      <c r="R179" s="234"/>
      <c r="S179" s="35"/>
      <c r="T179" s="35"/>
      <c r="U179" s="35"/>
      <c r="V179" s="35"/>
      <c r="W179" s="35"/>
      <c r="X179" s="35"/>
    </row>
    <row r="180" spans="1:24" ht="12.75" customHeight="1" x14ac:dyDescent="0.3">
      <c r="A180" s="35"/>
      <c r="B180" s="35"/>
      <c r="C180" s="35"/>
      <c r="D180" s="35"/>
      <c r="E180" s="35"/>
      <c r="F180" s="35"/>
      <c r="G180" s="35"/>
      <c r="H180" s="234" t="s">
        <v>579</v>
      </c>
      <c r="I180" s="306" t="s">
        <v>580</v>
      </c>
      <c r="J180" s="234">
        <f t="shared" si="8"/>
        <v>0.99281210104839646</v>
      </c>
      <c r="K180" s="315">
        <f t="shared" si="9"/>
        <v>-7.2138563582098058E-3</v>
      </c>
      <c r="L180" s="234"/>
      <c r="M180" s="307">
        <v>40648</v>
      </c>
      <c r="N180" s="310">
        <v>2027.6349849999999</v>
      </c>
      <c r="O180" s="257"/>
      <c r="P180" s="234"/>
      <c r="Q180" s="234"/>
      <c r="R180" s="234"/>
      <c r="S180" s="35"/>
      <c r="T180" s="35"/>
      <c r="U180" s="35"/>
      <c r="V180" s="35"/>
      <c r="W180" s="35"/>
      <c r="X180" s="35"/>
    </row>
    <row r="181" spans="1:24" ht="12.75" customHeight="1" x14ac:dyDescent="0.3">
      <c r="A181" s="35"/>
      <c r="B181" s="35"/>
      <c r="C181" s="35"/>
      <c r="D181" s="35"/>
      <c r="E181" s="35"/>
      <c r="F181" s="35"/>
      <c r="G181" s="35"/>
      <c r="H181" s="234" t="s">
        <v>581</v>
      </c>
      <c r="I181" s="306" t="s">
        <v>582</v>
      </c>
      <c r="J181" s="234">
        <f t="shared" si="8"/>
        <v>0.99840095170410659</v>
      </c>
      <c r="K181" s="315">
        <f t="shared" si="9"/>
        <v>-1.6003281381547312E-3</v>
      </c>
      <c r="L181" s="234"/>
      <c r="M181" s="307">
        <v>40617</v>
      </c>
      <c r="N181" s="310">
        <v>2011.7427009999999</v>
      </c>
      <c r="O181" s="257"/>
      <c r="P181" s="234"/>
      <c r="Q181" s="234"/>
      <c r="R181" s="234"/>
      <c r="S181" s="35"/>
      <c r="T181" s="35"/>
      <c r="U181" s="35"/>
      <c r="V181" s="35"/>
      <c r="W181" s="35"/>
      <c r="X181" s="35"/>
    </row>
    <row r="182" spans="1:24" ht="12.75" customHeight="1" x14ac:dyDescent="0.3">
      <c r="A182" s="35"/>
      <c r="B182" s="35"/>
      <c r="C182" s="35"/>
      <c r="D182" s="35"/>
      <c r="E182" s="35"/>
      <c r="F182" s="35"/>
      <c r="G182" s="35"/>
      <c r="H182" s="234" t="s">
        <v>583</v>
      </c>
      <c r="I182" s="306" t="s">
        <v>584</v>
      </c>
      <c r="J182" s="234">
        <f t="shared" si="8"/>
        <v>1.0138546243430997</v>
      </c>
      <c r="K182" s="315">
        <f t="shared" si="9"/>
        <v>1.3759526392816633E-2</v>
      </c>
      <c r="L182" s="234"/>
      <c r="M182" s="307">
        <v>40589</v>
      </c>
      <c r="N182" s="310">
        <v>1995.7760949999999</v>
      </c>
      <c r="O182" s="257"/>
      <c r="P182" s="234"/>
      <c r="Q182" s="234"/>
      <c r="R182" s="234"/>
      <c r="S182" s="35"/>
      <c r="T182" s="35"/>
      <c r="U182" s="35"/>
      <c r="V182" s="35"/>
      <c r="W182" s="35"/>
      <c r="X182" s="35"/>
    </row>
    <row r="183" spans="1:24" ht="12.75" customHeight="1" x14ac:dyDescent="0.3">
      <c r="A183" s="35"/>
      <c r="B183" s="35"/>
      <c r="C183" s="35"/>
      <c r="D183" s="35"/>
      <c r="E183" s="35"/>
      <c r="F183" s="35"/>
      <c r="G183" s="35"/>
      <c r="H183" s="234" t="s">
        <v>585</v>
      </c>
      <c r="I183" s="306" t="s">
        <v>586</v>
      </c>
      <c r="J183" s="234">
        <f t="shared" si="8"/>
        <v>1.0105100708321793</v>
      </c>
      <c r="K183" s="315">
        <f t="shared" si="9"/>
        <v>1.0455223999090046E-2</v>
      </c>
      <c r="L183" s="234"/>
      <c r="M183" s="307">
        <v>40558</v>
      </c>
      <c r="N183" s="310">
        <v>1979.344985</v>
      </c>
      <c r="O183" s="257"/>
      <c r="P183" s="234"/>
      <c r="Q183" s="234"/>
      <c r="R183" s="234"/>
      <c r="S183" s="35"/>
      <c r="T183" s="35"/>
      <c r="U183" s="35"/>
      <c r="V183" s="35"/>
      <c r="W183" s="35"/>
      <c r="X183" s="35"/>
    </row>
    <row r="184" spans="1:24" ht="12.75" customHeight="1" x14ac:dyDescent="0.3">
      <c r="A184" s="35"/>
      <c r="B184" s="35"/>
      <c r="C184" s="35"/>
      <c r="D184" s="35"/>
      <c r="E184" s="35"/>
      <c r="F184" s="35"/>
      <c r="G184" s="35"/>
      <c r="H184" s="234" t="s">
        <v>587</v>
      </c>
      <c r="I184" s="306" t="s">
        <v>588</v>
      </c>
      <c r="J184" s="234">
        <f t="shared" si="8"/>
        <v>0.98872421672039812</v>
      </c>
      <c r="K184" s="315">
        <f t="shared" si="9"/>
        <v>-1.133983688209734E-2</v>
      </c>
      <c r="L184" s="234"/>
      <c r="M184" s="307">
        <v>40527</v>
      </c>
      <c r="N184" s="310">
        <v>1966.9519760000001</v>
      </c>
      <c r="O184" s="257"/>
      <c r="P184" s="234"/>
      <c r="Q184" s="234"/>
      <c r="R184" s="234"/>
      <c r="S184" s="35"/>
      <c r="T184" s="35"/>
      <c r="U184" s="35"/>
      <c r="V184" s="35"/>
      <c r="W184" s="35"/>
      <c r="X184" s="35"/>
    </row>
    <row r="185" spans="1:24" ht="12.75" customHeight="1" x14ac:dyDescent="0.3">
      <c r="A185" s="35"/>
      <c r="B185" s="35"/>
      <c r="C185" s="35"/>
      <c r="D185" s="35"/>
      <c r="E185" s="35"/>
      <c r="F185" s="35"/>
      <c r="G185" s="35"/>
      <c r="H185" s="234" t="s">
        <v>589</v>
      </c>
      <c r="I185" s="306" t="s">
        <v>590</v>
      </c>
      <c r="J185" s="234">
        <f t="shared" si="8"/>
        <v>1.0312116712930088</v>
      </c>
      <c r="K185" s="315">
        <f t="shared" si="9"/>
        <v>3.0734490745013308E-2</v>
      </c>
      <c r="L185" s="234"/>
      <c r="M185" s="307">
        <v>40497</v>
      </c>
      <c r="N185" s="310">
        <v>1950.7624080000001</v>
      </c>
      <c r="O185" s="257"/>
      <c r="P185" s="234"/>
      <c r="Q185" s="234"/>
      <c r="R185" s="234"/>
      <c r="S185" s="35"/>
      <c r="T185" s="35"/>
      <c r="U185" s="35"/>
      <c r="V185" s="35"/>
      <c r="W185" s="35"/>
      <c r="X185" s="35"/>
    </row>
    <row r="186" spans="1:24" ht="12.75" customHeight="1" x14ac:dyDescent="0.3">
      <c r="A186" s="35"/>
      <c r="B186" s="35"/>
      <c r="C186" s="35"/>
      <c r="D186" s="35"/>
      <c r="E186" s="35"/>
      <c r="F186" s="35"/>
      <c r="G186" s="35"/>
      <c r="H186" s="234" t="s">
        <v>591</v>
      </c>
      <c r="I186" s="306" t="s">
        <v>592</v>
      </c>
      <c r="J186" s="234">
        <f t="shared" si="8"/>
        <v>0.98678217664108037</v>
      </c>
      <c r="K186" s="315">
        <f t="shared" si="9"/>
        <v>-1.3305956264392163E-2</v>
      </c>
      <c r="L186" s="234"/>
      <c r="M186" s="307">
        <v>40466</v>
      </c>
      <c r="N186" s="310">
        <v>1936.238867</v>
      </c>
      <c r="O186" s="257"/>
      <c r="P186" s="234"/>
      <c r="Q186" s="234"/>
      <c r="R186" s="234"/>
      <c r="S186" s="35"/>
      <c r="T186" s="35"/>
      <c r="U186" s="35"/>
      <c r="V186" s="35"/>
      <c r="W186" s="35"/>
      <c r="X186" s="35"/>
    </row>
    <row r="187" spans="1:24" ht="12.75" customHeight="1" x14ac:dyDescent="0.3">
      <c r="A187" s="35"/>
      <c r="B187" s="35"/>
      <c r="C187" s="35"/>
      <c r="D187" s="35"/>
      <c r="E187" s="35"/>
      <c r="F187" s="35"/>
      <c r="G187" s="35"/>
      <c r="H187" s="234" t="s">
        <v>593</v>
      </c>
      <c r="I187" s="306" t="s">
        <v>594</v>
      </c>
      <c r="J187" s="234">
        <f t="shared" si="8"/>
        <v>0.98710199718617608</v>
      </c>
      <c r="K187" s="315">
        <f t="shared" si="9"/>
        <v>-1.2981904273768731E-2</v>
      </c>
      <c r="L187" s="234"/>
      <c r="M187" s="307">
        <v>40436</v>
      </c>
      <c r="N187" s="310">
        <v>1927.568096</v>
      </c>
      <c r="O187" s="257"/>
      <c r="P187" s="234"/>
      <c r="Q187" s="234"/>
      <c r="R187" s="234"/>
      <c r="S187" s="35"/>
      <c r="T187" s="35"/>
      <c r="U187" s="35"/>
      <c r="V187" s="35"/>
      <c r="W187" s="35"/>
      <c r="X187" s="35"/>
    </row>
    <row r="188" spans="1:24" ht="12.75" customHeight="1" x14ac:dyDescent="0.3">
      <c r="A188" s="35"/>
      <c r="B188" s="35"/>
      <c r="C188" s="35"/>
      <c r="D188" s="35"/>
      <c r="E188" s="35"/>
      <c r="F188" s="35"/>
      <c r="G188" s="35"/>
      <c r="H188" s="234" t="s">
        <v>595</v>
      </c>
      <c r="I188" s="306" t="s">
        <v>596</v>
      </c>
      <c r="J188" s="234">
        <f t="shared" si="8"/>
        <v>0.970184308253075</v>
      </c>
      <c r="K188" s="315">
        <f t="shared" si="9"/>
        <v>-3.0269217025714105E-2</v>
      </c>
      <c r="L188" s="234"/>
      <c r="M188" s="307">
        <v>40405</v>
      </c>
      <c r="N188" s="310">
        <v>1926.800113</v>
      </c>
      <c r="O188" s="257"/>
      <c r="P188" s="234"/>
      <c r="Q188" s="234"/>
      <c r="R188" s="234"/>
      <c r="S188" s="35"/>
      <c r="T188" s="35"/>
      <c r="U188" s="35"/>
      <c r="V188" s="35"/>
      <c r="W188" s="35"/>
      <c r="X188" s="35"/>
    </row>
    <row r="189" spans="1:24" ht="12.75" customHeight="1" x14ac:dyDescent="0.3">
      <c r="A189" s="35"/>
      <c r="B189" s="35"/>
      <c r="C189" s="35"/>
      <c r="D189" s="35"/>
      <c r="E189" s="35"/>
      <c r="F189" s="35"/>
      <c r="G189" s="35"/>
      <c r="H189" s="234" t="s">
        <v>597</v>
      </c>
      <c r="I189" s="306" t="s">
        <v>598</v>
      </c>
      <c r="J189" s="234">
        <f t="shared" si="8"/>
        <v>0.99964935015436218</v>
      </c>
      <c r="K189" s="315">
        <f t="shared" si="9"/>
        <v>-3.5071133767014231E-4</v>
      </c>
      <c r="L189" s="234"/>
      <c r="M189" s="307">
        <v>40374</v>
      </c>
      <c r="N189" s="310">
        <v>1926.6081180000001</v>
      </c>
      <c r="O189" s="257"/>
      <c r="P189" s="234"/>
      <c r="Q189" s="234"/>
      <c r="R189" s="234"/>
      <c r="S189" s="35"/>
      <c r="T189" s="35"/>
      <c r="U189" s="35"/>
      <c r="V189" s="35"/>
      <c r="W189" s="35"/>
      <c r="X189" s="35"/>
    </row>
    <row r="190" spans="1:24" ht="12.75" customHeight="1" x14ac:dyDescent="0.3">
      <c r="A190" s="35"/>
      <c r="B190" s="35"/>
      <c r="C190" s="35"/>
      <c r="D190" s="35"/>
      <c r="E190" s="35"/>
      <c r="F190" s="35"/>
      <c r="G190" s="35"/>
      <c r="H190" s="234" t="s">
        <v>599</v>
      </c>
      <c r="I190" s="306" t="s">
        <v>600</v>
      </c>
      <c r="J190" s="234">
        <f t="shared" si="8"/>
        <v>1.0002592431624615</v>
      </c>
      <c r="K190" s="315">
        <f t="shared" si="9"/>
        <v>2.5920956475939153E-4</v>
      </c>
      <c r="L190" s="234"/>
      <c r="M190" s="307">
        <v>40344</v>
      </c>
      <c r="N190" s="310">
        <v>1926.6081180000001</v>
      </c>
      <c r="O190" s="257"/>
      <c r="P190" s="234"/>
      <c r="Q190" s="234"/>
      <c r="R190" s="234"/>
      <c r="S190" s="35"/>
      <c r="T190" s="35"/>
      <c r="U190" s="35"/>
      <c r="V190" s="35"/>
      <c r="W190" s="35"/>
      <c r="X190" s="35"/>
    </row>
    <row r="191" spans="1:24" ht="12.75" customHeight="1" x14ac:dyDescent="0.3">
      <c r="A191" s="35"/>
      <c r="B191" s="35"/>
      <c r="C191" s="35"/>
      <c r="D191" s="35"/>
      <c r="E191" s="35"/>
      <c r="F191" s="35"/>
      <c r="G191" s="35"/>
      <c r="H191" s="234" t="s">
        <v>601</v>
      </c>
      <c r="I191" s="306" t="s">
        <v>602</v>
      </c>
      <c r="J191" s="234">
        <f t="shared" si="8"/>
        <v>1.0067860624716927</v>
      </c>
      <c r="K191" s="315">
        <f t="shared" si="9"/>
        <v>6.7631407899697519E-3</v>
      </c>
      <c r="L191" s="234"/>
      <c r="M191" s="307">
        <v>40313</v>
      </c>
      <c r="N191" s="310">
        <v>1918.3584989999999</v>
      </c>
      <c r="O191" s="257"/>
      <c r="P191" s="234"/>
      <c r="Q191" s="234"/>
      <c r="R191" s="234"/>
      <c r="S191" s="35"/>
      <c r="T191" s="35"/>
      <c r="U191" s="35"/>
      <c r="V191" s="35"/>
      <c r="W191" s="35"/>
      <c r="X191" s="35"/>
    </row>
    <row r="192" spans="1:24" ht="12.75" customHeight="1" x14ac:dyDescent="0.3">
      <c r="A192" s="35"/>
      <c r="B192" s="35"/>
      <c r="C192" s="35"/>
      <c r="D192" s="35"/>
      <c r="E192" s="35"/>
      <c r="F192" s="35"/>
      <c r="G192" s="35"/>
      <c r="H192" s="234" t="s">
        <v>603</v>
      </c>
      <c r="I192" s="306" t="s">
        <v>604</v>
      </c>
      <c r="J192" s="234">
        <f t="shared" si="8"/>
        <v>0.98761940864291131</v>
      </c>
      <c r="K192" s="315">
        <f t="shared" si="9"/>
        <v>-1.2457869372391203E-2</v>
      </c>
      <c r="L192" s="234"/>
      <c r="M192" s="307">
        <v>40283</v>
      </c>
      <c r="N192" s="310">
        <v>1907.4828749999999</v>
      </c>
      <c r="O192" s="257"/>
      <c r="P192" s="234"/>
      <c r="Q192" s="234"/>
      <c r="R192" s="234"/>
      <c r="S192" s="35"/>
      <c r="T192" s="35"/>
      <c r="U192" s="35"/>
      <c r="V192" s="35"/>
      <c r="W192" s="35"/>
      <c r="X192" s="35"/>
    </row>
    <row r="193" spans="1:24" ht="12.75" customHeight="1" x14ac:dyDescent="0.3">
      <c r="A193" s="35"/>
      <c r="B193" s="35"/>
      <c r="C193" s="35"/>
      <c r="D193" s="35"/>
      <c r="E193" s="35"/>
      <c r="F193" s="35"/>
      <c r="G193" s="35"/>
      <c r="H193" s="234" t="s">
        <v>605</v>
      </c>
      <c r="I193" s="306" t="s">
        <v>606</v>
      </c>
      <c r="J193" s="234">
        <f t="shared" si="8"/>
        <v>0.99066417310711041</v>
      </c>
      <c r="K193" s="315">
        <f t="shared" si="9"/>
        <v>-9.3796788678067195E-3</v>
      </c>
      <c r="L193" s="234"/>
      <c r="M193" s="307">
        <v>40252</v>
      </c>
      <c r="N193" s="310">
        <v>1897.6167760000001</v>
      </c>
      <c r="O193" s="257"/>
      <c r="P193" s="234"/>
      <c r="Q193" s="234"/>
      <c r="R193" s="234"/>
      <c r="S193" s="35"/>
      <c r="T193" s="35"/>
      <c r="U193" s="35"/>
      <c r="V193" s="35"/>
      <c r="W193" s="35"/>
      <c r="X193" s="35"/>
    </row>
    <row r="194" spans="1:24" ht="12.75" customHeight="1" x14ac:dyDescent="0.3">
      <c r="A194" s="35"/>
      <c r="B194" s="35"/>
      <c r="C194" s="35"/>
      <c r="D194" s="35"/>
      <c r="E194" s="35"/>
      <c r="F194" s="35"/>
      <c r="G194" s="35"/>
      <c r="H194" s="234" t="s">
        <v>607</v>
      </c>
      <c r="I194" s="306" t="s">
        <v>608</v>
      </c>
      <c r="J194" s="234">
        <f t="shared" si="8"/>
        <v>1.0046860143976095</v>
      </c>
      <c r="K194" s="315">
        <f t="shared" si="9"/>
        <v>4.6750692116890018E-3</v>
      </c>
      <c r="L194" s="234"/>
      <c r="M194" s="307">
        <v>40224</v>
      </c>
      <c r="N194" s="310">
        <v>1882.932206</v>
      </c>
      <c r="O194" s="257"/>
      <c r="P194" s="234"/>
      <c r="Q194" s="234"/>
      <c r="R194" s="234"/>
      <c r="S194" s="35"/>
      <c r="T194" s="35"/>
      <c r="U194" s="35"/>
      <c r="V194" s="35"/>
      <c r="W194" s="35"/>
      <c r="X194" s="35"/>
    </row>
    <row r="195" spans="1:24" ht="12.75" customHeight="1" x14ac:dyDescent="0.3">
      <c r="A195" s="35"/>
      <c r="B195" s="35"/>
      <c r="C195" s="35"/>
      <c r="D195" s="35"/>
      <c r="E195" s="35"/>
      <c r="F195" s="35"/>
      <c r="G195" s="35"/>
      <c r="H195" s="234" t="s">
        <v>609</v>
      </c>
      <c r="I195" s="306" t="s">
        <v>610</v>
      </c>
      <c r="J195" s="234">
        <f t="shared" si="8"/>
        <v>1.0034300252140926</v>
      </c>
      <c r="K195" s="315">
        <f t="shared" si="9"/>
        <v>3.4241560945974057E-3</v>
      </c>
      <c r="L195" s="234"/>
      <c r="M195" s="307">
        <v>40193</v>
      </c>
      <c r="N195" s="310">
        <v>1868.9165250000001</v>
      </c>
      <c r="O195" s="257"/>
      <c r="P195" s="234"/>
      <c r="Q195" s="234"/>
      <c r="R195" s="234"/>
      <c r="S195" s="35"/>
      <c r="T195" s="35"/>
      <c r="U195" s="35"/>
      <c r="V195" s="35"/>
      <c r="W195" s="35"/>
      <c r="X195" s="35"/>
    </row>
    <row r="196" spans="1:24" ht="12.75" customHeight="1" x14ac:dyDescent="0.3">
      <c r="A196" s="35"/>
      <c r="B196" s="35"/>
      <c r="C196" s="35"/>
      <c r="D196" s="35"/>
      <c r="E196" s="35"/>
      <c r="F196" s="35"/>
      <c r="G196" s="35"/>
      <c r="H196" s="234" t="s">
        <v>611</v>
      </c>
      <c r="I196" s="306" t="s">
        <v>612</v>
      </c>
      <c r="J196" s="234">
        <f t="shared" si="8"/>
        <v>1.005650018655722</v>
      </c>
      <c r="K196" s="315">
        <f t="shared" si="9"/>
        <v>5.6341171680021592E-3</v>
      </c>
      <c r="L196" s="234"/>
      <c r="M196" s="307">
        <v>40162</v>
      </c>
      <c r="N196" s="310">
        <v>1862.0294550000001</v>
      </c>
      <c r="O196" s="257"/>
      <c r="P196" s="234"/>
      <c r="Q196" s="234"/>
      <c r="R196" s="234"/>
      <c r="S196" s="35"/>
      <c r="T196" s="35"/>
      <c r="U196" s="35"/>
      <c r="V196" s="35"/>
      <c r="W196" s="35"/>
      <c r="X196" s="35"/>
    </row>
    <row r="197" spans="1:24" ht="12.75" customHeight="1" x14ac:dyDescent="0.3">
      <c r="A197" s="35"/>
      <c r="B197" s="35"/>
      <c r="C197" s="35"/>
      <c r="D197" s="35"/>
      <c r="E197" s="35"/>
      <c r="F197" s="35"/>
      <c r="G197" s="35"/>
      <c r="H197" s="234" t="s">
        <v>613</v>
      </c>
      <c r="I197" s="306" t="s">
        <v>614</v>
      </c>
      <c r="J197" s="234">
        <f t="shared" ref="J197:J260" si="10">I197/I198</f>
        <v>0.99231548086804089</v>
      </c>
      <c r="K197" s="315">
        <f t="shared" ref="K197:K260" si="11">LN(J197)</f>
        <v>-7.7141971879276568E-3</v>
      </c>
      <c r="L197" s="234"/>
      <c r="M197" s="307">
        <v>40132</v>
      </c>
      <c r="N197" s="310">
        <v>1854.423951</v>
      </c>
      <c r="O197" s="257"/>
      <c r="P197" s="234"/>
      <c r="Q197" s="234"/>
      <c r="R197" s="234"/>
      <c r="S197" s="35"/>
      <c r="T197" s="35"/>
      <c r="U197" s="35"/>
      <c r="V197" s="35"/>
      <c r="W197" s="35"/>
      <c r="X197" s="35"/>
    </row>
    <row r="198" spans="1:24" ht="12.75" customHeight="1" x14ac:dyDescent="0.3">
      <c r="A198" s="35"/>
      <c r="B198" s="35"/>
      <c r="C198" s="35"/>
      <c r="D198" s="35"/>
      <c r="E198" s="35"/>
      <c r="F198" s="35"/>
      <c r="G198" s="35"/>
      <c r="H198" s="234" t="s">
        <v>615</v>
      </c>
      <c r="I198" s="306" t="s">
        <v>616</v>
      </c>
      <c r="J198" s="234">
        <f t="shared" si="10"/>
        <v>1.0025680845422522</v>
      </c>
      <c r="K198" s="315">
        <f t="shared" si="11"/>
        <v>2.5647926478484166E-3</v>
      </c>
      <c r="L198" s="234"/>
      <c r="M198" s="307">
        <v>40101</v>
      </c>
      <c r="N198" s="310">
        <v>1849.2462619999999</v>
      </c>
      <c r="O198" s="257"/>
      <c r="P198" s="234"/>
      <c r="Q198" s="234"/>
      <c r="R198" s="234"/>
      <c r="S198" s="35"/>
      <c r="T198" s="35"/>
      <c r="U198" s="35"/>
      <c r="V198" s="35"/>
      <c r="W198" s="35"/>
      <c r="X198" s="35"/>
    </row>
    <row r="199" spans="1:24" ht="12.75" customHeight="1" x14ac:dyDescent="0.3">
      <c r="A199" s="35"/>
      <c r="B199" s="35"/>
      <c r="C199" s="35"/>
      <c r="D199" s="35"/>
      <c r="E199" s="35"/>
      <c r="F199" s="35"/>
      <c r="G199" s="35"/>
      <c r="H199" s="234" t="s">
        <v>617</v>
      </c>
      <c r="I199" s="306" t="s">
        <v>618</v>
      </c>
      <c r="J199" s="234">
        <f t="shared" si="10"/>
        <v>0.99622655748839661</v>
      </c>
      <c r="K199" s="315">
        <f t="shared" si="11"/>
        <v>-3.780579906487841E-3</v>
      </c>
      <c r="L199" s="234"/>
      <c r="M199" s="307">
        <v>40071</v>
      </c>
      <c r="N199" s="310">
        <v>1844.8179749999999</v>
      </c>
      <c r="O199" s="257"/>
      <c r="P199" s="234"/>
      <c r="Q199" s="234"/>
      <c r="R199" s="234"/>
      <c r="S199" s="35"/>
      <c r="T199" s="35"/>
      <c r="U199" s="35"/>
      <c r="V199" s="35"/>
      <c r="W199" s="35"/>
      <c r="X199" s="35"/>
    </row>
    <row r="200" spans="1:24" ht="12.75" customHeight="1" x14ac:dyDescent="0.3">
      <c r="A200" s="35"/>
      <c r="B200" s="35"/>
      <c r="C200" s="35"/>
      <c r="D200" s="35"/>
      <c r="E200" s="35"/>
      <c r="F200" s="35"/>
      <c r="G200" s="35"/>
      <c r="H200" s="234" t="s">
        <v>619</v>
      </c>
      <c r="I200" s="306" t="s">
        <v>620</v>
      </c>
      <c r="J200" s="234">
        <f t="shared" si="10"/>
        <v>1.0078265234719646</v>
      </c>
      <c r="K200" s="315">
        <f t="shared" si="11"/>
        <v>7.7960551081250901E-3</v>
      </c>
      <c r="L200" s="234"/>
      <c r="M200" s="307">
        <v>40040</v>
      </c>
      <c r="N200" s="310">
        <v>1842.055715</v>
      </c>
      <c r="O200" s="257"/>
      <c r="P200" s="234"/>
      <c r="Q200" s="234"/>
      <c r="R200" s="234"/>
      <c r="S200" s="35"/>
      <c r="T200" s="35"/>
      <c r="U200" s="35"/>
      <c r="V200" s="35"/>
      <c r="W200" s="35"/>
      <c r="X200" s="35"/>
    </row>
    <row r="201" spans="1:24" ht="12.75" customHeight="1" x14ac:dyDescent="0.3">
      <c r="A201" s="35"/>
      <c r="B201" s="35"/>
      <c r="C201" s="35"/>
      <c r="D201" s="35"/>
      <c r="E201" s="35"/>
      <c r="F201" s="35"/>
      <c r="G201" s="35"/>
      <c r="H201" s="234" t="s">
        <v>621</v>
      </c>
      <c r="I201" s="306" t="s">
        <v>622</v>
      </c>
      <c r="J201" s="234">
        <f t="shared" si="10"/>
        <v>1.0049223431576373</v>
      </c>
      <c r="K201" s="315">
        <f t="shared" si="11"/>
        <v>4.9102680356078255E-3</v>
      </c>
      <c r="L201" s="234"/>
      <c r="M201" s="307">
        <v>40009</v>
      </c>
      <c r="N201" s="310">
        <v>1837.646009</v>
      </c>
      <c r="O201" s="257"/>
      <c r="P201" s="234"/>
      <c r="Q201" s="234"/>
      <c r="R201" s="234"/>
      <c r="S201" s="35"/>
      <c r="T201" s="35"/>
      <c r="U201" s="35"/>
      <c r="V201" s="35"/>
      <c r="W201" s="35"/>
      <c r="X201" s="35"/>
    </row>
    <row r="202" spans="1:24" ht="12.75" customHeight="1" x14ac:dyDescent="0.3">
      <c r="A202" s="35"/>
      <c r="B202" s="35"/>
      <c r="C202" s="35"/>
      <c r="D202" s="35"/>
      <c r="E202" s="35"/>
      <c r="F202" s="35"/>
      <c r="G202" s="35"/>
      <c r="H202" s="234" t="s">
        <v>623</v>
      </c>
      <c r="I202" s="306" t="s">
        <v>624</v>
      </c>
      <c r="J202" s="234">
        <f t="shared" si="10"/>
        <v>1.0145239959987282</v>
      </c>
      <c r="K202" s="315">
        <f t="shared" si="11"/>
        <v>1.4419533033800062E-2</v>
      </c>
      <c r="L202" s="234"/>
      <c r="M202" s="307">
        <v>39979</v>
      </c>
      <c r="N202" s="310">
        <v>1831.056223</v>
      </c>
      <c r="O202" s="257"/>
      <c r="P202" s="234"/>
      <c r="Q202" s="234"/>
      <c r="R202" s="234"/>
      <c r="S202" s="35"/>
      <c r="T202" s="35"/>
      <c r="U202" s="35"/>
      <c r="V202" s="35"/>
      <c r="W202" s="35"/>
      <c r="X202" s="35"/>
    </row>
    <row r="203" spans="1:24" ht="12.75" customHeight="1" x14ac:dyDescent="0.3">
      <c r="A203" s="35"/>
      <c r="B203" s="35"/>
      <c r="C203" s="35"/>
      <c r="D203" s="35"/>
      <c r="E203" s="35"/>
      <c r="F203" s="35"/>
      <c r="G203" s="35"/>
      <c r="H203" s="234" t="s">
        <v>625</v>
      </c>
      <c r="I203" s="306" t="s">
        <v>626</v>
      </c>
      <c r="J203" s="234">
        <f t="shared" si="10"/>
        <v>1.0263595629024171</v>
      </c>
      <c r="K203" s="315">
        <f t="shared" si="11"/>
        <v>2.6018136526855602E-2</v>
      </c>
      <c r="L203" s="234"/>
      <c r="M203" s="307">
        <v>39948</v>
      </c>
      <c r="N203" s="310">
        <v>1822.49074</v>
      </c>
      <c r="O203" s="257"/>
      <c r="P203" s="234"/>
      <c r="Q203" s="234"/>
      <c r="R203" s="234"/>
      <c r="S203" s="35"/>
      <c r="T203" s="35"/>
      <c r="U203" s="35"/>
      <c r="V203" s="35"/>
      <c r="W203" s="35"/>
      <c r="X203" s="35"/>
    </row>
    <row r="204" spans="1:24" ht="12.75" customHeight="1" x14ac:dyDescent="0.3">
      <c r="A204" s="35"/>
      <c r="B204" s="35"/>
      <c r="C204" s="35"/>
      <c r="D204" s="35"/>
      <c r="E204" s="35"/>
      <c r="F204" s="35"/>
      <c r="G204" s="35"/>
      <c r="H204" s="234" t="s">
        <v>627</v>
      </c>
      <c r="I204" s="306" t="s">
        <v>628</v>
      </c>
      <c r="J204" s="234">
        <f t="shared" si="10"/>
        <v>1.014403009776931</v>
      </c>
      <c r="K204" s="315">
        <f t="shared" si="11"/>
        <v>1.4300271747813693E-2</v>
      </c>
      <c r="L204" s="234"/>
      <c r="M204" s="307">
        <v>39918</v>
      </c>
      <c r="N204" s="310">
        <v>1813.782809</v>
      </c>
      <c r="O204" s="257"/>
      <c r="P204" s="234"/>
      <c r="Q204" s="234"/>
      <c r="R204" s="234"/>
      <c r="S204" s="35"/>
      <c r="T204" s="35"/>
      <c r="U204" s="35"/>
      <c r="V204" s="35"/>
      <c r="W204" s="35"/>
      <c r="X204" s="35"/>
    </row>
    <row r="205" spans="1:24" ht="12.75" customHeight="1" x14ac:dyDescent="0.3">
      <c r="A205" s="35"/>
      <c r="B205" s="35"/>
      <c r="C205" s="35"/>
      <c r="D205" s="35"/>
      <c r="E205" s="35"/>
      <c r="F205" s="35"/>
      <c r="G205" s="35"/>
      <c r="H205" s="234" t="s">
        <v>629</v>
      </c>
      <c r="I205" s="306" t="s">
        <v>630</v>
      </c>
      <c r="J205" s="234">
        <f t="shared" si="10"/>
        <v>1.0028824277166477</v>
      </c>
      <c r="K205" s="315">
        <f t="shared" si="11"/>
        <v>2.8782814874366539E-3</v>
      </c>
      <c r="L205" s="234"/>
      <c r="M205" s="307">
        <v>39887</v>
      </c>
      <c r="N205" s="310">
        <v>1810.165859</v>
      </c>
      <c r="O205" s="257"/>
      <c r="P205" s="234"/>
      <c r="Q205" s="234"/>
      <c r="R205" s="234"/>
      <c r="S205" s="35"/>
      <c r="T205" s="35"/>
      <c r="U205" s="35"/>
      <c r="V205" s="35"/>
      <c r="W205" s="35"/>
      <c r="X205" s="35"/>
    </row>
    <row r="206" spans="1:24" ht="12.75" customHeight="1" x14ac:dyDescent="0.3">
      <c r="A206" s="35"/>
      <c r="B206" s="35"/>
      <c r="C206" s="35"/>
      <c r="D206" s="35"/>
      <c r="E206" s="35"/>
      <c r="F206" s="35"/>
      <c r="G206" s="35"/>
      <c r="H206" s="234" t="s">
        <v>631</v>
      </c>
      <c r="I206" s="306" t="s">
        <v>632</v>
      </c>
      <c r="J206" s="234">
        <f t="shared" si="10"/>
        <v>0.9918727262506124</v>
      </c>
      <c r="K206" s="315">
        <f t="shared" si="11"/>
        <v>-8.1604800790249649E-3</v>
      </c>
      <c r="L206" s="234"/>
      <c r="M206" s="307">
        <v>39859</v>
      </c>
      <c r="N206" s="310">
        <v>1800.2626</v>
      </c>
      <c r="O206" s="257"/>
      <c r="P206" s="234"/>
      <c r="Q206" s="234"/>
      <c r="R206" s="234"/>
      <c r="S206" s="35"/>
      <c r="T206" s="35"/>
      <c r="U206" s="35"/>
      <c r="V206" s="35"/>
      <c r="W206" s="35"/>
      <c r="X206" s="35"/>
    </row>
    <row r="207" spans="1:24" ht="12.75" customHeight="1" x14ac:dyDescent="0.3">
      <c r="A207" s="35"/>
      <c r="B207" s="35"/>
      <c r="C207" s="35"/>
      <c r="D207" s="35"/>
      <c r="E207" s="35"/>
      <c r="F207" s="35"/>
      <c r="G207" s="35"/>
      <c r="H207" s="234" t="s">
        <v>633</v>
      </c>
      <c r="I207" s="306" t="s">
        <v>634</v>
      </c>
      <c r="J207" s="234">
        <f t="shared" si="10"/>
        <v>0.99590501555614208</v>
      </c>
      <c r="K207" s="315">
        <f t="shared" si="11"/>
        <v>-4.1033918526439716E-3</v>
      </c>
      <c r="L207" s="234"/>
      <c r="M207" s="307">
        <v>39828</v>
      </c>
      <c r="N207" s="310">
        <v>1791.66615</v>
      </c>
      <c r="O207" s="257"/>
      <c r="P207" s="234"/>
      <c r="Q207" s="234"/>
      <c r="R207" s="234"/>
      <c r="S207" s="35"/>
      <c r="T207" s="35"/>
      <c r="U207" s="35"/>
      <c r="V207" s="35"/>
      <c r="W207" s="35"/>
      <c r="X207" s="35"/>
    </row>
    <row r="208" spans="1:24" ht="12.75" customHeight="1" x14ac:dyDescent="0.3">
      <c r="A208" s="35"/>
      <c r="B208" s="35"/>
      <c r="C208" s="35"/>
      <c r="D208" s="35"/>
      <c r="E208" s="35"/>
      <c r="F208" s="35"/>
      <c r="G208" s="35"/>
      <c r="H208" s="234" t="s">
        <v>635</v>
      </c>
      <c r="I208" s="306" t="s">
        <v>636</v>
      </c>
      <c r="J208" s="234">
        <f t="shared" si="10"/>
        <v>1.0135703689292055</v>
      </c>
      <c r="K208" s="315">
        <f t="shared" si="11"/>
        <v>1.3479116102226305E-2</v>
      </c>
      <c r="L208" s="234"/>
      <c r="M208" s="307">
        <v>39797</v>
      </c>
      <c r="N208" s="310">
        <v>1786.661877</v>
      </c>
      <c r="O208" s="257"/>
      <c r="P208" s="234"/>
      <c r="Q208" s="234"/>
      <c r="R208" s="234"/>
      <c r="S208" s="35"/>
      <c r="T208" s="35"/>
      <c r="U208" s="35"/>
      <c r="V208" s="35"/>
      <c r="W208" s="35"/>
      <c r="X208" s="35"/>
    </row>
    <row r="209" spans="1:24" ht="12.75" customHeight="1" x14ac:dyDescent="0.3">
      <c r="A209" s="35"/>
      <c r="B209" s="35"/>
      <c r="C209" s="35"/>
      <c r="D209" s="35"/>
      <c r="E209" s="35"/>
      <c r="F209" s="35"/>
      <c r="G209" s="35"/>
      <c r="H209" s="234" t="s">
        <v>637</v>
      </c>
      <c r="I209" s="306" t="s">
        <v>638</v>
      </c>
      <c r="J209" s="234">
        <f t="shared" si="10"/>
        <v>1.0025112151355569</v>
      </c>
      <c r="K209" s="315">
        <f t="shared" si="11"/>
        <v>2.5080673036490661E-3</v>
      </c>
      <c r="L209" s="234"/>
      <c r="M209" s="307">
        <v>39767</v>
      </c>
      <c r="N209" s="310">
        <v>1780.2517</v>
      </c>
      <c r="O209" s="257"/>
      <c r="P209" s="234"/>
      <c r="Q209" s="234"/>
      <c r="R209" s="234"/>
      <c r="S209" s="35"/>
      <c r="T209" s="35"/>
      <c r="U209" s="35"/>
      <c r="V209" s="35"/>
      <c r="W209" s="35"/>
      <c r="X209" s="35"/>
    </row>
    <row r="210" spans="1:24" ht="12.75" customHeight="1" x14ac:dyDescent="0.3">
      <c r="A210" s="35"/>
      <c r="B210" s="35"/>
      <c r="C210" s="35"/>
      <c r="D210" s="35"/>
      <c r="E210" s="35"/>
      <c r="F210" s="35"/>
      <c r="G210" s="35"/>
      <c r="H210" s="234" t="s">
        <v>639</v>
      </c>
      <c r="I210" s="306" t="s">
        <v>640</v>
      </c>
      <c r="J210" s="234">
        <f t="shared" si="10"/>
        <v>1.0020277038086629</v>
      </c>
      <c r="K210" s="315">
        <f t="shared" si="11"/>
        <v>2.0256507920996302E-3</v>
      </c>
      <c r="L210" s="234"/>
      <c r="M210" s="307">
        <v>39736</v>
      </c>
      <c r="N210" s="310">
        <v>1772.27459</v>
      </c>
      <c r="O210" s="257"/>
      <c r="P210" s="234"/>
      <c r="Q210" s="234"/>
      <c r="R210" s="234"/>
      <c r="S210" s="35"/>
      <c r="T210" s="35"/>
      <c r="U210" s="35"/>
      <c r="V210" s="35"/>
      <c r="W210" s="35"/>
      <c r="X210" s="35"/>
    </row>
    <row r="211" spans="1:24" ht="12.75" customHeight="1" x14ac:dyDescent="0.3">
      <c r="A211" s="35"/>
      <c r="B211" s="35"/>
      <c r="C211" s="35"/>
      <c r="D211" s="35"/>
      <c r="E211" s="35"/>
      <c r="F211" s="35"/>
      <c r="G211" s="35"/>
      <c r="H211" s="234" t="s">
        <v>641</v>
      </c>
      <c r="I211" s="306" t="s">
        <v>642</v>
      </c>
      <c r="J211" s="234">
        <f t="shared" si="10"/>
        <v>0.98398211509799838</v>
      </c>
      <c r="K211" s="315">
        <f t="shared" si="11"/>
        <v>-1.6147557808480192E-2</v>
      </c>
      <c r="L211" s="234"/>
      <c r="M211" s="307">
        <v>39706</v>
      </c>
      <c r="N211" s="310">
        <v>1767.6790820000001</v>
      </c>
      <c r="O211" s="257"/>
      <c r="P211" s="234"/>
      <c r="Q211" s="234"/>
      <c r="R211" s="234"/>
      <c r="S211" s="35"/>
      <c r="T211" s="35"/>
      <c r="U211" s="35"/>
      <c r="V211" s="35"/>
      <c r="W211" s="35"/>
      <c r="X211" s="35"/>
    </row>
    <row r="212" spans="1:24" ht="12.75" customHeight="1" x14ac:dyDescent="0.3">
      <c r="A212" s="35"/>
      <c r="B212" s="35"/>
      <c r="C212" s="35"/>
      <c r="D212" s="35"/>
      <c r="E212" s="35"/>
      <c r="F212" s="35"/>
      <c r="G212" s="35"/>
      <c r="H212" s="234" t="s">
        <v>643</v>
      </c>
      <c r="I212" s="306" t="s">
        <v>644</v>
      </c>
      <c r="J212" s="234">
        <f t="shared" si="10"/>
        <v>1.0002404462682739</v>
      </c>
      <c r="K212" s="315">
        <f t="shared" si="11"/>
        <v>2.4041736570286235E-4</v>
      </c>
      <c r="L212" s="234"/>
      <c r="M212" s="307">
        <v>39675</v>
      </c>
      <c r="N212" s="310">
        <v>1762.7429360000001</v>
      </c>
      <c r="O212" s="257"/>
      <c r="P212" s="234"/>
      <c r="Q212" s="234"/>
      <c r="R212" s="234"/>
      <c r="S212" s="35"/>
      <c r="T212" s="35"/>
      <c r="U212" s="35"/>
      <c r="V212" s="35"/>
      <c r="W212" s="35"/>
      <c r="X212" s="35"/>
    </row>
    <row r="213" spans="1:24" ht="12.75" customHeight="1" x14ac:dyDescent="0.3">
      <c r="A213" s="35"/>
      <c r="B213" s="35"/>
      <c r="C213" s="35"/>
      <c r="D213" s="35"/>
      <c r="E213" s="35"/>
      <c r="F213" s="35"/>
      <c r="G213" s="35"/>
      <c r="H213" s="234" t="s">
        <v>645</v>
      </c>
      <c r="I213" s="306" t="s">
        <v>646</v>
      </c>
      <c r="J213" s="234">
        <f t="shared" si="10"/>
        <v>0.99037942530560408</v>
      </c>
      <c r="K213" s="315">
        <f t="shared" si="11"/>
        <v>-9.6671513935961163E-3</v>
      </c>
      <c r="L213" s="234"/>
      <c r="M213" s="307">
        <v>39644</v>
      </c>
      <c r="N213" s="310">
        <v>1753.452824</v>
      </c>
      <c r="O213" s="257"/>
      <c r="P213" s="234"/>
      <c r="Q213" s="234"/>
      <c r="R213" s="234"/>
      <c r="S213" s="35"/>
      <c r="T213" s="35"/>
      <c r="U213" s="35"/>
      <c r="V213" s="35"/>
      <c r="W213" s="35"/>
      <c r="X213" s="35"/>
    </row>
    <row r="214" spans="1:24" ht="12.75" customHeight="1" x14ac:dyDescent="0.3">
      <c r="A214" s="35"/>
      <c r="B214" s="35"/>
      <c r="C214" s="35"/>
      <c r="D214" s="35"/>
      <c r="E214" s="35"/>
      <c r="F214" s="35"/>
      <c r="G214" s="35"/>
      <c r="H214" s="234" t="s">
        <v>647</v>
      </c>
      <c r="I214" s="306" t="s">
        <v>648</v>
      </c>
      <c r="J214" s="234">
        <f t="shared" si="10"/>
        <v>1.0046171880607013</v>
      </c>
      <c r="K214" s="315">
        <f t="shared" si="11"/>
        <v>4.6065615451000054E-3</v>
      </c>
      <c r="L214" s="234"/>
      <c r="M214" s="307">
        <v>39614</v>
      </c>
      <c r="N214" s="310">
        <v>1740.5705359999999</v>
      </c>
      <c r="O214" s="257"/>
      <c r="P214" s="234"/>
      <c r="Q214" s="234"/>
      <c r="R214" s="234"/>
      <c r="S214" s="35"/>
      <c r="T214" s="35"/>
      <c r="U214" s="35"/>
      <c r="V214" s="35"/>
      <c r="W214" s="35"/>
      <c r="X214" s="35"/>
    </row>
    <row r="215" spans="1:24" ht="12.75" customHeight="1" x14ac:dyDescent="0.3">
      <c r="A215" s="35"/>
      <c r="B215" s="35"/>
      <c r="C215" s="35"/>
      <c r="D215" s="35"/>
      <c r="E215" s="35"/>
      <c r="F215" s="35"/>
      <c r="G215" s="35"/>
      <c r="H215" s="234" t="s">
        <v>649</v>
      </c>
      <c r="I215" s="306" t="s">
        <v>650</v>
      </c>
      <c r="J215" s="234">
        <f t="shared" si="10"/>
        <v>0.9864075073350691</v>
      </c>
      <c r="K215" s="315">
        <f t="shared" si="11"/>
        <v>-1.368571631843735E-2</v>
      </c>
      <c r="L215" s="234"/>
      <c r="M215" s="307">
        <v>39583</v>
      </c>
      <c r="N215" s="310">
        <v>1726.926459</v>
      </c>
      <c r="O215" s="257"/>
      <c r="P215" s="234"/>
      <c r="Q215" s="234"/>
      <c r="R215" s="234"/>
      <c r="S215" s="35"/>
      <c r="T215" s="35"/>
      <c r="U215" s="35"/>
      <c r="V215" s="35"/>
      <c r="W215" s="35"/>
      <c r="X215" s="35"/>
    </row>
    <row r="216" spans="1:24" ht="12.75" customHeight="1" x14ac:dyDescent="0.3">
      <c r="A216" s="35"/>
      <c r="B216" s="35"/>
      <c r="C216" s="35"/>
      <c r="D216" s="35"/>
      <c r="E216" s="35"/>
      <c r="F216" s="35"/>
      <c r="G216" s="35"/>
      <c r="H216" s="234" t="s">
        <v>651</v>
      </c>
      <c r="I216" s="306" t="s">
        <v>652</v>
      </c>
      <c r="J216" s="234">
        <f t="shared" si="10"/>
        <v>0.99630096942813928</v>
      </c>
      <c r="K216" s="315">
        <f t="shared" si="11"/>
        <v>-3.7058889034557109E-3</v>
      </c>
      <c r="L216" s="234"/>
      <c r="M216" s="307">
        <v>39553</v>
      </c>
      <c r="N216" s="310">
        <v>1717.4815120000001</v>
      </c>
      <c r="O216" s="257"/>
      <c r="P216" s="234"/>
      <c r="Q216" s="234"/>
      <c r="R216" s="234"/>
      <c r="S216" s="35"/>
      <c r="T216" s="35"/>
      <c r="U216" s="35"/>
      <c r="V216" s="35"/>
      <c r="W216" s="35"/>
      <c r="X216" s="35"/>
    </row>
    <row r="217" spans="1:24" ht="12.75" customHeight="1" x14ac:dyDescent="0.3">
      <c r="A217" s="35"/>
      <c r="B217" s="35"/>
      <c r="C217" s="35"/>
      <c r="D217" s="35"/>
      <c r="E217" s="35"/>
      <c r="F217" s="35"/>
      <c r="G217" s="35"/>
      <c r="H217" s="234" t="s">
        <v>653</v>
      </c>
      <c r="I217" s="306" t="s">
        <v>654</v>
      </c>
      <c r="J217" s="234">
        <f t="shared" si="10"/>
        <v>1.0022936320291573</v>
      </c>
      <c r="K217" s="315">
        <f t="shared" si="11"/>
        <v>2.2910056703818312E-3</v>
      </c>
      <c r="L217" s="234"/>
      <c r="M217" s="307">
        <v>39522</v>
      </c>
      <c r="N217" s="310">
        <v>1709.275247</v>
      </c>
      <c r="O217" s="257"/>
      <c r="P217" s="234"/>
      <c r="Q217" s="234"/>
      <c r="R217" s="234"/>
      <c r="S217" s="35"/>
      <c r="T217" s="35"/>
      <c r="U217" s="35"/>
      <c r="V217" s="35"/>
      <c r="W217" s="35"/>
      <c r="X217" s="35"/>
    </row>
    <row r="218" spans="1:24" ht="12.75" customHeight="1" x14ac:dyDescent="0.3">
      <c r="A218" s="35"/>
      <c r="B218" s="35"/>
      <c r="C218" s="35"/>
      <c r="D218" s="35"/>
      <c r="E218" s="35"/>
      <c r="F218" s="35"/>
      <c r="G218" s="35"/>
      <c r="H218" s="234" t="s">
        <v>655</v>
      </c>
      <c r="I218" s="306" t="s">
        <v>656</v>
      </c>
      <c r="J218" s="234">
        <f t="shared" si="10"/>
        <v>0.99051568529814515</v>
      </c>
      <c r="K218" s="315">
        <f t="shared" si="11"/>
        <v>-9.5295772312625447E-3</v>
      </c>
      <c r="L218" s="234"/>
      <c r="M218" s="307">
        <v>39493</v>
      </c>
      <c r="N218" s="310">
        <v>1700.9389200000001</v>
      </c>
      <c r="O218" s="257"/>
      <c r="P218" s="234"/>
      <c r="Q218" s="234"/>
      <c r="R218" s="234"/>
      <c r="S218" s="35"/>
      <c r="T218" s="35"/>
      <c r="U218" s="35"/>
      <c r="V218" s="35"/>
      <c r="W218" s="35"/>
      <c r="X218" s="35"/>
    </row>
    <row r="219" spans="1:24" ht="12.75" customHeight="1" x14ac:dyDescent="0.3">
      <c r="A219" s="35"/>
      <c r="B219" s="35"/>
      <c r="C219" s="35"/>
      <c r="D219" s="35"/>
      <c r="E219" s="35"/>
      <c r="F219" s="35"/>
      <c r="G219" s="35"/>
      <c r="H219" s="234" t="s">
        <v>657</v>
      </c>
      <c r="I219" s="306" t="s">
        <v>658</v>
      </c>
      <c r="J219" s="234">
        <f t="shared" si="10"/>
        <v>0.99980552768118991</v>
      </c>
      <c r="K219" s="315">
        <f t="shared" si="11"/>
        <v>-1.9449123100345403E-4</v>
      </c>
      <c r="L219" s="234"/>
      <c r="M219" s="307">
        <v>39462</v>
      </c>
      <c r="N219" s="310">
        <v>1691.8036440000001</v>
      </c>
      <c r="O219" s="257"/>
      <c r="P219" s="234"/>
      <c r="Q219" s="234"/>
      <c r="R219" s="234"/>
      <c r="S219" s="35"/>
      <c r="T219" s="35"/>
      <c r="U219" s="35"/>
      <c r="V219" s="35"/>
      <c r="W219" s="35"/>
      <c r="X219" s="35"/>
    </row>
    <row r="220" spans="1:24" ht="12.75" customHeight="1" x14ac:dyDescent="0.3">
      <c r="A220" s="35"/>
      <c r="B220" s="35"/>
      <c r="C220" s="35"/>
      <c r="D220" s="35"/>
      <c r="E220" s="35"/>
      <c r="F220" s="35"/>
      <c r="G220" s="35"/>
      <c r="H220" s="234" t="s">
        <v>659</v>
      </c>
      <c r="I220" s="306" t="s">
        <v>660</v>
      </c>
      <c r="J220" s="234">
        <f t="shared" si="10"/>
        <v>1.0025267295229627</v>
      </c>
      <c r="K220" s="315">
        <f t="shared" si="11"/>
        <v>2.5235427089375494E-3</v>
      </c>
      <c r="L220" s="234"/>
      <c r="M220" s="307">
        <v>39431</v>
      </c>
      <c r="N220" s="310">
        <v>1679.373474</v>
      </c>
      <c r="O220" s="257"/>
      <c r="P220" s="234"/>
      <c r="Q220" s="234"/>
      <c r="R220" s="234"/>
      <c r="S220" s="35"/>
      <c r="T220" s="35"/>
      <c r="U220" s="35"/>
      <c r="V220" s="35"/>
      <c r="W220" s="35"/>
      <c r="X220" s="35"/>
    </row>
    <row r="221" spans="1:24" ht="12.75" customHeight="1" x14ac:dyDescent="0.3">
      <c r="A221" s="35"/>
      <c r="B221" s="35"/>
      <c r="C221" s="35"/>
      <c r="D221" s="35"/>
      <c r="E221" s="35"/>
      <c r="F221" s="35"/>
      <c r="G221" s="35"/>
      <c r="H221" s="234" t="s">
        <v>661</v>
      </c>
      <c r="I221" s="306" t="s">
        <v>662</v>
      </c>
      <c r="J221" s="234">
        <f t="shared" si="10"/>
        <v>1.0270727038262222</v>
      </c>
      <c r="K221" s="315">
        <f t="shared" si="11"/>
        <v>2.67127208713514E-2</v>
      </c>
      <c r="L221" s="234"/>
      <c r="M221" s="307">
        <v>39401</v>
      </c>
      <c r="N221" s="310">
        <v>1673.0190379999999</v>
      </c>
      <c r="O221" s="257"/>
      <c r="P221" s="234"/>
      <c r="Q221" s="234"/>
      <c r="R221" s="234"/>
      <c r="S221" s="35"/>
      <c r="T221" s="35"/>
      <c r="U221" s="35"/>
      <c r="V221" s="35"/>
      <c r="W221" s="35"/>
      <c r="X221" s="35"/>
    </row>
    <row r="222" spans="1:24" ht="12.75" customHeight="1" x14ac:dyDescent="0.3">
      <c r="A222" s="35"/>
      <c r="B222" s="35"/>
      <c r="C222" s="35"/>
      <c r="D222" s="35"/>
      <c r="E222" s="35"/>
      <c r="F222" s="35"/>
      <c r="G222" s="35"/>
      <c r="H222" s="234" t="s">
        <v>663</v>
      </c>
      <c r="I222" s="306" t="s">
        <v>664</v>
      </c>
      <c r="J222" s="234">
        <f t="shared" si="10"/>
        <v>1.0038352683883833</v>
      </c>
      <c r="K222" s="315">
        <f t="shared" si="11"/>
        <v>3.8279324973360222E-3</v>
      </c>
      <c r="L222" s="234"/>
      <c r="M222" s="307">
        <v>39370</v>
      </c>
      <c r="N222" s="310">
        <v>1668.0147649999999</v>
      </c>
      <c r="O222" s="257"/>
      <c r="P222" s="234"/>
      <c r="Q222" s="234"/>
      <c r="R222" s="234"/>
      <c r="S222" s="35"/>
      <c r="T222" s="35"/>
      <c r="U222" s="35"/>
      <c r="V222" s="35"/>
      <c r="W222" s="35"/>
      <c r="X222" s="35"/>
    </row>
    <row r="223" spans="1:24" ht="12.75" customHeight="1" x14ac:dyDescent="0.3">
      <c r="A223" s="35"/>
      <c r="B223" s="35"/>
      <c r="C223" s="35"/>
      <c r="D223" s="35"/>
      <c r="E223" s="35"/>
      <c r="F223" s="35"/>
      <c r="G223" s="35"/>
      <c r="H223" s="234" t="s">
        <v>665</v>
      </c>
      <c r="I223" s="306" t="s">
        <v>666</v>
      </c>
      <c r="J223" s="234">
        <f t="shared" si="10"/>
        <v>0.98307683795341194</v>
      </c>
      <c r="K223" s="315">
        <f t="shared" si="11"/>
        <v>-1.7067995101012833E-2</v>
      </c>
      <c r="L223" s="234"/>
      <c r="M223" s="307">
        <v>39340</v>
      </c>
      <c r="N223" s="310">
        <v>1665.017155</v>
      </c>
      <c r="O223" s="257"/>
      <c r="P223" s="234"/>
      <c r="Q223" s="234"/>
      <c r="R223" s="234"/>
      <c r="S223" s="35"/>
      <c r="T223" s="35"/>
      <c r="U223" s="35"/>
      <c r="V223" s="35"/>
      <c r="W223" s="35"/>
      <c r="X223" s="35"/>
    </row>
    <row r="224" spans="1:24" ht="12.75" customHeight="1" x14ac:dyDescent="0.3">
      <c r="A224" s="35"/>
      <c r="B224" s="35"/>
      <c r="C224" s="35"/>
      <c r="D224" s="35"/>
      <c r="E224" s="35"/>
      <c r="F224" s="35"/>
      <c r="G224" s="35"/>
      <c r="H224" s="234" t="s">
        <v>667</v>
      </c>
      <c r="I224" s="306" t="s">
        <v>668</v>
      </c>
      <c r="J224" s="234">
        <f t="shared" si="10"/>
        <v>1.0075017320878228</v>
      </c>
      <c r="K224" s="315">
        <f t="shared" si="11"/>
        <v>7.4737340310919546E-3</v>
      </c>
      <c r="L224" s="234"/>
      <c r="M224" s="307">
        <v>39309</v>
      </c>
      <c r="N224" s="310">
        <v>1657.225848</v>
      </c>
      <c r="O224" s="257"/>
      <c r="P224" s="234"/>
      <c r="Q224" s="234"/>
      <c r="R224" s="234"/>
      <c r="S224" s="35"/>
      <c r="T224" s="35"/>
      <c r="U224" s="35"/>
      <c r="V224" s="35"/>
      <c r="W224" s="35"/>
      <c r="X224" s="35"/>
    </row>
    <row r="225" spans="1:24" ht="12.75" customHeight="1" x14ac:dyDescent="0.3">
      <c r="A225" s="35"/>
      <c r="B225" s="35"/>
      <c r="C225" s="35"/>
      <c r="D225" s="35"/>
      <c r="E225" s="35"/>
      <c r="F225" s="35"/>
      <c r="G225" s="35"/>
      <c r="H225" s="234" t="s">
        <v>669</v>
      </c>
      <c r="I225" s="306" t="s">
        <v>670</v>
      </c>
      <c r="J225" s="234">
        <f t="shared" si="10"/>
        <v>1.0076392845392756</v>
      </c>
      <c r="K225" s="315">
        <f t="shared" si="11"/>
        <v>7.6102529650340844E-3</v>
      </c>
      <c r="L225" s="234"/>
      <c r="M225" s="307">
        <v>39278</v>
      </c>
      <c r="N225" s="310">
        <v>1653.2558739999999</v>
      </c>
      <c r="O225" s="257"/>
      <c r="P225" s="234"/>
      <c r="Q225" s="234"/>
      <c r="R225" s="234"/>
      <c r="S225" s="35"/>
      <c r="T225" s="35"/>
      <c r="U225" s="35"/>
      <c r="V225" s="35"/>
      <c r="W225" s="35"/>
      <c r="X225" s="35"/>
    </row>
    <row r="226" spans="1:24" ht="12.75" customHeight="1" x14ac:dyDescent="0.3">
      <c r="A226" s="35"/>
      <c r="B226" s="35"/>
      <c r="C226" s="35"/>
      <c r="D226" s="35"/>
      <c r="E226" s="35"/>
      <c r="F226" s="35"/>
      <c r="G226" s="35"/>
      <c r="H226" s="234" t="s">
        <v>671</v>
      </c>
      <c r="I226" s="306" t="s">
        <v>672</v>
      </c>
      <c r="J226" s="234">
        <f t="shared" si="10"/>
        <v>0.9873236200572022</v>
      </c>
      <c r="K226" s="315">
        <f t="shared" si="11"/>
        <v>-1.275741076029183E-2</v>
      </c>
      <c r="L226" s="234"/>
      <c r="M226" s="307">
        <v>39248</v>
      </c>
      <c r="N226" s="310">
        <v>1648.641785</v>
      </c>
      <c r="O226" s="257"/>
      <c r="P226" s="234"/>
      <c r="Q226" s="234"/>
      <c r="R226" s="234"/>
      <c r="S226" s="35"/>
      <c r="T226" s="35"/>
      <c r="U226" s="35"/>
      <c r="V226" s="35"/>
      <c r="W226" s="35"/>
      <c r="X226" s="35"/>
    </row>
    <row r="227" spans="1:24" ht="12.75" customHeight="1" x14ac:dyDescent="0.3">
      <c r="A227" s="35"/>
      <c r="B227" s="35"/>
      <c r="C227" s="35"/>
      <c r="D227" s="35"/>
      <c r="E227" s="35"/>
      <c r="F227" s="35"/>
      <c r="G227" s="35"/>
      <c r="H227" s="234" t="s">
        <v>673</v>
      </c>
      <c r="I227" s="306" t="s">
        <v>674</v>
      </c>
      <c r="J227" s="234">
        <f t="shared" si="10"/>
        <v>1.0054807179103169</v>
      </c>
      <c r="K227" s="315">
        <f t="shared" si="11"/>
        <v>5.4657534284134456E-3</v>
      </c>
      <c r="L227" s="234"/>
      <c r="M227" s="307">
        <v>39217</v>
      </c>
      <c r="N227" s="310">
        <v>1644.0400830000001</v>
      </c>
      <c r="O227" s="257"/>
      <c r="P227" s="234"/>
      <c r="Q227" s="234"/>
      <c r="R227" s="234"/>
      <c r="S227" s="35"/>
      <c r="T227" s="35"/>
      <c r="U227" s="35"/>
      <c r="V227" s="35"/>
      <c r="W227" s="35"/>
      <c r="X227" s="35"/>
    </row>
    <row r="228" spans="1:24" ht="12.75" customHeight="1" x14ac:dyDescent="0.3">
      <c r="A228" s="35"/>
      <c r="B228" s="35"/>
      <c r="C228" s="35"/>
      <c r="D228" s="35"/>
      <c r="E228" s="35"/>
      <c r="F228" s="35"/>
      <c r="G228" s="35"/>
      <c r="H228" s="234" t="s">
        <v>675</v>
      </c>
      <c r="I228" s="306" t="s">
        <v>676</v>
      </c>
      <c r="J228" s="234">
        <f t="shared" si="10"/>
        <v>1.003076406756908</v>
      </c>
      <c r="K228" s="315">
        <f t="shared" si="11"/>
        <v>3.071684300626344E-3</v>
      </c>
      <c r="L228" s="234"/>
      <c r="M228" s="307">
        <v>39187</v>
      </c>
      <c r="N228" s="310">
        <v>1639.940047</v>
      </c>
      <c r="O228" s="257"/>
      <c r="P228" s="234"/>
      <c r="Q228" s="234"/>
      <c r="R228" s="234"/>
      <c r="S228" s="35"/>
      <c r="T228" s="35"/>
      <c r="U228" s="35"/>
      <c r="V228" s="35"/>
      <c r="W228" s="35"/>
      <c r="X228" s="35"/>
    </row>
    <row r="229" spans="1:24" ht="12.75" customHeight="1" x14ac:dyDescent="0.3">
      <c r="A229" s="35"/>
      <c r="B229" s="35"/>
      <c r="C229" s="35"/>
      <c r="D229" s="35"/>
      <c r="E229" s="35"/>
      <c r="F229" s="35"/>
      <c r="G229" s="35"/>
      <c r="H229" s="234" t="s">
        <v>677</v>
      </c>
      <c r="I229" s="306" t="s">
        <v>678</v>
      </c>
      <c r="J229" s="234">
        <f t="shared" si="10"/>
        <v>0.99350608110253724</v>
      </c>
      <c r="K229" s="315">
        <f t="shared" si="11"/>
        <v>-6.5150961206868084E-3</v>
      </c>
      <c r="L229" s="234"/>
      <c r="M229" s="307">
        <v>39156</v>
      </c>
      <c r="N229" s="310">
        <v>1633.8952810000001</v>
      </c>
      <c r="O229" s="257"/>
      <c r="P229" s="234"/>
      <c r="Q229" s="234"/>
      <c r="R229" s="234"/>
      <c r="S229" s="35"/>
      <c r="T229" s="35"/>
      <c r="U229" s="35"/>
      <c r="V229" s="35"/>
      <c r="W229" s="35"/>
      <c r="X229" s="35"/>
    </row>
    <row r="230" spans="1:24" ht="12.75" customHeight="1" x14ac:dyDescent="0.3">
      <c r="A230" s="35"/>
      <c r="B230" s="35"/>
      <c r="C230" s="35"/>
      <c r="D230" s="35"/>
      <c r="E230" s="35"/>
      <c r="F230" s="35"/>
      <c r="G230" s="35"/>
      <c r="H230" s="234" t="s">
        <v>679</v>
      </c>
      <c r="I230" s="306" t="s">
        <v>680</v>
      </c>
      <c r="J230" s="234">
        <f t="shared" si="10"/>
        <v>0.9986443096682126</v>
      </c>
      <c r="K230" s="315">
        <f t="shared" si="11"/>
        <v>-1.3566101113100333E-3</v>
      </c>
      <c r="L230" s="234"/>
      <c r="M230" s="307">
        <v>39128</v>
      </c>
      <c r="N230" s="310">
        <v>1626.7357019999999</v>
      </c>
      <c r="O230" s="257"/>
      <c r="P230" s="234"/>
      <c r="Q230" s="234"/>
      <c r="R230" s="234"/>
      <c r="S230" s="35"/>
      <c r="T230" s="35"/>
      <c r="U230" s="35"/>
      <c r="V230" s="35"/>
      <c r="W230" s="35"/>
      <c r="X230" s="35"/>
    </row>
    <row r="231" spans="1:24" ht="12.75" customHeight="1" x14ac:dyDescent="0.3">
      <c r="A231" s="35"/>
      <c r="B231" s="35"/>
      <c r="C231" s="35"/>
      <c r="D231" s="35"/>
      <c r="E231" s="35"/>
      <c r="F231" s="35"/>
      <c r="G231" s="35"/>
      <c r="H231" s="234" t="s">
        <v>681</v>
      </c>
      <c r="I231" s="306" t="s">
        <v>682</v>
      </c>
      <c r="J231" s="234">
        <f t="shared" si="10"/>
        <v>0.9938619852813716</v>
      </c>
      <c r="K231" s="315">
        <f t="shared" si="11"/>
        <v>-6.1569297712730899E-3</v>
      </c>
      <c r="L231" s="234"/>
      <c r="M231" s="307">
        <v>39097</v>
      </c>
      <c r="N231" s="310">
        <v>1619.60709</v>
      </c>
      <c r="O231" s="257"/>
      <c r="P231" s="234"/>
      <c r="Q231" s="234"/>
      <c r="R231" s="234"/>
      <c r="S231" s="35"/>
      <c r="T231" s="35"/>
      <c r="U231" s="35"/>
      <c r="V231" s="35"/>
      <c r="W231" s="35"/>
      <c r="X231" s="35"/>
    </row>
    <row r="232" spans="1:24" ht="12.75" customHeight="1" x14ac:dyDescent="0.3">
      <c r="A232" s="35"/>
      <c r="B232" s="35"/>
      <c r="C232" s="35"/>
      <c r="D232" s="35"/>
      <c r="E232" s="35"/>
      <c r="F232" s="35"/>
      <c r="G232" s="35"/>
      <c r="H232" s="234" t="s">
        <v>683</v>
      </c>
      <c r="I232" s="306" t="s">
        <v>684</v>
      </c>
      <c r="J232" s="234">
        <f t="shared" si="10"/>
        <v>1.0282015344356858</v>
      </c>
      <c r="K232" s="315">
        <f t="shared" si="11"/>
        <v>2.7811192989530692E-2</v>
      </c>
      <c r="L232" s="234"/>
      <c r="M232" s="307">
        <v>39066</v>
      </c>
      <c r="N232" s="310">
        <v>1611.871523</v>
      </c>
      <c r="O232" s="257"/>
      <c r="P232" s="234"/>
      <c r="Q232" s="234"/>
      <c r="R232" s="234"/>
      <c r="S232" s="35"/>
      <c r="T232" s="35"/>
      <c r="U232" s="35"/>
      <c r="V232" s="35"/>
      <c r="W232" s="35"/>
      <c r="X232" s="35"/>
    </row>
    <row r="233" spans="1:24" ht="12.75" customHeight="1" x14ac:dyDescent="0.3">
      <c r="A233" s="35"/>
      <c r="B233" s="35"/>
      <c r="C233" s="35"/>
      <c r="D233" s="35"/>
      <c r="E233" s="35"/>
      <c r="F233" s="35"/>
      <c r="G233" s="35"/>
      <c r="H233" s="234" t="s">
        <v>685</v>
      </c>
      <c r="I233" s="306" t="s">
        <v>686</v>
      </c>
      <c r="J233" s="234">
        <f t="shared" si="10"/>
        <v>0.99497807441800479</v>
      </c>
      <c r="K233" s="315">
        <f t="shared" si="11"/>
        <v>-5.034577827134434E-3</v>
      </c>
      <c r="L233" s="234"/>
      <c r="M233" s="307">
        <v>39036</v>
      </c>
      <c r="N233" s="310">
        <v>1606.892024</v>
      </c>
      <c r="O233" s="257"/>
      <c r="P233" s="234"/>
      <c r="Q233" s="234"/>
      <c r="R233" s="234"/>
      <c r="S233" s="35"/>
      <c r="T233" s="35"/>
      <c r="U233" s="35"/>
      <c r="V233" s="35"/>
      <c r="W233" s="35"/>
      <c r="X233" s="35"/>
    </row>
    <row r="234" spans="1:24" ht="12.75" customHeight="1" x14ac:dyDescent="0.3">
      <c r="A234" s="35"/>
      <c r="B234" s="35"/>
      <c r="C234" s="35"/>
      <c r="D234" s="35"/>
      <c r="E234" s="35"/>
      <c r="F234" s="35"/>
      <c r="G234" s="35"/>
      <c r="H234" s="234" t="s">
        <v>687</v>
      </c>
      <c r="I234" s="306" t="s">
        <v>688</v>
      </c>
      <c r="J234" s="234">
        <f t="shared" si="10"/>
        <v>0.99355283074779155</v>
      </c>
      <c r="K234" s="315">
        <f t="shared" si="11"/>
        <v>-6.4680420097249954E-3</v>
      </c>
      <c r="L234" s="234"/>
      <c r="M234" s="307">
        <v>39005</v>
      </c>
      <c r="N234" s="310">
        <v>1601.6090469999999</v>
      </c>
      <c r="O234" s="257"/>
      <c r="P234" s="234"/>
      <c r="Q234" s="234"/>
      <c r="R234" s="234"/>
      <c r="S234" s="35"/>
      <c r="T234" s="35"/>
      <c r="U234" s="35"/>
      <c r="V234" s="35"/>
      <c r="W234" s="35"/>
      <c r="X234" s="35"/>
    </row>
    <row r="235" spans="1:24" ht="12.75" customHeight="1" x14ac:dyDescent="0.3">
      <c r="A235" s="35"/>
      <c r="B235" s="35"/>
      <c r="C235" s="35"/>
      <c r="D235" s="35"/>
      <c r="E235" s="35"/>
      <c r="F235" s="35"/>
      <c r="G235" s="35"/>
      <c r="H235" s="234" t="s">
        <v>689</v>
      </c>
      <c r="I235" s="306" t="s">
        <v>690</v>
      </c>
      <c r="J235" s="234">
        <f t="shared" si="10"/>
        <v>1.0197479643589262</v>
      </c>
      <c r="K235" s="315">
        <f t="shared" si="11"/>
        <v>1.9555502997726848E-2</v>
      </c>
      <c r="L235" s="234"/>
      <c r="M235" s="307">
        <v>38975</v>
      </c>
      <c r="N235" s="310">
        <v>1598.2522200000001</v>
      </c>
      <c r="O235" s="257"/>
      <c r="P235" s="234"/>
      <c r="Q235" s="234"/>
      <c r="R235" s="234"/>
      <c r="S235" s="35"/>
      <c r="T235" s="35"/>
      <c r="U235" s="35"/>
      <c r="V235" s="35"/>
      <c r="W235" s="35"/>
      <c r="X235" s="35"/>
    </row>
    <row r="236" spans="1:24" ht="12.75" customHeight="1" x14ac:dyDescent="0.3">
      <c r="A236" s="35"/>
      <c r="B236" s="35"/>
      <c r="C236" s="35"/>
      <c r="D236" s="35"/>
      <c r="E236" s="35"/>
      <c r="F236" s="35"/>
      <c r="G236" s="35"/>
      <c r="H236" s="234" t="s">
        <v>691</v>
      </c>
      <c r="I236" s="306" t="s">
        <v>692</v>
      </c>
      <c r="J236" s="234">
        <f t="shared" si="10"/>
        <v>0.99967342406701343</v>
      </c>
      <c r="K236" s="315">
        <f t="shared" si="11"/>
        <v>-3.2662927051939464E-4</v>
      </c>
      <c r="L236" s="234"/>
      <c r="M236" s="307">
        <v>38944</v>
      </c>
      <c r="N236" s="310">
        <v>1597.45327</v>
      </c>
      <c r="O236" s="257"/>
      <c r="P236" s="234"/>
      <c r="Q236" s="234"/>
      <c r="R236" s="234"/>
      <c r="S236" s="35"/>
      <c r="T236" s="35"/>
      <c r="U236" s="35"/>
      <c r="V236" s="35"/>
      <c r="W236" s="35"/>
      <c r="X236" s="35"/>
    </row>
    <row r="237" spans="1:24" ht="12.75" customHeight="1" x14ac:dyDescent="0.3">
      <c r="A237" s="35"/>
      <c r="B237" s="35"/>
      <c r="C237" s="35"/>
      <c r="D237" s="35"/>
      <c r="E237" s="35"/>
      <c r="F237" s="35"/>
      <c r="G237" s="35"/>
      <c r="H237" s="234" t="s">
        <v>693</v>
      </c>
      <c r="I237" s="306" t="s">
        <v>694</v>
      </c>
      <c r="J237" s="234">
        <f t="shared" si="10"/>
        <v>0.99608018541861509</v>
      </c>
      <c r="K237" s="315">
        <f t="shared" si="11"/>
        <v>-3.9275171896807895E-3</v>
      </c>
      <c r="L237" s="234"/>
      <c r="M237" s="307">
        <v>38913</v>
      </c>
      <c r="N237" s="310">
        <v>1594.424694</v>
      </c>
      <c r="O237" s="257"/>
      <c r="P237" s="234"/>
      <c r="Q237" s="234"/>
      <c r="R237" s="234"/>
      <c r="S237" s="35"/>
      <c r="T237" s="35"/>
      <c r="U237" s="35"/>
      <c r="V237" s="35"/>
      <c r="W237" s="35"/>
      <c r="X237" s="35"/>
    </row>
    <row r="238" spans="1:24" ht="12.75" customHeight="1" x14ac:dyDescent="0.3">
      <c r="A238" s="35"/>
      <c r="B238" s="35"/>
      <c r="C238" s="35"/>
      <c r="D238" s="35"/>
      <c r="E238" s="35"/>
      <c r="F238" s="35"/>
      <c r="G238" s="35"/>
      <c r="H238" s="234" t="s">
        <v>695</v>
      </c>
      <c r="I238" s="306" t="s">
        <v>696</v>
      </c>
      <c r="J238" s="234">
        <f t="shared" si="10"/>
        <v>0.99691921034496733</v>
      </c>
      <c r="K238" s="315">
        <f t="shared" si="11"/>
        <v>-3.0855450569221925E-3</v>
      </c>
      <c r="L238" s="234"/>
      <c r="M238" s="307">
        <v>38883</v>
      </c>
      <c r="N238" s="310">
        <v>1597.7815210000001</v>
      </c>
      <c r="O238" s="257"/>
      <c r="P238" s="234"/>
      <c r="Q238" s="234"/>
      <c r="R238" s="234"/>
      <c r="S238" s="35"/>
      <c r="T238" s="35"/>
      <c r="U238" s="35"/>
      <c r="V238" s="35"/>
      <c r="W238" s="35"/>
      <c r="X238" s="35"/>
    </row>
    <row r="239" spans="1:24" ht="12.75" customHeight="1" x14ac:dyDescent="0.3">
      <c r="A239" s="35"/>
      <c r="B239" s="35"/>
      <c r="C239" s="35"/>
      <c r="D239" s="35"/>
      <c r="E239" s="35"/>
      <c r="F239" s="35"/>
      <c r="G239" s="35"/>
      <c r="H239" s="234" t="s">
        <v>697</v>
      </c>
      <c r="I239" s="306" t="s">
        <v>698</v>
      </c>
      <c r="J239" s="234">
        <f t="shared" si="10"/>
        <v>1.004029304029304</v>
      </c>
      <c r="K239" s="315">
        <f t="shared" si="11"/>
        <v>4.021208123780361E-3</v>
      </c>
      <c r="L239" s="234"/>
      <c r="M239" s="307">
        <v>38852</v>
      </c>
      <c r="N239" s="310">
        <v>1596.183622</v>
      </c>
      <c r="O239" s="257"/>
      <c r="P239" s="234"/>
      <c r="Q239" s="234"/>
      <c r="R239" s="234"/>
      <c r="S239" s="35"/>
      <c r="T239" s="35"/>
      <c r="U239" s="35"/>
      <c r="V239" s="35"/>
      <c r="W239" s="35"/>
      <c r="X239" s="35"/>
    </row>
    <row r="240" spans="1:24" ht="12.75" customHeight="1" x14ac:dyDescent="0.3">
      <c r="A240" s="35"/>
      <c r="B240" s="35"/>
      <c r="C240" s="35"/>
      <c r="D240" s="35"/>
      <c r="E240" s="35"/>
      <c r="F240" s="35"/>
      <c r="G240" s="35"/>
      <c r="H240" s="234" t="s">
        <v>699</v>
      </c>
      <c r="I240" s="306" t="s">
        <v>700</v>
      </c>
      <c r="J240" s="234">
        <f t="shared" si="10"/>
        <v>1.0040948434396686</v>
      </c>
      <c r="K240" s="315">
        <f t="shared" si="11"/>
        <v>4.0864823853049327E-3</v>
      </c>
      <c r="L240" s="234"/>
      <c r="M240" s="307">
        <v>38822</v>
      </c>
      <c r="N240" s="310">
        <v>1592.8391810000001</v>
      </c>
      <c r="O240" s="257"/>
      <c r="P240" s="234"/>
      <c r="Q240" s="234"/>
      <c r="R240" s="234"/>
      <c r="S240" s="35"/>
      <c r="T240" s="35"/>
      <c r="U240" s="35"/>
      <c r="V240" s="35"/>
      <c r="W240" s="35"/>
      <c r="X240" s="35"/>
    </row>
    <row r="241" spans="1:24" ht="12.75" customHeight="1" x14ac:dyDescent="0.3">
      <c r="A241" s="35"/>
      <c r="B241" s="35"/>
      <c r="C241" s="35"/>
      <c r="D241" s="35"/>
      <c r="E241" s="35"/>
      <c r="F241" s="35"/>
      <c r="G241" s="35"/>
      <c r="H241" s="234" t="s">
        <v>701</v>
      </c>
      <c r="I241" s="306" t="s">
        <v>702</v>
      </c>
      <c r="J241" s="234">
        <f t="shared" si="10"/>
        <v>1.0089973445051048</v>
      </c>
      <c r="K241" s="315">
        <f t="shared" si="11"/>
        <v>8.9571095593910591E-3</v>
      </c>
      <c r="L241" s="234"/>
      <c r="M241" s="307">
        <v>38791</v>
      </c>
      <c r="N241" s="310">
        <v>1586.0202400000001</v>
      </c>
      <c r="O241" s="257"/>
      <c r="P241" s="234"/>
      <c r="Q241" s="234"/>
      <c r="R241" s="234"/>
      <c r="S241" s="35"/>
      <c r="T241" s="35"/>
      <c r="U241" s="35"/>
      <c r="V241" s="35"/>
      <c r="W241" s="35"/>
      <c r="X241" s="35"/>
    </row>
    <row r="242" spans="1:24" ht="12.75" customHeight="1" x14ac:dyDescent="0.3">
      <c r="A242" s="35"/>
      <c r="B242" s="35"/>
      <c r="C242" s="35"/>
      <c r="D242" s="35"/>
      <c r="E242" s="35"/>
      <c r="F242" s="35"/>
      <c r="G242" s="35"/>
      <c r="H242" s="234" t="s">
        <v>703</v>
      </c>
      <c r="I242" s="306" t="s">
        <v>704</v>
      </c>
      <c r="J242" s="234">
        <f t="shared" si="10"/>
        <v>0.98865869269215401</v>
      </c>
      <c r="K242" s="315">
        <f t="shared" si="11"/>
        <v>-1.1406110367072045E-2</v>
      </c>
      <c r="L242" s="234"/>
      <c r="M242" s="307">
        <v>38763</v>
      </c>
      <c r="N242" s="310">
        <v>1579.541935</v>
      </c>
      <c r="O242" s="257"/>
      <c r="P242" s="234"/>
      <c r="Q242" s="234"/>
      <c r="R242" s="234"/>
      <c r="S242" s="35"/>
      <c r="T242" s="35"/>
      <c r="U242" s="35"/>
      <c r="V242" s="35"/>
      <c r="W242" s="35"/>
      <c r="X242" s="35"/>
    </row>
    <row r="243" spans="1:24" ht="12.75" customHeight="1" x14ac:dyDescent="0.3">
      <c r="A243" s="35"/>
      <c r="B243" s="35"/>
      <c r="C243" s="35"/>
      <c r="D243" s="35"/>
      <c r="E243" s="35"/>
      <c r="F243" s="35"/>
      <c r="G243" s="35"/>
      <c r="H243" s="234" t="s">
        <v>705</v>
      </c>
      <c r="I243" s="306" t="s">
        <v>706</v>
      </c>
      <c r="J243" s="234">
        <f t="shared" si="10"/>
        <v>1.0279945351985182</v>
      </c>
      <c r="K243" s="315">
        <f t="shared" si="11"/>
        <v>2.7609851064094838E-2</v>
      </c>
      <c r="L243" s="234"/>
      <c r="M243" s="307">
        <v>38732</v>
      </c>
      <c r="N243" s="310">
        <v>1570.276597</v>
      </c>
      <c r="O243" s="257"/>
      <c r="P243" s="234"/>
      <c r="Q243" s="234"/>
      <c r="R243" s="234"/>
      <c r="S243" s="35"/>
      <c r="T243" s="35"/>
      <c r="U243" s="35"/>
      <c r="V243" s="35"/>
      <c r="W243" s="35"/>
      <c r="X243" s="35"/>
    </row>
    <row r="244" spans="1:24" ht="12.75" customHeight="1" x14ac:dyDescent="0.3">
      <c r="A244" s="35"/>
      <c r="B244" s="35"/>
      <c r="C244" s="35"/>
      <c r="D244" s="35"/>
      <c r="E244" s="35"/>
      <c r="F244" s="35"/>
      <c r="G244" s="35"/>
      <c r="H244" s="234" t="s">
        <v>707</v>
      </c>
      <c r="I244" s="306" t="s">
        <v>708</v>
      </c>
      <c r="J244" s="234">
        <f t="shared" si="10"/>
        <v>1.0025376658515885</v>
      </c>
      <c r="K244" s="315">
        <f t="shared" si="11"/>
        <v>2.5344514145643087E-3</v>
      </c>
      <c r="L244" s="234"/>
      <c r="M244" s="307">
        <v>38701</v>
      </c>
      <c r="N244" s="310">
        <v>1564.6467889999999</v>
      </c>
      <c r="O244" s="257"/>
      <c r="P244" s="234"/>
      <c r="Q244" s="234"/>
      <c r="R244" s="234"/>
      <c r="S244" s="35"/>
      <c r="T244" s="35"/>
      <c r="U244" s="35"/>
      <c r="V244" s="35"/>
      <c r="W244" s="35"/>
      <c r="X244" s="35"/>
    </row>
    <row r="245" spans="1:24" ht="12.75" customHeight="1" x14ac:dyDescent="0.3">
      <c r="A245" s="35"/>
      <c r="B245" s="35"/>
      <c r="C245" s="35"/>
      <c r="D245" s="35"/>
      <c r="E245" s="35"/>
      <c r="F245" s="35"/>
      <c r="G245" s="35"/>
      <c r="H245" s="234" t="s">
        <v>709</v>
      </c>
      <c r="I245" s="306" t="s">
        <v>710</v>
      </c>
      <c r="J245" s="234">
        <f t="shared" si="10"/>
        <v>1.0012704449081242</v>
      </c>
      <c r="K245" s="315">
        <f t="shared" si="11"/>
        <v>1.2696385758534997E-3</v>
      </c>
      <c r="L245" s="234"/>
      <c r="M245" s="307">
        <v>38671</v>
      </c>
      <c r="N245" s="310">
        <v>1556.0875000000001</v>
      </c>
      <c r="O245" s="257"/>
      <c r="P245" s="234"/>
      <c r="Q245" s="234"/>
      <c r="R245" s="234"/>
      <c r="S245" s="35"/>
      <c r="T245" s="35"/>
      <c r="U245" s="35"/>
      <c r="V245" s="35"/>
      <c r="W245" s="35"/>
      <c r="X245" s="35"/>
    </row>
    <row r="246" spans="1:24" ht="12.75" customHeight="1" x14ac:dyDescent="0.3">
      <c r="A246" s="35"/>
      <c r="B246" s="35"/>
      <c r="C246" s="35"/>
      <c r="D246" s="35"/>
      <c r="E246" s="35"/>
      <c r="F246" s="35"/>
      <c r="G246" s="35"/>
      <c r="H246" s="234" t="s">
        <v>711</v>
      </c>
      <c r="I246" s="306" t="s">
        <v>712</v>
      </c>
      <c r="J246" s="234">
        <f t="shared" si="10"/>
        <v>0.99227757323782573</v>
      </c>
      <c r="K246" s="315">
        <f t="shared" si="11"/>
        <v>-7.7523991055866402E-3</v>
      </c>
      <c r="L246" s="234"/>
      <c r="M246" s="307">
        <v>38640</v>
      </c>
      <c r="N246" s="310">
        <v>1544.505827</v>
      </c>
      <c r="O246" s="257"/>
      <c r="P246" s="234"/>
      <c r="Q246" s="234"/>
      <c r="R246" s="234"/>
      <c r="S246" s="35"/>
      <c r="T246" s="35"/>
      <c r="U246" s="35"/>
      <c r="V246" s="35"/>
      <c r="W246" s="35"/>
      <c r="X246" s="35"/>
    </row>
    <row r="247" spans="1:24" ht="12.75" customHeight="1" x14ac:dyDescent="0.3">
      <c r="A247" s="35"/>
      <c r="B247" s="35"/>
      <c r="C247" s="35"/>
      <c r="D247" s="35"/>
      <c r="E247" s="35"/>
      <c r="F247" s="35"/>
      <c r="G247" s="35"/>
      <c r="H247" s="234" t="s">
        <v>713</v>
      </c>
      <c r="I247" s="306" t="s">
        <v>714</v>
      </c>
      <c r="J247" s="234">
        <f t="shared" si="10"/>
        <v>1.0013040752351097</v>
      </c>
      <c r="K247" s="315">
        <f t="shared" si="11"/>
        <v>1.3032256675200825E-3</v>
      </c>
      <c r="L247" s="234"/>
      <c r="M247" s="307">
        <v>38610</v>
      </c>
      <c r="N247" s="310">
        <v>1539.117563</v>
      </c>
      <c r="O247" s="257"/>
      <c r="P247" s="234"/>
      <c r="Q247" s="234"/>
      <c r="R247" s="234"/>
      <c r="S247" s="35"/>
      <c r="T247" s="35"/>
      <c r="U247" s="35"/>
      <c r="V247" s="35"/>
      <c r="W247" s="35"/>
      <c r="X247" s="35"/>
    </row>
    <row r="248" spans="1:24" ht="12.75" customHeight="1" x14ac:dyDescent="0.3">
      <c r="A248" s="35"/>
      <c r="B248" s="35"/>
      <c r="C248" s="35"/>
      <c r="D248" s="35"/>
      <c r="E248" s="35"/>
      <c r="F248" s="35"/>
      <c r="G248" s="35"/>
      <c r="H248" s="234" t="s">
        <v>715</v>
      </c>
      <c r="I248" s="306" t="s">
        <v>716</v>
      </c>
      <c r="J248" s="234">
        <f t="shared" si="10"/>
        <v>0.98733080224496539</v>
      </c>
      <c r="K248" s="315">
        <f t="shared" si="11"/>
        <v>-1.2750136385918164E-2</v>
      </c>
      <c r="L248" s="234"/>
      <c r="M248" s="307">
        <v>38579</v>
      </c>
      <c r="N248" s="310">
        <v>1536.5039449999999</v>
      </c>
      <c r="O248" s="257"/>
      <c r="P248" s="234"/>
      <c r="Q248" s="234"/>
      <c r="R248" s="234"/>
      <c r="S248" s="35"/>
      <c r="T248" s="35"/>
      <c r="U248" s="35"/>
      <c r="V248" s="35"/>
      <c r="W248" s="35"/>
      <c r="X248" s="35"/>
    </row>
    <row r="249" spans="1:24" ht="12.75" customHeight="1" x14ac:dyDescent="0.3">
      <c r="A249" s="35"/>
      <c r="B249" s="35"/>
      <c r="C249" s="35"/>
      <c r="D249" s="35"/>
      <c r="E249" s="35"/>
      <c r="F249" s="35"/>
      <c r="G249" s="35"/>
      <c r="H249" s="234" t="s">
        <v>717</v>
      </c>
      <c r="I249" s="306" t="s">
        <v>718</v>
      </c>
      <c r="J249" s="234">
        <f t="shared" si="10"/>
        <v>1.0094815950409091</v>
      </c>
      <c r="K249" s="315">
        <f t="shared" si="11"/>
        <v>9.4369268471589472E-3</v>
      </c>
      <c r="L249" s="234"/>
      <c r="M249" s="307">
        <v>38548</v>
      </c>
      <c r="N249" s="310">
        <v>1532.6702250000001</v>
      </c>
      <c r="O249" s="257"/>
      <c r="P249" s="234"/>
      <c r="Q249" s="234"/>
      <c r="R249" s="234"/>
      <c r="S249" s="35"/>
      <c r="T249" s="35"/>
      <c r="U249" s="35"/>
      <c r="V249" s="35"/>
      <c r="W249" s="35"/>
      <c r="X249" s="35"/>
    </row>
    <row r="250" spans="1:24" ht="12.75" customHeight="1" x14ac:dyDescent="0.3">
      <c r="A250" s="35"/>
      <c r="B250" s="35"/>
      <c r="C250" s="35"/>
      <c r="D250" s="35"/>
      <c r="E250" s="35"/>
      <c r="F250" s="35"/>
      <c r="G250" s="35"/>
      <c r="H250" s="234" t="s">
        <v>719</v>
      </c>
      <c r="I250" s="306" t="s">
        <v>720</v>
      </c>
      <c r="J250" s="234">
        <f t="shared" si="10"/>
        <v>1.0125533602173216</v>
      </c>
      <c r="K250" s="315">
        <f t="shared" si="11"/>
        <v>1.247522005909105E-2</v>
      </c>
      <c r="L250" s="234"/>
      <c r="M250" s="307">
        <v>38518</v>
      </c>
      <c r="N250" s="310">
        <v>1532.9798960000001</v>
      </c>
      <c r="O250" s="257"/>
      <c r="P250" s="234"/>
      <c r="Q250" s="234"/>
      <c r="R250" s="234"/>
      <c r="S250" s="35"/>
      <c r="T250" s="35"/>
      <c r="U250" s="35"/>
      <c r="V250" s="35"/>
      <c r="W250" s="35"/>
      <c r="X250" s="35"/>
    </row>
    <row r="251" spans="1:24" ht="12.75" customHeight="1" x14ac:dyDescent="0.3">
      <c r="A251" s="35"/>
      <c r="B251" s="35"/>
      <c r="C251" s="35"/>
      <c r="D251" s="35"/>
      <c r="E251" s="35"/>
      <c r="F251" s="35"/>
      <c r="G251" s="35"/>
      <c r="H251" s="234" t="s">
        <v>721</v>
      </c>
      <c r="I251" s="306" t="s">
        <v>722</v>
      </c>
      <c r="J251" s="234">
        <f t="shared" si="10"/>
        <v>0.98675546305931316</v>
      </c>
      <c r="K251" s="315">
        <f t="shared" si="11"/>
        <v>-1.3333028037670213E-2</v>
      </c>
      <c r="L251" s="234"/>
      <c r="M251" s="307">
        <v>38487</v>
      </c>
      <c r="N251" s="310">
        <v>1525.504453</v>
      </c>
      <c r="O251" s="257"/>
      <c r="P251" s="234"/>
      <c r="Q251" s="234"/>
      <c r="R251" s="234"/>
      <c r="S251" s="35"/>
      <c r="T251" s="35"/>
      <c r="U251" s="35"/>
      <c r="V251" s="35"/>
      <c r="W251" s="35"/>
      <c r="X251" s="35"/>
    </row>
    <row r="252" spans="1:24" ht="12.75" customHeight="1" x14ac:dyDescent="0.3">
      <c r="A252" s="35"/>
      <c r="B252" s="35"/>
      <c r="C252" s="35"/>
      <c r="D252" s="35"/>
      <c r="E252" s="35"/>
      <c r="F252" s="35"/>
      <c r="G252" s="35"/>
      <c r="H252" s="234" t="s">
        <v>723</v>
      </c>
      <c r="I252" s="306" t="s">
        <v>724</v>
      </c>
      <c r="J252" s="234">
        <f t="shared" si="10"/>
        <v>0.99868643116649902</v>
      </c>
      <c r="K252" s="315">
        <f t="shared" si="11"/>
        <v>-1.3144323212910809E-3</v>
      </c>
      <c r="L252" s="234"/>
      <c r="M252" s="307">
        <v>38457</v>
      </c>
      <c r="N252" s="310">
        <v>1512.349655</v>
      </c>
      <c r="O252" s="257"/>
      <c r="P252" s="234"/>
      <c r="Q252" s="234"/>
      <c r="R252" s="234"/>
      <c r="S252" s="35"/>
      <c r="T252" s="35"/>
      <c r="U252" s="35"/>
      <c r="V252" s="35"/>
      <c r="W252" s="35"/>
      <c r="X252" s="35"/>
    </row>
    <row r="253" spans="1:24" ht="12.75" customHeight="1" x14ac:dyDescent="0.3">
      <c r="A253" s="35"/>
      <c r="B253" s="35"/>
      <c r="C253" s="35"/>
      <c r="D253" s="35"/>
      <c r="E253" s="35"/>
      <c r="F253" s="35"/>
      <c r="G253" s="35"/>
      <c r="H253" s="234" t="s">
        <v>725</v>
      </c>
      <c r="I253" s="306" t="s">
        <v>726</v>
      </c>
      <c r="J253" s="234">
        <f t="shared" si="10"/>
        <v>1.0001330373252846</v>
      </c>
      <c r="K253" s="315">
        <f t="shared" si="11"/>
        <v>1.3302847660441459E-4</v>
      </c>
      <c r="L253" s="234"/>
      <c r="M253" s="307">
        <v>38426</v>
      </c>
      <c r="N253" s="310">
        <v>1503.183411</v>
      </c>
      <c r="O253" s="257"/>
      <c r="P253" s="234"/>
      <c r="Q253" s="234"/>
      <c r="R253" s="234"/>
      <c r="S253" s="35"/>
      <c r="T253" s="35"/>
      <c r="U253" s="35"/>
      <c r="V253" s="35"/>
      <c r="W253" s="35"/>
      <c r="X253" s="35"/>
    </row>
    <row r="254" spans="1:24" ht="12.75" customHeight="1" x14ac:dyDescent="0.3">
      <c r="A254" s="35"/>
      <c r="B254" s="35"/>
      <c r="C254" s="35"/>
      <c r="D254" s="35"/>
      <c r="E254" s="35"/>
      <c r="F254" s="35"/>
      <c r="G254" s="35"/>
      <c r="H254" s="234" t="s">
        <v>727</v>
      </c>
      <c r="I254" s="306" t="s">
        <v>728</v>
      </c>
      <c r="J254" s="234">
        <f t="shared" si="10"/>
        <v>0.99330183848428288</v>
      </c>
      <c r="K254" s="315">
        <f t="shared" si="11"/>
        <v>-6.7206948773258415E-3</v>
      </c>
      <c r="L254" s="234"/>
      <c r="M254" s="307">
        <v>38398</v>
      </c>
      <c r="N254" s="310">
        <v>1494.363998</v>
      </c>
      <c r="O254" s="257"/>
      <c r="P254" s="234"/>
      <c r="Q254" s="234"/>
      <c r="R254" s="234"/>
      <c r="S254" s="35"/>
      <c r="T254" s="35"/>
      <c r="U254" s="35"/>
      <c r="V254" s="35"/>
      <c r="W254" s="35"/>
      <c r="X254" s="35"/>
    </row>
    <row r="255" spans="1:24" ht="12.75" customHeight="1" x14ac:dyDescent="0.3">
      <c r="A255" s="35"/>
      <c r="B255" s="35"/>
      <c r="C255" s="35"/>
      <c r="D255" s="35"/>
      <c r="E255" s="35"/>
      <c r="F255" s="35"/>
      <c r="G255" s="35"/>
      <c r="H255" s="234" t="s">
        <v>729</v>
      </c>
      <c r="I255" s="306" t="s">
        <v>730</v>
      </c>
      <c r="J255" s="234">
        <f t="shared" si="10"/>
        <v>1.002575206803183</v>
      </c>
      <c r="K255" s="315">
        <f t="shared" si="11"/>
        <v>2.5718966398290137E-3</v>
      </c>
      <c r="L255" s="234"/>
      <c r="M255" s="307">
        <v>38367</v>
      </c>
      <c r="N255" s="310">
        <v>1485.7489680000001</v>
      </c>
      <c r="O255" s="257"/>
      <c r="P255" s="234"/>
      <c r="Q255" s="234"/>
      <c r="R255" s="234"/>
      <c r="S255" s="35"/>
      <c r="T255" s="35"/>
      <c r="U255" s="35"/>
      <c r="V255" s="35"/>
      <c r="W255" s="35"/>
      <c r="X255" s="35"/>
    </row>
    <row r="256" spans="1:24" ht="12.75" customHeight="1" x14ac:dyDescent="0.3">
      <c r="A256" s="35"/>
      <c r="B256" s="35"/>
      <c r="C256" s="35"/>
      <c r="D256" s="35"/>
      <c r="E256" s="35"/>
      <c r="F256" s="35"/>
      <c r="G256" s="35"/>
      <c r="H256" s="234" t="s">
        <v>731</v>
      </c>
      <c r="I256" s="306" t="s">
        <v>732</v>
      </c>
      <c r="J256" s="234">
        <f t="shared" si="10"/>
        <v>0.9890422177634004</v>
      </c>
      <c r="K256" s="315">
        <f t="shared" si="11"/>
        <v>-1.101826094653882E-2</v>
      </c>
      <c r="L256" s="234"/>
      <c r="M256" s="307">
        <v>38336</v>
      </c>
      <c r="N256" s="310">
        <v>1473.083449</v>
      </c>
      <c r="O256" s="257"/>
      <c r="P256" s="234"/>
      <c r="Q256" s="234"/>
      <c r="R256" s="234"/>
      <c r="S256" s="35"/>
      <c r="T256" s="35"/>
      <c r="U256" s="35"/>
      <c r="V256" s="35"/>
      <c r="W256" s="35"/>
      <c r="X256" s="35"/>
    </row>
    <row r="257" spans="1:24" ht="12.75" customHeight="1" x14ac:dyDescent="0.3">
      <c r="A257" s="35"/>
      <c r="B257" s="35"/>
      <c r="C257" s="35"/>
      <c r="D257" s="35"/>
      <c r="E257" s="35"/>
      <c r="F257" s="35"/>
      <c r="G257" s="35"/>
      <c r="H257" s="234" t="s">
        <v>733</v>
      </c>
      <c r="I257" s="306" t="s">
        <v>734</v>
      </c>
      <c r="J257" s="234">
        <f t="shared" si="10"/>
        <v>1.0076083279007781</v>
      </c>
      <c r="K257" s="315">
        <f t="shared" si="11"/>
        <v>7.5795305482860443E-3</v>
      </c>
      <c r="L257" s="234"/>
      <c r="M257" s="307">
        <v>38306</v>
      </c>
      <c r="N257" s="310">
        <v>1462.9881949999999</v>
      </c>
      <c r="O257" s="257"/>
      <c r="P257" s="234"/>
      <c r="Q257" s="234"/>
      <c r="R257" s="234"/>
      <c r="S257" s="35"/>
      <c r="T257" s="35"/>
      <c r="U257" s="35"/>
      <c r="V257" s="35"/>
      <c r="W257" s="35"/>
      <c r="X257" s="35"/>
    </row>
    <row r="258" spans="1:24" ht="12.75" customHeight="1" x14ac:dyDescent="0.3">
      <c r="A258" s="35"/>
      <c r="B258" s="35"/>
      <c r="C258" s="35"/>
      <c r="D258" s="35"/>
      <c r="E258" s="35"/>
      <c r="F258" s="35"/>
      <c r="G258" s="35"/>
      <c r="H258" s="234" t="s">
        <v>735</v>
      </c>
      <c r="I258" s="306" t="s">
        <v>736</v>
      </c>
      <c r="J258" s="234">
        <f t="shared" si="10"/>
        <v>1.0034363407525173</v>
      </c>
      <c r="K258" s="315">
        <f t="shared" si="11"/>
        <v>3.4304500248080018E-3</v>
      </c>
      <c r="L258" s="234"/>
      <c r="M258" s="307">
        <v>38275</v>
      </c>
      <c r="N258" s="310">
        <v>1456.5780179999999</v>
      </c>
      <c r="O258" s="257"/>
      <c r="P258" s="234"/>
      <c r="Q258" s="234"/>
      <c r="R258" s="234"/>
      <c r="S258" s="35"/>
      <c r="T258" s="35"/>
      <c r="U258" s="35"/>
      <c r="V258" s="35"/>
      <c r="W258" s="35"/>
      <c r="X258" s="35"/>
    </row>
    <row r="259" spans="1:24" ht="12.75" customHeight="1" x14ac:dyDescent="0.3">
      <c r="A259" s="35"/>
      <c r="B259" s="35"/>
      <c r="C259" s="35"/>
      <c r="D259" s="35"/>
      <c r="E259" s="35"/>
      <c r="F259" s="35"/>
      <c r="G259" s="35"/>
      <c r="H259" s="234" t="s">
        <v>737</v>
      </c>
      <c r="I259" s="306" t="s">
        <v>738</v>
      </c>
      <c r="J259" s="234">
        <f t="shared" si="10"/>
        <v>0.96847609042574523</v>
      </c>
      <c r="K259" s="315">
        <f t="shared" si="11"/>
        <v>-3.2031483661560528E-2</v>
      </c>
      <c r="L259" s="234"/>
      <c r="M259" s="307">
        <v>38245</v>
      </c>
      <c r="N259" s="310">
        <v>1451.78432</v>
      </c>
      <c r="O259" s="257"/>
      <c r="P259" s="234"/>
      <c r="Q259" s="234"/>
      <c r="R259" s="234"/>
      <c r="S259" s="35"/>
      <c r="T259" s="35"/>
      <c r="U259" s="35"/>
      <c r="V259" s="35"/>
      <c r="W259" s="35"/>
      <c r="X259" s="35"/>
    </row>
    <row r="260" spans="1:24" ht="12.75" customHeight="1" x14ac:dyDescent="0.3">
      <c r="A260" s="35"/>
      <c r="B260" s="35"/>
      <c r="C260" s="35"/>
      <c r="D260" s="35"/>
      <c r="E260" s="35"/>
      <c r="F260" s="35"/>
      <c r="G260" s="35"/>
      <c r="H260" s="234" t="s">
        <v>739</v>
      </c>
      <c r="I260" s="306" t="s">
        <v>740</v>
      </c>
      <c r="J260" s="234">
        <f t="shared" si="10"/>
        <v>1.0092181935901585</v>
      </c>
      <c r="K260" s="315">
        <f t="shared" si="11"/>
        <v>9.1759653572645178E-3</v>
      </c>
      <c r="L260" s="234"/>
      <c r="M260" s="307">
        <v>38214</v>
      </c>
      <c r="N260" s="310">
        <v>1441.8377069999999</v>
      </c>
      <c r="O260" s="257"/>
      <c r="P260" s="234"/>
      <c r="Q260" s="234"/>
      <c r="R260" s="234"/>
      <c r="S260" s="35"/>
      <c r="T260" s="35"/>
      <c r="U260" s="35"/>
      <c r="V260" s="35"/>
      <c r="W260" s="35"/>
      <c r="X260" s="35"/>
    </row>
    <row r="261" spans="1:24" ht="12.75" customHeight="1" x14ac:dyDescent="0.3">
      <c r="A261" s="35"/>
      <c r="B261" s="35"/>
      <c r="C261" s="35"/>
      <c r="D261" s="35"/>
      <c r="E261" s="35"/>
      <c r="F261" s="35"/>
      <c r="G261" s="35"/>
      <c r="H261" s="234" t="s">
        <v>741</v>
      </c>
      <c r="I261" s="306" t="s">
        <v>742</v>
      </c>
      <c r="J261" s="234">
        <f t="shared" ref="J261:J324" si="12">I261/I262</f>
        <v>0.9915737099751224</v>
      </c>
      <c r="K261" s="315">
        <f t="shared" ref="K261:K324" si="13">LN(J261)</f>
        <v>-8.4619919043952326E-3</v>
      </c>
      <c r="L261" s="234"/>
      <c r="M261" s="307">
        <v>38183</v>
      </c>
      <c r="N261" s="310">
        <v>1428.837745</v>
      </c>
      <c r="O261" s="257"/>
      <c r="P261" s="234"/>
      <c r="Q261" s="234"/>
      <c r="R261" s="234"/>
      <c r="S261" s="35"/>
      <c r="T261" s="35"/>
      <c r="U261" s="35"/>
      <c r="V261" s="35"/>
      <c r="W261" s="35"/>
      <c r="X261" s="35"/>
    </row>
    <row r="262" spans="1:24" ht="12.75" customHeight="1" x14ac:dyDescent="0.3">
      <c r="A262" s="35"/>
      <c r="B262" s="35"/>
      <c r="C262" s="35"/>
      <c r="D262" s="35"/>
      <c r="E262" s="35"/>
      <c r="F262" s="35"/>
      <c r="G262" s="35"/>
      <c r="H262" s="234" t="s">
        <v>743</v>
      </c>
      <c r="I262" s="306" t="s">
        <v>744</v>
      </c>
      <c r="J262" s="234">
        <f t="shared" si="12"/>
        <v>0.98816830819495327</v>
      </c>
      <c r="K262" s="315">
        <f t="shared" si="13"/>
        <v>-1.190224331855399E-2</v>
      </c>
      <c r="L262" s="234"/>
      <c r="M262" s="307">
        <v>38153</v>
      </c>
      <c r="N262" s="310">
        <v>1418.7672640000001</v>
      </c>
      <c r="O262" s="257"/>
      <c r="P262" s="234"/>
      <c r="Q262" s="234"/>
      <c r="R262" s="234"/>
      <c r="S262" s="35"/>
      <c r="T262" s="35"/>
      <c r="U262" s="35"/>
      <c r="V262" s="35"/>
      <c r="W262" s="35"/>
      <c r="X262" s="35"/>
    </row>
    <row r="263" spans="1:24" ht="12.75" customHeight="1" x14ac:dyDescent="0.3">
      <c r="A263" s="35"/>
      <c r="B263" s="35"/>
      <c r="C263" s="35"/>
      <c r="D263" s="35"/>
      <c r="E263" s="35"/>
      <c r="F263" s="35"/>
      <c r="G263" s="35"/>
      <c r="H263" s="234" t="s">
        <v>745</v>
      </c>
      <c r="I263" s="306" t="s">
        <v>746</v>
      </c>
      <c r="J263" s="234">
        <f t="shared" si="12"/>
        <v>0.97310687028791465</v>
      </c>
      <c r="K263" s="315">
        <f t="shared" si="13"/>
        <v>-2.7261366971620588E-2</v>
      </c>
      <c r="L263" s="234"/>
      <c r="M263" s="307">
        <v>38122</v>
      </c>
      <c r="N263" s="310">
        <v>1411.570524</v>
      </c>
      <c r="O263" s="257"/>
      <c r="P263" s="234"/>
      <c r="Q263" s="234"/>
      <c r="R263" s="234"/>
      <c r="S263" s="35"/>
      <c r="T263" s="35"/>
      <c r="U263" s="35"/>
      <c r="V263" s="35"/>
      <c r="W263" s="35"/>
      <c r="X263" s="35"/>
    </row>
    <row r="264" spans="1:24" ht="12.75" customHeight="1" x14ac:dyDescent="0.3">
      <c r="A264" s="35"/>
      <c r="B264" s="35"/>
      <c r="C264" s="35"/>
      <c r="D264" s="35"/>
      <c r="E264" s="35"/>
      <c r="F264" s="35"/>
      <c r="G264" s="35"/>
      <c r="H264" s="234" t="s">
        <v>747</v>
      </c>
      <c r="I264" s="306" t="s">
        <v>748</v>
      </c>
      <c r="J264" s="234">
        <f t="shared" si="12"/>
        <v>1.0105983092616277</v>
      </c>
      <c r="K264" s="315">
        <f t="shared" si="13"/>
        <v>1.0542540869747385E-2</v>
      </c>
      <c r="L264" s="234"/>
      <c r="M264" s="307">
        <v>38092</v>
      </c>
      <c r="N264" s="310">
        <v>1406.3680609999999</v>
      </c>
      <c r="O264" s="257"/>
      <c r="P264" s="234"/>
      <c r="Q264" s="234"/>
      <c r="R264" s="234"/>
      <c r="S264" s="35"/>
      <c r="T264" s="35"/>
      <c r="U264" s="35"/>
      <c r="V264" s="35"/>
      <c r="W264" s="35"/>
      <c r="X264" s="35"/>
    </row>
    <row r="265" spans="1:24" ht="12.75" customHeight="1" x14ac:dyDescent="0.3">
      <c r="A265" s="35"/>
      <c r="B265" s="35"/>
      <c r="C265" s="35"/>
      <c r="D265" s="35"/>
      <c r="E265" s="35"/>
      <c r="F265" s="35"/>
      <c r="G265" s="35"/>
      <c r="H265" s="234" t="s">
        <v>749</v>
      </c>
      <c r="I265" s="306" t="s">
        <v>750</v>
      </c>
      <c r="J265" s="234">
        <f t="shared" si="12"/>
        <v>1.0079787443107229</v>
      </c>
      <c r="K265" s="315">
        <f t="shared" si="13"/>
        <v>7.947082433512621E-3</v>
      </c>
      <c r="L265" s="234"/>
      <c r="M265" s="307">
        <v>38061</v>
      </c>
      <c r="N265" s="310">
        <v>1399.7906620000001</v>
      </c>
      <c r="O265" s="257"/>
      <c r="P265" s="234"/>
      <c r="Q265" s="234"/>
      <c r="R265" s="234"/>
      <c r="S265" s="35"/>
      <c r="T265" s="35"/>
      <c r="U265" s="35"/>
      <c r="V265" s="35"/>
      <c r="W265" s="35"/>
      <c r="X265" s="35"/>
    </row>
    <row r="266" spans="1:24" ht="12.75" customHeight="1" x14ac:dyDescent="0.3">
      <c r="A266" s="35"/>
      <c r="B266" s="35"/>
      <c r="C266" s="35"/>
      <c r="D266" s="35"/>
      <c r="E266" s="35"/>
      <c r="F266" s="35"/>
      <c r="G266" s="35"/>
      <c r="H266" s="234" t="s">
        <v>751</v>
      </c>
      <c r="I266" s="306" t="s">
        <v>752</v>
      </c>
      <c r="J266" s="234">
        <f t="shared" si="12"/>
        <v>1.0100598669270957</v>
      </c>
      <c r="K266" s="315">
        <f t="shared" si="13"/>
        <v>1.0009603281766253E-2</v>
      </c>
      <c r="L266" s="234"/>
      <c r="M266" s="307">
        <v>38032</v>
      </c>
      <c r="N266" s="310">
        <v>1391.3056939999999</v>
      </c>
      <c r="O266" s="257"/>
      <c r="P266" s="234"/>
      <c r="Q266" s="234"/>
      <c r="R266" s="234"/>
      <c r="S266" s="35"/>
      <c r="T266" s="35"/>
      <c r="U266" s="35"/>
      <c r="V266" s="35"/>
      <c r="W266" s="35"/>
      <c r="X266" s="35"/>
    </row>
    <row r="267" spans="1:24" ht="12.75" customHeight="1" x14ac:dyDescent="0.3">
      <c r="A267" s="35"/>
      <c r="B267" s="35"/>
      <c r="C267" s="35"/>
      <c r="D267" s="35"/>
      <c r="E267" s="35"/>
      <c r="F267" s="35"/>
      <c r="G267" s="35"/>
      <c r="H267" s="234" t="s">
        <v>753</v>
      </c>
      <c r="I267" s="306" t="s">
        <v>754</v>
      </c>
      <c r="J267" s="234">
        <f t="shared" si="12"/>
        <v>0.98506131898385685</v>
      </c>
      <c r="K267" s="315">
        <f t="shared" si="13"/>
        <v>-1.5051386972182598E-2</v>
      </c>
      <c r="L267" s="234"/>
      <c r="M267" s="307">
        <v>38001</v>
      </c>
      <c r="N267" s="310">
        <v>1380.814061</v>
      </c>
      <c r="O267" s="257"/>
      <c r="P267" s="234"/>
      <c r="Q267" s="234"/>
      <c r="R267" s="234"/>
      <c r="S267" s="35"/>
      <c r="T267" s="35"/>
      <c r="U267" s="35"/>
      <c r="V267" s="35"/>
      <c r="W267" s="35"/>
      <c r="X267" s="35"/>
    </row>
    <row r="268" spans="1:24" ht="12.75" customHeight="1" x14ac:dyDescent="0.3">
      <c r="A268" s="35"/>
      <c r="B268" s="35"/>
      <c r="C268" s="35"/>
      <c r="D268" s="35"/>
      <c r="E268" s="35"/>
      <c r="F268" s="35"/>
      <c r="G268" s="35"/>
      <c r="H268" s="234" t="s">
        <v>755</v>
      </c>
      <c r="I268" s="306" t="s">
        <v>756</v>
      </c>
      <c r="J268" s="234">
        <f t="shared" si="12"/>
        <v>1.0140219529217689</v>
      </c>
      <c r="K268" s="315">
        <f t="shared" si="13"/>
        <v>1.392455475886703E-2</v>
      </c>
      <c r="L268" s="234"/>
      <c r="M268" s="307">
        <v>37970</v>
      </c>
      <c r="N268" s="310">
        <v>1373.6730620000001</v>
      </c>
      <c r="O268" s="257"/>
      <c r="P268" s="234"/>
      <c r="Q268" s="234"/>
      <c r="R268" s="234"/>
      <c r="S268" s="35"/>
      <c r="T268" s="35"/>
      <c r="U268" s="35"/>
      <c r="V268" s="35"/>
      <c r="W268" s="35"/>
      <c r="X268" s="35"/>
    </row>
    <row r="269" spans="1:24" ht="12.75" customHeight="1" x14ac:dyDescent="0.3">
      <c r="A269" s="35"/>
      <c r="B269" s="35"/>
      <c r="C269" s="35"/>
      <c r="D269" s="35"/>
      <c r="E269" s="35"/>
      <c r="F269" s="35"/>
      <c r="G269" s="35"/>
      <c r="H269" s="234" t="s">
        <v>757</v>
      </c>
      <c r="I269" s="306" t="s">
        <v>758</v>
      </c>
      <c r="J269" s="234">
        <f t="shared" si="12"/>
        <v>0.99959568412624167</v>
      </c>
      <c r="K269" s="315">
        <f t="shared" si="13"/>
        <v>-4.0439763145925188E-4</v>
      </c>
      <c r="L269" s="234"/>
      <c r="M269" s="307">
        <v>37940</v>
      </c>
      <c r="N269" s="310">
        <v>1369.015619</v>
      </c>
      <c r="O269" s="257"/>
      <c r="P269" s="234"/>
      <c r="Q269" s="234"/>
      <c r="R269" s="234"/>
      <c r="S269" s="35"/>
      <c r="T269" s="35"/>
      <c r="U269" s="35"/>
      <c r="V269" s="35"/>
      <c r="W269" s="35"/>
      <c r="X269" s="35"/>
    </row>
    <row r="270" spans="1:24" ht="12.75" customHeight="1" x14ac:dyDescent="0.3">
      <c r="A270" s="35"/>
      <c r="B270" s="35"/>
      <c r="C270" s="35"/>
      <c r="D270" s="35"/>
      <c r="E270" s="35"/>
      <c r="F270" s="35"/>
      <c r="G270" s="35"/>
      <c r="H270" s="234" t="s">
        <v>759</v>
      </c>
      <c r="I270" s="306" t="s">
        <v>760</v>
      </c>
      <c r="J270" s="234">
        <f t="shared" si="12"/>
        <v>1.0072184293528168</v>
      </c>
      <c r="K270" s="315">
        <f t="shared" si="13"/>
        <v>7.1925011906257587E-3</v>
      </c>
      <c r="L270" s="234"/>
      <c r="M270" s="307">
        <v>37909</v>
      </c>
      <c r="N270" s="310">
        <v>1365.0580319999999</v>
      </c>
      <c r="O270" s="257"/>
      <c r="P270" s="234"/>
      <c r="Q270" s="234"/>
      <c r="R270" s="234"/>
      <c r="S270" s="35"/>
      <c r="T270" s="35"/>
      <c r="U270" s="35"/>
      <c r="V270" s="35"/>
      <c r="W270" s="35"/>
      <c r="X270" s="35"/>
    </row>
    <row r="271" spans="1:24" ht="12.75" customHeight="1" x14ac:dyDescent="0.3">
      <c r="A271" s="35"/>
      <c r="B271" s="35"/>
      <c r="C271" s="35"/>
      <c r="D271" s="35"/>
      <c r="E271" s="35"/>
      <c r="F271" s="35"/>
      <c r="G271" s="35"/>
      <c r="H271" s="234" t="s">
        <v>761</v>
      </c>
      <c r="I271" s="306" t="s">
        <v>762</v>
      </c>
      <c r="J271" s="234">
        <f t="shared" si="12"/>
        <v>0.99655441321577487</v>
      </c>
      <c r="K271" s="315">
        <f t="shared" si="13"/>
        <v>-3.451536489116717E-3</v>
      </c>
      <c r="L271" s="234"/>
      <c r="M271" s="307">
        <v>37879</v>
      </c>
      <c r="N271" s="313">
        <v>1354.492078</v>
      </c>
      <c r="O271" s="257"/>
      <c r="P271" s="234"/>
      <c r="Q271" s="234"/>
      <c r="R271" s="234"/>
      <c r="S271" s="35"/>
      <c r="T271" s="35"/>
      <c r="U271" s="35"/>
      <c r="V271" s="35"/>
      <c r="W271" s="35"/>
      <c r="X271" s="35"/>
    </row>
    <row r="272" spans="1:24" ht="12.75" customHeight="1" x14ac:dyDescent="0.3">
      <c r="A272" s="35"/>
      <c r="B272" s="35"/>
      <c r="C272" s="35"/>
      <c r="D272" s="35"/>
      <c r="E272" s="35"/>
      <c r="F272" s="35"/>
      <c r="G272" s="35"/>
      <c r="H272" s="234" t="s">
        <v>763</v>
      </c>
      <c r="I272" s="306" t="s">
        <v>764</v>
      </c>
      <c r="J272" s="234">
        <f t="shared" si="12"/>
        <v>1.0084823972201491</v>
      </c>
      <c r="K272" s="315">
        <f t="shared" si="13"/>
        <v>8.4466238424954748E-3</v>
      </c>
      <c r="L272" s="234"/>
      <c r="M272" s="307">
        <v>37848</v>
      </c>
      <c r="N272" s="313">
        <v>1349.902763</v>
      </c>
      <c r="O272" s="257"/>
      <c r="P272" s="234"/>
      <c r="Q272" s="234"/>
      <c r="R272" s="234"/>
      <c r="S272" s="35"/>
      <c r="T272" s="35"/>
      <c r="U272" s="35"/>
      <c r="V272" s="35"/>
      <c r="W272" s="35"/>
      <c r="X272" s="35"/>
    </row>
    <row r="273" spans="1:24" ht="12.75" customHeight="1" x14ac:dyDescent="0.3">
      <c r="A273" s="35"/>
      <c r="B273" s="35"/>
      <c r="C273" s="35"/>
      <c r="D273" s="35"/>
      <c r="E273" s="35"/>
      <c r="F273" s="35"/>
      <c r="G273" s="35"/>
      <c r="H273" s="234" t="s">
        <v>765</v>
      </c>
      <c r="I273" s="306" t="s">
        <v>766</v>
      </c>
      <c r="J273" s="234">
        <f t="shared" si="12"/>
        <v>0.97606272568478936</v>
      </c>
      <c r="K273" s="315">
        <f t="shared" si="13"/>
        <v>-2.4228426514490461E-2</v>
      </c>
      <c r="L273" s="234"/>
      <c r="M273" s="307">
        <v>37817</v>
      </c>
      <c r="N273" s="313">
        <v>1347.208631</v>
      </c>
      <c r="O273" s="257"/>
      <c r="P273" s="234"/>
      <c r="Q273" s="234"/>
      <c r="R273" s="234"/>
      <c r="S273" s="35"/>
      <c r="T273" s="35"/>
      <c r="U273" s="35"/>
      <c r="V273" s="35"/>
      <c r="W273" s="35"/>
      <c r="X273" s="35"/>
    </row>
    <row r="274" spans="1:24" ht="12.75" customHeight="1" x14ac:dyDescent="0.3">
      <c r="A274" s="35"/>
      <c r="B274" s="35"/>
      <c r="C274" s="35"/>
      <c r="D274" s="35"/>
      <c r="E274" s="35"/>
      <c r="F274" s="35"/>
      <c r="G274" s="35"/>
      <c r="H274" s="234" t="s">
        <v>767</v>
      </c>
      <c r="I274" s="306" t="s">
        <v>768</v>
      </c>
      <c r="J274" s="234">
        <f t="shared" si="12"/>
        <v>0.98263586893775545</v>
      </c>
      <c r="K274" s="315">
        <f t="shared" si="13"/>
        <v>-1.7516655804591452E-2</v>
      </c>
      <c r="L274" s="234"/>
      <c r="M274" s="307">
        <v>37787</v>
      </c>
      <c r="N274" s="313">
        <v>1349.2338749999999</v>
      </c>
      <c r="O274" s="257"/>
      <c r="P274" s="234"/>
      <c r="Q274" s="234"/>
      <c r="R274" s="234"/>
      <c r="S274" s="35"/>
      <c r="T274" s="35"/>
      <c r="U274" s="35"/>
      <c r="V274" s="35"/>
      <c r="W274" s="35"/>
      <c r="X274" s="35"/>
    </row>
    <row r="275" spans="1:24" ht="12.75" customHeight="1" x14ac:dyDescent="0.3">
      <c r="A275" s="35"/>
      <c r="B275" s="35"/>
      <c r="C275" s="35"/>
      <c r="D275" s="35"/>
      <c r="E275" s="35"/>
      <c r="F275" s="35"/>
      <c r="G275" s="35"/>
      <c r="H275" s="234" t="s">
        <v>769</v>
      </c>
      <c r="I275" s="306" t="s">
        <v>770</v>
      </c>
      <c r="J275" s="234">
        <f t="shared" si="12"/>
        <v>1.0068194322822626</v>
      </c>
      <c r="K275" s="315">
        <f t="shared" si="13"/>
        <v>6.7962851279842118E-3</v>
      </c>
      <c r="L275" s="234"/>
      <c r="M275" s="307">
        <v>37756</v>
      </c>
      <c r="N275" s="313">
        <v>1341.052383</v>
      </c>
      <c r="O275" s="257"/>
      <c r="P275" s="234"/>
      <c r="Q275" s="234"/>
      <c r="R275" s="234"/>
      <c r="S275" s="35"/>
      <c r="T275" s="35"/>
      <c r="U275" s="35"/>
      <c r="V275" s="35"/>
      <c r="W275" s="35"/>
      <c r="X275" s="35"/>
    </row>
    <row r="276" spans="1:24" ht="12.75" customHeight="1" x14ac:dyDescent="0.3">
      <c r="A276" s="35"/>
      <c r="B276" s="35"/>
      <c r="C276" s="35"/>
      <c r="D276" s="35"/>
      <c r="E276" s="35"/>
      <c r="F276" s="35"/>
      <c r="G276" s="35"/>
      <c r="H276" s="234" t="s">
        <v>771</v>
      </c>
      <c r="I276" s="306" t="s">
        <v>772</v>
      </c>
      <c r="J276" s="234">
        <f t="shared" si="12"/>
        <v>0.99936495643756051</v>
      </c>
      <c r="K276" s="315">
        <f t="shared" si="13"/>
        <v>-6.3524528801012139E-4</v>
      </c>
      <c r="L276" s="234"/>
      <c r="M276" s="307">
        <v>37726</v>
      </c>
      <c r="N276" s="313">
        <v>1328.1700949999999</v>
      </c>
      <c r="O276" s="257"/>
      <c r="P276" s="234"/>
      <c r="Q276" s="234"/>
      <c r="R276" s="234"/>
      <c r="S276" s="35"/>
      <c r="T276" s="35"/>
      <c r="U276" s="35"/>
      <c r="V276" s="35"/>
      <c r="W276" s="35"/>
      <c r="X276" s="35"/>
    </row>
    <row r="277" spans="1:24" ht="12.75" customHeight="1" x14ac:dyDescent="0.3">
      <c r="A277" s="35"/>
      <c r="B277" s="35"/>
      <c r="C277" s="35"/>
      <c r="D277" s="35"/>
      <c r="E277" s="35"/>
      <c r="F277" s="35"/>
      <c r="G277" s="35"/>
      <c r="H277" s="234" t="s">
        <v>773</v>
      </c>
      <c r="I277" s="306" t="s">
        <v>774</v>
      </c>
      <c r="J277" s="234">
        <f t="shared" si="12"/>
        <v>1.0171808041341064</v>
      </c>
      <c r="K277" s="315">
        <f t="shared" si="13"/>
        <v>1.7034883107882995E-2</v>
      </c>
      <c r="L277" s="234"/>
      <c r="M277" s="307">
        <v>37695</v>
      </c>
      <c r="N277" s="313">
        <v>1312.0300749999999</v>
      </c>
      <c r="O277" s="257"/>
      <c r="P277" s="234"/>
      <c r="Q277" s="234"/>
      <c r="R277" s="234"/>
      <c r="S277" s="35"/>
      <c r="T277" s="35"/>
      <c r="U277" s="35"/>
      <c r="V277" s="35"/>
      <c r="W277" s="35"/>
      <c r="X277" s="35"/>
    </row>
    <row r="278" spans="1:24" ht="12.75" customHeight="1" x14ac:dyDescent="0.3">
      <c r="A278" s="35"/>
      <c r="B278" s="35"/>
      <c r="C278" s="35"/>
      <c r="D278" s="35"/>
      <c r="E278" s="35"/>
      <c r="F278" s="35"/>
      <c r="G278" s="35"/>
      <c r="H278" s="234" t="s">
        <v>775</v>
      </c>
      <c r="I278" s="306" t="s">
        <v>776</v>
      </c>
      <c r="J278" s="234">
        <f t="shared" si="12"/>
        <v>0.9902259803271527</v>
      </c>
      <c r="K278" s="315">
        <f t="shared" si="13"/>
        <v>-9.8220989448064566E-3</v>
      </c>
      <c r="L278" s="234"/>
      <c r="M278" s="307">
        <v>37667</v>
      </c>
      <c r="N278" s="313">
        <v>1291.746664</v>
      </c>
      <c r="O278" s="257"/>
      <c r="P278" s="234"/>
      <c r="Q278" s="234"/>
      <c r="R278" s="234"/>
      <c r="S278" s="35"/>
      <c r="T278" s="35"/>
      <c r="U278" s="35"/>
      <c r="V278" s="35"/>
      <c r="W278" s="35"/>
      <c r="X278" s="35"/>
    </row>
    <row r="279" spans="1:24" ht="12.75" customHeight="1" x14ac:dyDescent="0.3">
      <c r="A279" s="35"/>
      <c r="B279" s="35"/>
      <c r="C279" s="35"/>
      <c r="D279" s="35"/>
      <c r="E279" s="35"/>
      <c r="F279" s="35"/>
      <c r="G279" s="35"/>
      <c r="H279" s="234" t="s">
        <v>777</v>
      </c>
      <c r="I279" s="306" t="s">
        <v>778</v>
      </c>
      <c r="J279" s="234">
        <f t="shared" si="12"/>
        <v>1.0033576482374302</v>
      </c>
      <c r="K279" s="315">
        <f t="shared" si="13"/>
        <v>3.3520239227176553E-3</v>
      </c>
      <c r="L279" s="234"/>
      <c r="M279" s="307">
        <v>37636</v>
      </c>
      <c r="N279" s="313">
        <v>1263.318923</v>
      </c>
      <c r="O279" s="257"/>
      <c r="P279" s="234"/>
      <c r="Q279" s="234"/>
      <c r="R279" s="234"/>
      <c r="S279" s="35"/>
      <c r="T279" s="35"/>
      <c r="U279" s="35"/>
      <c r="V279" s="35"/>
      <c r="W279" s="35"/>
      <c r="X279" s="35"/>
    </row>
    <row r="280" spans="1:24" ht="12.75" customHeight="1" x14ac:dyDescent="0.3">
      <c r="A280" s="35"/>
      <c r="B280" s="35"/>
      <c r="C280" s="35"/>
      <c r="D280" s="35"/>
      <c r="E280" s="35"/>
      <c r="F280" s="35"/>
      <c r="G280" s="35"/>
      <c r="H280" s="234" t="s">
        <v>779</v>
      </c>
      <c r="I280" s="306" t="s">
        <v>780</v>
      </c>
      <c r="J280" s="234">
        <f t="shared" si="12"/>
        <v>0.99982001862415981</v>
      </c>
      <c r="K280" s="315">
        <f t="shared" si="13"/>
        <v>-1.7999757443167171E-4</v>
      </c>
      <c r="L280" s="234"/>
      <c r="M280" s="307">
        <v>37605</v>
      </c>
      <c r="N280" s="313">
        <v>1237.337577</v>
      </c>
      <c r="O280" s="257"/>
      <c r="P280" s="234"/>
      <c r="Q280" s="234"/>
      <c r="R280" s="234"/>
      <c r="S280" s="35"/>
      <c r="T280" s="35"/>
      <c r="U280" s="35"/>
      <c r="V280" s="35"/>
      <c r="W280" s="35"/>
      <c r="X280" s="35"/>
    </row>
    <row r="281" spans="1:24" ht="12.75" customHeight="1" x14ac:dyDescent="0.3">
      <c r="A281" s="35"/>
      <c r="B281" s="35"/>
      <c r="C281" s="35"/>
      <c r="D281" s="35"/>
      <c r="E281" s="35"/>
      <c r="F281" s="35"/>
      <c r="G281" s="35"/>
      <c r="H281" s="234" t="s">
        <v>781</v>
      </c>
      <c r="I281" s="306" t="s">
        <v>782</v>
      </c>
      <c r="J281" s="234">
        <f t="shared" si="12"/>
        <v>1.0004462398421721</v>
      </c>
      <c r="K281" s="315">
        <f t="shared" si="13"/>
        <v>4.461403067837015E-4</v>
      </c>
      <c r="L281" s="234"/>
      <c r="M281" s="307">
        <v>37575</v>
      </c>
      <c r="N281" s="313">
        <v>1201.062788</v>
      </c>
      <c r="O281" s="257"/>
      <c r="P281" s="234"/>
      <c r="Q281" s="234"/>
      <c r="R281" s="234"/>
      <c r="S281" s="35"/>
      <c r="T281" s="35"/>
      <c r="U281" s="35"/>
      <c r="V281" s="35"/>
      <c r="W281" s="35"/>
      <c r="X281" s="35"/>
    </row>
    <row r="282" spans="1:24" ht="12.75" customHeight="1" x14ac:dyDescent="0.3">
      <c r="A282" s="35"/>
      <c r="B282" s="35"/>
      <c r="C282" s="35"/>
      <c r="D282" s="35"/>
      <c r="E282" s="35"/>
      <c r="F282" s="35"/>
      <c r="G282" s="35"/>
      <c r="H282" s="234" t="s">
        <v>783</v>
      </c>
      <c r="I282" s="306" t="s">
        <v>784</v>
      </c>
      <c r="J282" s="234">
        <f t="shared" si="12"/>
        <v>1.0002819151435418</v>
      </c>
      <c r="K282" s="315">
        <f t="shared" si="13"/>
        <v>2.8187541293466309E-4</v>
      </c>
      <c r="L282" s="234"/>
      <c r="M282" s="307">
        <v>37544</v>
      </c>
      <c r="N282" s="313">
        <v>1185.529722</v>
      </c>
      <c r="O282" s="257"/>
      <c r="P282" s="234"/>
      <c r="Q282" s="234"/>
      <c r="R282" s="234"/>
      <c r="S282" s="35"/>
      <c r="T282" s="35"/>
      <c r="U282" s="35"/>
      <c r="V282" s="35"/>
      <c r="W282" s="35"/>
      <c r="X282" s="35"/>
    </row>
    <row r="283" spans="1:24" ht="12.75" customHeight="1" x14ac:dyDescent="0.3">
      <c r="A283" s="35"/>
      <c r="B283" s="35"/>
      <c r="C283" s="35"/>
      <c r="D283" s="35"/>
      <c r="E283" s="35"/>
      <c r="F283" s="35"/>
      <c r="G283" s="35"/>
      <c r="H283" s="234" t="s">
        <v>785</v>
      </c>
      <c r="I283" s="306" t="s">
        <v>786</v>
      </c>
      <c r="J283" s="234">
        <f t="shared" si="12"/>
        <v>0.99863145464640701</v>
      </c>
      <c r="K283" s="315">
        <f t="shared" si="13"/>
        <v>-1.3694826670536614E-3</v>
      </c>
      <c r="L283" s="234"/>
      <c r="M283" s="307">
        <v>37514</v>
      </c>
      <c r="N283" s="313">
        <v>1177.0571399999999</v>
      </c>
      <c r="O283" s="257"/>
      <c r="P283" s="234"/>
      <c r="Q283" s="234"/>
      <c r="R283" s="234"/>
      <c r="S283" s="35"/>
      <c r="T283" s="35"/>
      <c r="U283" s="35"/>
      <c r="V283" s="35"/>
      <c r="W283" s="35"/>
      <c r="X283" s="35"/>
    </row>
    <row r="284" spans="1:24" ht="12.75" customHeight="1" x14ac:dyDescent="0.3">
      <c r="A284" s="35"/>
      <c r="B284" s="35"/>
      <c r="C284" s="35"/>
      <c r="D284" s="35"/>
      <c r="E284" s="35"/>
      <c r="F284" s="35"/>
      <c r="G284" s="35"/>
      <c r="H284" s="234" t="s">
        <v>787</v>
      </c>
      <c r="I284" s="306" t="s">
        <v>788</v>
      </c>
      <c r="J284" s="234">
        <f t="shared" si="12"/>
        <v>1.000344209842837</v>
      </c>
      <c r="K284" s="315">
        <f t="shared" si="13"/>
        <v>3.4415061621958701E-4</v>
      </c>
      <c r="L284" s="234"/>
      <c r="M284" s="307">
        <v>37483</v>
      </c>
      <c r="N284" s="313">
        <v>1169.4578289999999</v>
      </c>
      <c r="O284" s="257"/>
      <c r="P284" s="234"/>
      <c r="Q284" s="234"/>
      <c r="R284" s="234"/>
      <c r="S284" s="35"/>
      <c r="T284" s="35"/>
      <c r="U284" s="35"/>
      <c r="V284" s="35"/>
      <c r="W284" s="35"/>
      <c r="X284" s="35"/>
    </row>
    <row r="285" spans="1:24" ht="12.75" customHeight="1" x14ac:dyDescent="0.3">
      <c r="A285" s="35"/>
      <c r="B285" s="35"/>
      <c r="C285" s="35"/>
      <c r="D285" s="35"/>
      <c r="E285" s="35"/>
      <c r="F285" s="35"/>
      <c r="G285" s="35"/>
      <c r="H285" s="234" t="s">
        <v>789</v>
      </c>
      <c r="I285" s="306" t="s">
        <v>790</v>
      </c>
      <c r="J285" s="234">
        <f t="shared" si="12"/>
        <v>0.98597730761220859</v>
      </c>
      <c r="K285" s="315">
        <f t="shared" si="13"/>
        <v>-1.4121939236421964E-2</v>
      </c>
      <c r="L285" s="234"/>
      <c r="M285" s="307">
        <v>37452</v>
      </c>
      <c r="N285" s="313">
        <v>1155.70227</v>
      </c>
      <c r="O285" s="257"/>
      <c r="P285" s="234"/>
      <c r="Q285" s="234"/>
      <c r="R285" s="234"/>
      <c r="S285" s="35"/>
      <c r="T285" s="35"/>
      <c r="U285" s="35"/>
      <c r="V285" s="35"/>
      <c r="W285" s="35"/>
      <c r="X285" s="35"/>
    </row>
    <row r="286" spans="1:24" ht="12.75" customHeight="1" x14ac:dyDescent="0.3">
      <c r="A286" s="35"/>
      <c r="B286" s="35"/>
      <c r="C286" s="35"/>
      <c r="D286" s="35"/>
      <c r="E286" s="35"/>
      <c r="F286" s="35"/>
      <c r="G286" s="35"/>
      <c r="H286" s="234" t="s">
        <v>791</v>
      </c>
      <c r="I286" s="306" t="s">
        <v>792</v>
      </c>
      <c r="J286" s="234">
        <f t="shared" si="12"/>
        <v>0.99467550502144375</v>
      </c>
      <c r="K286" s="315">
        <f t="shared" si="13"/>
        <v>-5.3387206206539552E-3</v>
      </c>
      <c r="L286" s="234"/>
      <c r="M286" s="307">
        <v>37422</v>
      </c>
      <c r="N286" s="313">
        <v>1150.871412</v>
      </c>
      <c r="O286" s="257"/>
      <c r="P286" s="234"/>
      <c r="Q286" s="234"/>
      <c r="R286" s="234"/>
      <c r="S286" s="35"/>
      <c r="T286" s="35"/>
      <c r="U286" s="35"/>
      <c r="V286" s="35"/>
      <c r="W286" s="35"/>
      <c r="X286" s="35"/>
    </row>
    <row r="287" spans="1:24" ht="12.75" customHeight="1" x14ac:dyDescent="0.3">
      <c r="A287" s="35"/>
      <c r="B287" s="35"/>
      <c r="C287" s="35"/>
      <c r="D287" s="35"/>
      <c r="E287" s="35"/>
      <c r="F287" s="35"/>
      <c r="G287" s="35"/>
      <c r="H287" s="234" t="s">
        <v>793</v>
      </c>
      <c r="I287" s="306" t="s">
        <v>794</v>
      </c>
      <c r="J287" s="234">
        <f t="shared" si="12"/>
        <v>0.9979175120393835</v>
      </c>
      <c r="K287" s="315">
        <f t="shared" si="13"/>
        <v>-2.08465935379339E-3</v>
      </c>
      <c r="L287" s="234"/>
      <c r="M287" s="307">
        <v>37391</v>
      </c>
      <c r="N287" s="313">
        <v>1148.462176</v>
      </c>
      <c r="O287" s="257"/>
      <c r="P287" s="234"/>
      <c r="Q287" s="234"/>
      <c r="R287" s="234"/>
      <c r="S287" s="35"/>
      <c r="T287" s="35"/>
      <c r="U287" s="35"/>
      <c r="V287" s="35"/>
      <c r="W287" s="35"/>
      <c r="X287" s="35"/>
    </row>
    <row r="288" spans="1:24" ht="12.75" customHeight="1" x14ac:dyDescent="0.3">
      <c r="A288" s="35"/>
      <c r="B288" s="35"/>
      <c r="C288" s="35"/>
      <c r="D288" s="35"/>
      <c r="E288" s="35"/>
      <c r="F288" s="35"/>
      <c r="G288" s="35"/>
      <c r="H288" s="234" t="s">
        <v>795</v>
      </c>
      <c r="I288" s="306" t="s">
        <v>796</v>
      </c>
      <c r="J288" s="234">
        <f t="shared" si="12"/>
        <v>1.0007508715473317</v>
      </c>
      <c r="K288" s="315">
        <f t="shared" si="13"/>
        <v>7.5058978432776329E-4</v>
      </c>
      <c r="L288" s="234"/>
      <c r="M288" s="307">
        <v>37361</v>
      </c>
      <c r="N288" s="313">
        <v>1139.34548</v>
      </c>
      <c r="O288" s="257"/>
      <c r="P288" s="234"/>
      <c r="Q288" s="234"/>
      <c r="R288" s="234"/>
      <c r="S288" s="35"/>
      <c r="T288" s="35"/>
      <c r="U288" s="35"/>
      <c r="V288" s="35"/>
      <c r="W288" s="35"/>
      <c r="X288" s="35"/>
    </row>
    <row r="289" spans="1:24" ht="12.75" customHeight="1" x14ac:dyDescent="0.3">
      <c r="A289" s="35"/>
      <c r="B289" s="35"/>
      <c r="C289" s="35"/>
      <c r="D289" s="35"/>
      <c r="E289" s="35"/>
      <c r="F289" s="35"/>
      <c r="G289" s="35"/>
      <c r="H289" s="234" t="s">
        <v>797</v>
      </c>
      <c r="I289" s="306" t="s">
        <v>798</v>
      </c>
      <c r="J289" s="234">
        <f t="shared" si="12"/>
        <v>1.0186139077499414</v>
      </c>
      <c r="K289" s="315">
        <f t="shared" si="13"/>
        <v>1.8442789164612575E-2</v>
      </c>
      <c r="L289" s="234"/>
      <c r="M289" s="307">
        <v>37330</v>
      </c>
      <c r="N289" s="313">
        <v>1132.5513120000001</v>
      </c>
      <c r="O289" s="257"/>
      <c r="P289" s="234"/>
      <c r="Q289" s="234"/>
      <c r="R289" s="234"/>
      <c r="S289" s="35"/>
      <c r="T289" s="35"/>
      <c r="U289" s="35"/>
      <c r="V289" s="35"/>
      <c r="W289" s="35"/>
      <c r="X289" s="35"/>
    </row>
    <row r="290" spans="1:24" ht="12.75" customHeight="1" x14ac:dyDescent="0.3">
      <c r="A290" s="35"/>
      <c r="B290" s="35"/>
      <c r="C290" s="35"/>
      <c r="D290" s="35"/>
      <c r="E290" s="35"/>
      <c r="F290" s="35"/>
      <c r="G290" s="35"/>
      <c r="H290" s="234" t="s">
        <v>799</v>
      </c>
      <c r="I290" s="306" t="s">
        <v>800</v>
      </c>
      <c r="J290" s="234">
        <f t="shared" si="12"/>
        <v>0.98775805979123943</v>
      </c>
      <c r="K290" s="315">
        <f t="shared" si="13"/>
        <v>-1.2317489975773182E-2</v>
      </c>
      <c r="L290" s="234"/>
      <c r="M290" s="307">
        <v>37302</v>
      </c>
      <c r="N290" s="313">
        <v>1128.4884360000001</v>
      </c>
      <c r="O290" s="257"/>
      <c r="P290" s="234"/>
      <c r="Q290" s="234"/>
      <c r="R290" s="234"/>
      <c r="S290" s="35"/>
      <c r="T290" s="35"/>
      <c r="U290" s="35"/>
      <c r="V290" s="35"/>
      <c r="W290" s="35"/>
      <c r="X290" s="35"/>
    </row>
    <row r="291" spans="1:24" ht="12.75" customHeight="1" x14ac:dyDescent="0.3">
      <c r="A291" s="35"/>
      <c r="B291" s="35"/>
      <c r="C291" s="35"/>
      <c r="D291" s="35"/>
      <c r="E291" s="35"/>
      <c r="F291" s="35"/>
      <c r="G291" s="35"/>
      <c r="H291" s="234" t="s">
        <v>801</v>
      </c>
      <c r="I291" s="306" t="s">
        <v>802</v>
      </c>
      <c r="J291" s="234">
        <f t="shared" si="12"/>
        <v>0.99295003789067582</v>
      </c>
      <c r="K291" s="315">
        <f t="shared" si="13"/>
        <v>-7.0749305122624045E-3</v>
      </c>
      <c r="L291" s="234"/>
      <c r="M291" s="307">
        <v>37271</v>
      </c>
      <c r="N291" s="313">
        <v>1122.6480529999999</v>
      </c>
      <c r="O291" s="257"/>
      <c r="P291" s="234"/>
      <c r="Q291" s="234"/>
      <c r="R291" s="234"/>
      <c r="S291" s="35"/>
      <c r="T291" s="35"/>
      <c r="U291" s="35"/>
      <c r="V291" s="35"/>
      <c r="W291" s="35"/>
      <c r="X291" s="35"/>
    </row>
    <row r="292" spans="1:24" ht="12.75" customHeight="1" x14ac:dyDescent="0.3">
      <c r="A292" s="35"/>
      <c r="B292" s="35"/>
      <c r="C292" s="35"/>
      <c r="D292" s="35"/>
      <c r="E292" s="35"/>
      <c r="F292" s="35"/>
      <c r="G292" s="35"/>
      <c r="H292" s="234" t="s">
        <v>803</v>
      </c>
      <c r="I292" s="306" t="s">
        <v>804</v>
      </c>
      <c r="J292" s="234">
        <f t="shared" si="12"/>
        <v>0.99930390881970477</v>
      </c>
      <c r="K292" s="315">
        <f t="shared" si="13"/>
        <v>-6.963335642482905E-4</v>
      </c>
      <c r="L292" s="234"/>
      <c r="M292" s="307">
        <v>37240</v>
      </c>
      <c r="N292" s="313">
        <v>1115.3955719999999</v>
      </c>
      <c r="O292" s="257"/>
      <c r="P292" s="234"/>
      <c r="Q292" s="234"/>
      <c r="R292" s="234"/>
      <c r="S292" s="35"/>
      <c r="T292" s="35"/>
      <c r="U292" s="35"/>
      <c r="V292" s="35"/>
      <c r="W292" s="35"/>
      <c r="X292" s="35"/>
    </row>
    <row r="293" spans="1:24" ht="12.75" customHeight="1" x14ac:dyDescent="0.3">
      <c r="A293" s="35"/>
      <c r="B293" s="35"/>
      <c r="C293" s="35"/>
      <c r="D293" s="35"/>
      <c r="E293" s="35"/>
      <c r="F293" s="35"/>
      <c r="G293" s="35"/>
      <c r="H293" s="234" t="s">
        <v>805</v>
      </c>
      <c r="I293" s="306" t="s">
        <v>806</v>
      </c>
      <c r="J293" s="234">
        <f t="shared" si="12"/>
        <v>0.99631136921365093</v>
      </c>
      <c r="K293" s="315">
        <f t="shared" si="13"/>
        <v>-3.6954505604724162E-3</v>
      </c>
      <c r="L293" s="234"/>
      <c r="M293" s="307">
        <v>37210</v>
      </c>
      <c r="N293" s="313">
        <v>1107.529945</v>
      </c>
      <c r="O293" s="257"/>
      <c r="P293" s="234"/>
      <c r="Q293" s="234"/>
      <c r="R293" s="234"/>
      <c r="S293" s="35"/>
      <c r="T293" s="35"/>
      <c r="U293" s="35"/>
      <c r="V293" s="35"/>
      <c r="W293" s="35"/>
      <c r="X293" s="35"/>
    </row>
    <row r="294" spans="1:24" ht="12.75" customHeight="1" x14ac:dyDescent="0.3">
      <c r="A294" s="35"/>
      <c r="B294" s="35"/>
      <c r="C294" s="35"/>
      <c r="D294" s="35"/>
      <c r="E294" s="35"/>
      <c r="F294" s="35"/>
      <c r="G294" s="35"/>
      <c r="H294" s="234" t="s">
        <v>807</v>
      </c>
      <c r="I294" s="306" t="s">
        <v>808</v>
      </c>
      <c r="J294" s="234">
        <f t="shared" si="12"/>
        <v>1.0101621322001015</v>
      </c>
      <c r="K294" s="315">
        <f t="shared" si="13"/>
        <v>1.011084490089263E-2</v>
      </c>
      <c r="L294" s="234"/>
      <c r="M294" s="307">
        <v>37179</v>
      </c>
      <c r="N294" s="313">
        <v>1098.4132480000001</v>
      </c>
      <c r="O294" s="257"/>
      <c r="P294" s="234"/>
      <c r="Q294" s="234"/>
      <c r="R294" s="234"/>
      <c r="S294" s="35"/>
      <c r="T294" s="35"/>
      <c r="U294" s="35"/>
      <c r="V294" s="35"/>
      <c r="W294" s="35"/>
      <c r="X294" s="35"/>
    </row>
    <row r="295" spans="1:24" ht="12.75" customHeight="1" x14ac:dyDescent="0.3">
      <c r="A295" s="35"/>
      <c r="B295" s="35"/>
      <c r="C295" s="35"/>
      <c r="D295" s="35"/>
      <c r="E295" s="35"/>
      <c r="F295" s="35"/>
      <c r="G295" s="35"/>
      <c r="H295" s="234" t="s">
        <v>809</v>
      </c>
      <c r="I295" s="306" t="s">
        <v>810</v>
      </c>
      <c r="J295" s="234">
        <f t="shared" si="12"/>
        <v>0.99866991627392032</v>
      </c>
      <c r="K295" s="315">
        <f t="shared" si="13"/>
        <v>-1.3309690725825973E-3</v>
      </c>
      <c r="L295" s="234"/>
      <c r="M295" s="307">
        <v>37149</v>
      </c>
      <c r="N295" s="313">
        <v>1095.3475120000001</v>
      </c>
      <c r="O295" s="257"/>
      <c r="P295" s="234"/>
      <c r="Q295" s="234"/>
      <c r="R295" s="234"/>
      <c r="S295" s="35"/>
      <c r="T295" s="35"/>
      <c r="U295" s="35"/>
      <c r="V295" s="35"/>
      <c r="W295" s="35"/>
      <c r="X295" s="35"/>
    </row>
    <row r="296" spans="1:24" ht="12.75" customHeight="1" x14ac:dyDescent="0.3">
      <c r="A296" s="35"/>
      <c r="B296" s="35"/>
      <c r="C296" s="35"/>
      <c r="D296" s="35"/>
      <c r="E296" s="35"/>
      <c r="F296" s="35"/>
      <c r="G296" s="35"/>
      <c r="H296" s="234" t="s">
        <v>811</v>
      </c>
      <c r="I296" s="306" t="s">
        <v>812</v>
      </c>
      <c r="J296" s="234">
        <f t="shared" si="12"/>
        <v>1.0064534600295589</v>
      </c>
      <c r="K296" s="315">
        <f t="shared" si="13"/>
        <v>6.4327256143859998E-3</v>
      </c>
      <c r="L296" s="234"/>
      <c r="M296" s="307">
        <v>37118</v>
      </c>
      <c r="N296" s="313">
        <v>1087.735813</v>
      </c>
      <c r="O296" s="257"/>
      <c r="P296" s="234"/>
      <c r="Q296" s="234"/>
      <c r="R296" s="234"/>
      <c r="S296" s="35"/>
      <c r="T296" s="35"/>
      <c r="U296" s="35"/>
      <c r="V296" s="35"/>
      <c r="W296" s="35"/>
      <c r="X296" s="35"/>
    </row>
    <row r="297" spans="1:24" ht="12.75" customHeight="1" x14ac:dyDescent="0.3">
      <c r="A297" s="35"/>
      <c r="B297" s="35"/>
      <c r="C297" s="35"/>
      <c r="D297" s="35"/>
      <c r="E297" s="35"/>
      <c r="F297" s="35"/>
      <c r="G297" s="35"/>
      <c r="H297" s="234" t="s">
        <v>813</v>
      </c>
      <c r="I297" s="306" t="s">
        <v>814</v>
      </c>
      <c r="J297" s="234">
        <f t="shared" si="12"/>
        <v>0.99449014613425268</v>
      </c>
      <c r="K297" s="315">
        <f t="shared" si="13"/>
        <v>-5.5250890989351721E-3</v>
      </c>
      <c r="L297" s="234"/>
      <c r="M297" s="307">
        <v>37087</v>
      </c>
      <c r="N297" s="313">
        <v>1073.4600089999999</v>
      </c>
      <c r="O297" s="257"/>
      <c r="P297" s="234"/>
      <c r="Q297" s="234"/>
      <c r="R297" s="234"/>
      <c r="S297" s="35"/>
      <c r="T297" s="35"/>
      <c r="U297" s="35"/>
      <c r="V297" s="35"/>
      <c r="W297" s="35"/>
      <c r="X297" s="35"/>
    </row>
    <row r="298" spans="1:24" ht="12.75" customHeight="1" x14ac:dyDescent="0.3">
      <c r="A298" s="35"/>
      <c r="B298" s="35"/>
      <c r="C298" s="35"/>
      <c r="D298" s="35"/>
      <c r="E298" s="35"/>
      <c r="F298" s="35"/>
      <c r="G298" s="35"/>
      <c r="H298" s="234" t="s">
        <v>815</v>
      </c>
      <c r="I298" s="306" t="s">
        <v>816</v>
      </c>
      <c r="J298" s="234">
        <f t="shared" si="12"/>
        <v>0.99695426019977595</v>
      </c>
      <c r="K298" s="315">
        <f t="shared" si="13"/>
        <v>-3.0503875052219271E-3</v>
      </c>
      <c r="L298" s="234"/>
      <c r="M298" s="307">
        <v>37057</v>
      </c>
      <c r="N298" s="313">
        <v>1067.904522</v>
      </c>
      <c r="O298" s="257"/>
      <c r="P298" s="234"/>
      <c r="Q298" s="234"/>
      <c r="R298" s="234"/>
      <c r="S298" s="35"/>
      <c r="T298" s="35"/>
      <c r="U298" s="35"/>
      <c r="V298" s="35"/>
      <c r="W298" s="35"/>
      <c r="X298" s="35"/>
    </row>
    <row r="299" spans="1:24" ht="12.75" customHeight="1" x14ac:dyDescent="0.3">
      <c r="A299" s="35"/>
      <c r="B299" s="35"/>
      <c r="C299" s="35"/>
      <c r="D299" s="35"/>
      <c r="E299" s="35"/>
      <c r="F299" s="35"/>
      <c r="G299" s="35"/>
      <c r="H299" s="234" t="s">
        <v>817</v>
      </c>
      <c r="I299" s="306" t="s">
        <v>818</v>
      </c>
      <c r="J299" s="234">
        <f t="shared" si="12"/>
        <v>0.99882757722281401</v>
      </c>
      <c r="K299" s="315">
        <f t="shared" si="13"/>
        <v>-1.1731106024374406E-3</v>
      </c>
      <c r="L299" s="234"/>
      <c r="M299" s="307">
        <v>37026</v>
      </c>
      <c r="N299" s="313">
        <v>1063.544363</v>
      </c>
      <c r="O299" s="257"/>
      <c r="P299" s="234"/>
      <c r="Q299" s="234"/>
      <c r="R299" s="234"/>
      <c r="S299" s="35"/>
      <c r="T299" s="35"/>
      <c r="U299" s="35"/>
      <c r="V299" s="35"/>
      <c r="W299" s="35"/>
      <c r="X299" s="35"/>
    </row>
    <row r="300" spans="1:24" ht="12.75" customHeight="1" x14ac:dyDescent="0.3">
      <c r="A300" s="35"/>
      <c r="B300" s="35"/>
      <c r="C300" s="35"/>
      <c r="D300" s="35"/>
      <c r="E300" s="35"/>
      <c r="F300" s="35"/>
      <c r="G300" s="35"/>
      <c r="H300" s="234" t="s">
        <v>819</v>
      </c>
      <c r="I300" s="306" t="s">
        <v>820</v>
      </c>
      <c r="J300" s="234">
        <f t="shared" si="12"/>
        <v>0.99775217328144472</v>
      </c>
      <c r="K300" s="315">
        <f t="shared" si="13"/>
        <v>-2.2503568733109975E-3</v>
      </c>
      <c r="L300" s="234"/>
      <c r="M300" s="307">
        <v>36996</v>
      </c>
      <c r="N300" s="313">
        <v>1057.412889</v>
      </c>
      <c r="O300" s="257"/>
      <c r="P300" s="234"/>
      <c r="Q300" s="234"/>
      <c r="R300" s="234"/>
      <c r="S300" s="35"/>
      <c r="T300" s="35"/>
      <c r="U300" s="35"/>
      <c r="V300" s="35"/>
      <c r="W300" s="35"/>
      <c r="X300" s="35"/>
    </row>
    <row r="301" spans="1:24" ht="12.75" customHeight="1" x14ac:dyDescent="0.3">
      <c r="A301" s="35"/>
      <c r="B301" s="35"/>
      <c r="C301" s="35"/>
      <c r="D301" s="35"/>
      <c r="E301" s="35"/>
      <c r="F301" s="35"/>
      <c r="G301" s="35"/>
      <c r="H301" s="234" t="s">
        <v>821</v>
      </c>
      <c r="I301" s="306" t="s">
        <v>822</v>
      </c>
      <c r="J301" s="234">
        <f t="shared" si="12"/>
        <v>0.992992499013028</v>
      </c>
      <c r="K301" s="315">
        <f t="shared" si="13"/>
        <v>-7.0321688295151797E-3</v>
      </c>
      <c r="L301" s="234"/>
      <c r="M301" s="307">
        <v>36965</v>
      </c>
      <c r="N301" s="313">
        <v>1053.4119479999999</v>
      </c>
      <c r="O301" s="257"/>
      <c r="P301" s="234"/>
      <c r="Q301" s="234"/>
      <c r="R301" s="234"/>
      <c r="S301" s="35"/>
      <c r="T301" s="35"/>
      <c r="U301" s="35"/>
      <c r="V301" s="35"/>
      <c r="W301" s="35"/>
      <c r="X301" s="35"/>
    </row>
    <row r="302" spans="1:24" ht="12.75" customHeight="1" x14ac:dyDescent="0.3">
      <c r="A302" s="35"/>
      <c r="B302" s="35"/>
      <c r="C302" s="35"/>
      <c r="D302" s="35"/>
      <c r="E302" s="35"/>
      <c r="F302" s="35"/>
      <c r="G302" s="35"/>
      <c r="H302" s="234" t="s">
        <v>823</v>
      </c>
      <c r="I302" s="306" t="s">
        <v>824</v>
      </c>
      <c r="J302" s="234">
        <f t="shared" si="12"/>
        <v>1.0051203784959366</v>
      </c>
      <c r="K302" s="315">
        <f t="shared" si="13"/>
        <v>5.1073139359826842E-3</v>
      </c>
      <c r="L302" s="234"/>
      <c r="M302" s="307">
        <v>36937</v>
      </c>
      <c r="N302" s="313">
        <v>1048.5872830000001</v>
      </c>
      <c r="O302" s="257"/>
      <c r="P302" s="234"/>
      <c r="Q302" s="234"/>
      <c r="R302" s="234"/>
      <c r="S302" s="35"/>
      <c r="T302" s="35"/>
      <c r="U302" s="35"/>
      <c r="V302" s="35"/>
      <c r="W302" s="35"/>
      <c r="X302" s="35"/>
    </row>
    <row r="303" spans="1:24" ht="12.75" customHeight="1" x14ac:dyDescent="0.3">
      <c r="A303" s="35"/>
      <c r="B303" s="35"/>
      <c r="C303" s="35"/>
      <c r="D303" s="35"/>
      <c r="E303" s="35"/>
      <c r="F303" s="35"/>
      <c r="G303" s="35"/>
      <c r="H303" s="234" t="s">
        <v>825</v>
      </c>
      <c r="I303" s="306" t="s">
        <v>826</v>
      </c>
      <c r="J303" s="234">
        <f t="shared" si="12"/>
        <v>1.0003053318575628</v>
      </c>
      <c r="K303" s="315">
        <f t="shared" si="13"/>
        <v>3.0528525327741545E-4</v>
      </c>
      <c r="L303" s="234"/>
      <c r="M303" s="307">
        <v>36906</v>
      </c>
      <c r="N303" s="313">
        <v>1042.6416119999999</v>
      </c>
      <c r="O303" s="257"/>
      <c r="P303" s="234"/>
      <c r="Q303" s="234"/>
      <c r="R303" s="234"/>
      <c r="S303" s="35"/>
      <c r="T303" s="35"/>
      <c r="U303" s="35"/>
      <c r="V303" s="35"/>
      <c r="W303" s="35"/>
      <c r="X303" s="35"/>
    </row>
    <row r="304" spans="1:24" ht="12.75" customHeight="1" x14ac:dyDescent="0.3">
      <c r="A304" s="35"/>
      <c r="B304" s="35"/>
      <c r="C304" s="35"/>
      <c r="D304" s="35"/>
      <c r="E304" s="35"/>
      <c r="F304" s="35"/>
      <c r="G304" s="35"/>
      <c r="H304" s="234" t="s">
        <v>827</v>
      </c>
      <c r="I304" s="306" t="s">
        <v>828</v>
      </c>
      <c r="J304" s="234">
        <f t="shared" si="12"/>
        <v>1.007792787248446</v>
      </c>
      <c r="K304" s="315">
        <f t="shared" si="13"/>
        <v>7.7625803112303972E-3</v>
      </c>
      <c r="L304" s="234"/>
      <c r="M304" s="307">
        <v>36875</v>
      </c>
      <c r="N304" s="313">
        <v>1036.528718</v>
      </c>
      <c r="O304" s="257"/>
      <c r="P304" s="234"/>
      <c r="Q304" s="234"/>
      <c r="R304" s="234"/>
      <c r="S304" s="35"/>
      <c r="T304" s="35"/>
      <c r="U304" s="35"/>
      <c r="V304" s="35"/>
      <c r="W304" s="35"/>
      <c r="X304" s="35"/>
    </row>
    <row r="305" spans="1:24" ht="12.75" customHeight="1" x14ac:dyDescent="0.3">
      <c r="A305" s="35"/>
      <c r="B305" s="35"/>
      <c r="C305" s="35"/>
      <c r="D305" s="35"/>
      <c r="E305" s="35"/>
      <c r="F305" s="35"/>
      <c r="G305" s="35"/>
      <c r="H305" s="234" t="s">
        <v>829</v>
      </c>
      <c r="I305" s="306" t="s">
        <v>830</v>
      </c>
      <c r="J305" s="234">
        <f t="shared" si="12"/>
        <v>0.99722294674501744</v>
      </c>
      <c r="K305" s="315">
        <f t="shared" si="13"/>
        <v>-2.7809164211761838E-3</v>
      </c>
      <c r="L305" s="234"/>
      <c r="M305" s="307">
        <v>36845</v>
      </c>
      <c r="N305" s="313">
        <v>1033.2214389999999</v>
      </c>
      <c r="O305" s="257"/>
      <c r="P305" s="234"/>
      <c r="Q305" s="234"/>
      <c r="R305" s="234"/>
      <c r="S305" s="35"/>
      <c r="T305" s="35"/>
      <c r="U305" s="35"/>
      <c r="V305" s="35"/>
      <c r="W305" s="35"/>
      <c r="X305" s="35"/>
    </row>
    <row r="306" spans="1:24" ht="12.75" customHeight="1" x14ac:dyDescent="0.3">
      <c r="A306" s="35"/>
      <c r="B306" s="35"/>
      <c r="C306" s="35"/>
      <c r="D306" s="35"/>
      <c r="E306" s="35"/>
      <c r="F306" s="35"/>
      <c r="G306" s="35"/>
      <c r="H306" s="234" t="s">
        <v>831</v>
      </c>
      <c r="I306" s="306" t="s">
        <v>832</v>
      </c>
      <c r="J306" s="234">
        <f t="shared" si="12"/>
        <v>1.0030085485869056</v>
      </c>
      <c r="K306" s="315">
        <f t="shared" si="13"/>
        <v>3.0040319613297921E-3</v>
      </c>
      <c r="L306" s="234"/>
      <c r="M306" s="307">
        <v>36814</v>
      </c>
      <c r="N306" s="313">
        <v>1031.7783750000001</v>
      </c>
      <c r="O306" s="257"/>
      <c r="P306" s="234"/>
      <c r="Q306" s="234"/>
      <c r="R306" s="234"/>
      <c r="S306" s="35"/>
      <c r="T306" s="35"/>
      <c r="U306" s="35"/>
      <c r="V306" s="35"/>
      <c r="W306" s="35"/>
      <c r="X306" s="35"/>
    </row>
    <row r="307" spans="1:24" ht="12.75" customHeight="1" x14ac:dyDescent="0.3">
      <c r="A307" s="35"/>
      <c r="B307" s="35"/>
      <c r="C307" s="35"/>
      <c r="D307" s="35"/>
      <c r="E307" s="35"/>
      <c r="F307" s="35"/>
      <c r="G307" s="35"/>
      <c r="H307" s="234" t="s">
        <v>833</v>
      </c>
      <c r="I307" s="306" t="s">
        <v>834</v>
      </c>
      <c r="J307" s="234">
        <f t="shared" si="12"/>
        <v>0.98823663599726252</v>
      </c>
      <c r="K307" s="315">
        <f t="shared" si="13"/>
        <v>-1.183309979355193E-2</v>
      </c>
      <c r="L307" s="234"/>
      <c r="M307" s="307">
        <v>36784</v>
      </c>
      <c r="N307" s="313">
        <v>1029.412493</v>
      </c>
      <c r="O307" s="257"/>
      <c r="P307" s="234"/>
      <c r="Q307" s="234"/>
      <c r="R307" s="234"/>
      <c r="S307" s="35"/>
      <c r="T307" s="35"/>
      <c r="U307" s="35"/>
      <c r="V307" s="35"/>
      <c r="W307" s="35"/>
      <c r="X307" s="35"/>
    </row>
    <row r="308" spans="1:24" ht="12.75" customHeight="1" x14ac:dyDescent="0.3">
      <c r="A308" s="35"/>
      <c r="B308" s="35"/>
      <c r="C308" s="35"/>
      <c r="D308" s="35"/>
      <c r="E308" s="35"/>
      <c r="F308" s="35"/>
      <c r="G308" s="35"/>
      <c r="H308" s="234" t="s">
        <v>835</v>
      </c>
      <c r="I308" s="306" t="s">
        <v>836</v>
      </c>
      <c r="J308" s="234">
        <f t="shared" si="12"/>
        <v>0.99616713125681733</v>
      </c>
      <c r="K308" s="315">
        <f t="shared" si="13"/>
        <v>-3.8402330081138891E-3</v>
      </c>
      <c r="L308" s="234"/>
      <c r="M308" s="307">
        <v>36753</v>
      </c>
      <c r="N308" s="313">
        <v>1016.10286</v>
      </c>
      <c r="O308" s="257"/>
      <c r="P308" s="234"/>
      <c r="Q308" s="234"/>
      <c r="R308" s="234"/>
      <c r="S308" s="35"/>
      <c r="T308" s="35"/>
      <c r="U308" s="35"/>
      <c r="V308" s="35"/>
      <c r="W308" s="35"/>
      <c r="X308" s="35"/>
    </row>
    <row r="309" spans="1:24" ht="12.75" customHeight="1" x14ac:dyDescent="0.3">
      <c r="A309" s="35"/>
      <c r="B309" s="35"/>
      <c r="C309" s="35"/>
      <c r="D309" s="35"/>
      <c r="E309" s="35"/>
      <c r="F309" s="35"/>
      <c r="G309" s="35"/>
      <c r="H309" s="234" t="s">
        <v>837</v>
      </c>
      <c r="I309" s="306" t="s">
        <v>838</v>
      </c>
      <c r="J309" s="234">
        <f t="shared" si="12"/>
        <v>1.0016996479300717</v>
      </c>
      <c r="K309" s="315">
        <f t="shared" si="13"/>
        <v>1.6982051630945463E-3</v>
      </c>
      <c r="L309" s="234"/>
      <c r="M309" s="307">
        <v>36722</v>
      </c>
      <c r="N309" s="313">
        <v>1000</v>
      </c>
      <c r="O309" s="257"/>
      <c r="P309" s="234"/>
      <c r="Q309" s="234"/>
      <c r="R309" s="234"/>
      <c r="S309" s="35"/>
      <c r="T309" s="35"/>
      <c r="U309" s="35"/>
      <c r="V309" s="35"/>
      <c r="W309" s="35"/>
      <c r="X309" s="35"/>
    </row>
    <row r="310" spans="1:24" ht="12.75" customHeight="1" x14ac:dyDescent="0.3">
      <c r="A310" s="35"/>
      <c r="B310" s="35"/>
      <c r="C310" s="35"/>
      <c r="D310" s="35"/>
      <c r="E310" s="35"/>
      <c r="F310" s="35"/>
      <c r="G310" s="35"/>
      <c r="H310" s="234" t="s">
        <v>839</v>
      </c>
      <c r="I310" s="306" t="s">
        <v>840</v>
      </c>
      <c r="J310" s="234">
        <f t="shared" si="12"/>
        <v>1.0009113554893978</v>
      </c>
      <c r="K310" s="315">
        <f t="shared" si="13"/>
        <v>9.1094045712592636E-4</v>
      </c>
      <c r="L310" s="234"/>
      <c r="P310" s="234"/>
      <c r="Q310" s="234"/>
      <c r="R310" s="234"/>
      <c r="S310" s="35"/>
      <c r="T310" s="35"/>
      <c r="U310" s="35"/>
      <c r="V310" s="35"/>
      <c r="W310" s="35"/>
      <c r="X310" s="35"/>
    </row>
    <row r="311" spans="1:24" ht="12.75" customHeight="1" x14ac:dyDescent="0.3">
      <c r="A311" s="35"/>
      <c r="B311" s="35"/>
      <c r="C311" s="35"/>
      <c r="D311" s="35"/>
      <c r="E311" s="35"/>
      <c r="F311" s="35"/>
      <c r="G311" s="35"/>
      <c r="H311" s="234" t="s">
        <v>841</v>
      </c>
      <c r="I311" s="306" t="s">
        <v>842</v>
      </c>
      <c r="J311" s="234">
        <f t="shared" si="12"/>
        <v>0.98620369399463725</v>
      </c>
      <c r="K311" s="315">
        <f t="shared" si="13"/>
        <v>-1.389235951403486E-2</v>
      </c>
      <c r="L311" s="234"/>
      <c r="P311" s="234"/>
      <c r="Q311" s="234"/>
      <c r="R311" s="234"/>
      <c r="S311" s="35"/>
      <c r="T311" s="35"/>
      <c r="U311" s="35"/>
      <c r="V311" s="35"/>
      <c r="W311" s="35"/>
      <c r="X311" s="35"/>
    </row>
    <row r="312" spans="1:24" ht="12.75" customHeight="1" x14ac:dyDescent="0.3">
      <c r="A312" s="35"/>
      <c r="B312" s="35"/>
      <c r="C312" s="35"/>
      <c r="D312" s="35"/>
      <c r="E312" s="35"/>
      <c r="F312" s="35"/>
      <c r="G312" s="35"/>
      <c r="H312" s="234" t="s">
        <v>843</v>
      </c>
      <c r="I312" s="306" t="s">
        <v>844</v>
      </c>
      <c r="J312" s="234">
        <f t="shared" si="12"/>
        <v>1.0076908562587268</v>
      </c>
      <c r="K312" s="315">
        <f t="shared" si="13"/>
        <v>7.661432390596563E-3</v>
      </c>
      <c r="L312" s="234"/>
      <c r="M312" s="234"/>
      <c r="N312" s="234"/>
      <c r="O312" s="234"/>
      <c r="P312" s="234"/>
      <c r="Q312" s="234"/>
      <c r="R312" s="234"/>
      <c r="S312" s="35"/>
      <c r="T312" s="35"/>
      <c r="U312" s="35"/>
      <c r="V312" s="35"/>
      <c r="W312" s="35"/>
      <c r="X312" s="35"/>
    </row>
    <row r="313" spans="1:24" ht="12.75" customHeight="1" x14ac:dyDescent="0.3">
      <c r="A313" s="35"/>
      <c r="B313" s="35"/>
      <c r="C313" s="35"/>
      <c r="D313" s="35"/>
      <c r="E313" s="35"/>
      <c r="F313" s="35"/>
      <c r="G313" s="35"/>
      <c r="H313" s="234" t="s">
        <v>845</v>
      </c>
      <c r="I313" s="306" t="s">
        <v>846</v>
      </c>
      <c r="J313" s="234">
        <f t="shared" si="12"/>
        <v>1.0051434943899498</v>
      </c>
      <c r="K313" s="315">
        <f t="shared" si="13"/>
        <v>5.130311806387621E-3</v>
      </c>
      <c r="L313" s="234"/>
      <c r="M313" s="234"/>
      <c r="N313" s="234"/>
      <c r="O313" s="234"/>
      <c r="P313" s="234"/>
      <c r="Q313" s="234"/>
      <c r="R313" s="234"/>
      <c r="S313" s="35"/>
      <c r="T313" s="35"/>
      <c r="U313" s="35"/>
      <c r="V313" s="35"/>
      <c r="W313" s="35"/>
      <c r="X313" s="35"/>
    </row>
    <row r="314" spans="1:24" ht="12.75" customHeight="1" x14ac:dyDescent="0.3">
      <c r="A314" s="35"/>
      <c r="B314" s="35"/>
      <c r="C314" s="35"/>
      <c r="D314" s="35"/>
      <c r="E314" s="35"/>
      <c r="F314" s="35"/>
      <c r="G314" s="35"/>
      <c r="H314" s="234" t="s">
        <v>847</v>
      </c>
      <c r="I314" s="306" t="s">
        <v>848</v>
      </c>
      <c r="J314" s="234">
        <f t="shared" si="12"/>
        <v>0.99288947808467853</v>
      </c>
      <c r="K314" s="315">
        <f t="shared" si="13"/>
        <v>-7.1359221538617144E-3</v>
      </c>
      <c r="L314" s="234"/>
      <c r="M314" s="234"/>
      <c r="N314" s="234"/>
      <c r="O314" s="234"/>
      <c r="P314" s="234"/>
      <c r="Q314" s="234"/>
      <c r="R314" s="234"/>
      <c r="S314" s="35"/>
      <c r="T314" s="35"/>
      <c r="U314" s="35"/>
      <c r="V314" s="35"/>
      <c r="W314" s="35"/>
      <c r="X314" s="35"/>
    </row>
    <row r="315" spans="1:24" ht="12.75" customHeight="1" x14ac:dyDescent="0.3">
      <c r="A315" s="35"/>
      <c r="B315" s="35"/>
      <c r="C315" s="35"/>
      <c r="D315" s="35"/>
      <c r="E315" s="35"/>
      <c r="F315" s="35"/>
      <c r="G315" s="35"/>
      <c r="H315" s="234" t="s">
        <v>849</v>
      </c>
      <c r="I315" s="306" t="s">
        <v>850</v>
      </c>
      <c r="J315" s="234">
        <f t="shared" si="12"/>
        <v>0.99812796030373652</v>
      </c>
      <c r="K315" s="315">
        <f t="shared" si="13"/>
        <v>-1.8737941525254491E-3</v>
      </c>
      <c r="L315" s="234"/>
      <c r="M315" s="234"/>
      <c r="N315" s="234"/>
      <c r="O315" s="234"/>
      <c r="P315" s="234"/>
      <c r="Q315" s="234"/>
      <c r="R315" s="234"/>
      <c r="S315" s="35"/>
      <c r="T315" s="35"/>
      <c r="U315" s="35"/>
      <c r="V315" s="35"/>
      <c r="W315" s="35"/>
      <c r="X315" s="35"/>
    </row>
    <row r="316" spans="1:24" ht="12.75" customHeight="1" x14ac:dyDescent="0.3">
      <c r="A316" s="35"/>
      <c r="B316" s="35"/>
      <c r="C316" s="35"/>
      <c r="D316" s="35"/>
      <c r="E316" s="35"/>
      <c r="F316" s="35"/>
      <c r="G316" s="35"/>
      <c r="H316" s="234" t="s">
        <v>851</v>
      </c>
      <c r="I316" s="306" t="s">
        <v>852</v>
      </c>
      <c r="J316" s="234">
        <f t="shared" si="12"/>
        <v>1.010752688172043</v>
      </c>
      <c r="K316" s="315">
        <f t="shared" si="13"/>
        <v>1.069528911674795E-2</v>
      </c>
      <c r="L316" s="234"/>
      <c r="M316" s="234"/>
      <c r="N316" s="234"/>
      <c r="O316" s="234"/>
      <c r="P316" s="234"/>
      <c r="Q316" s="234"/>
      <c r="R316" s="234"/>
      <c r="S316" s="35"/>
      <c r="T316" s="35"/>
      <c r="U316" s="35"/>
      <c r="V316" s="35"/>
      <c r="W316" s="35"/>
      <c r="X316" s="35"/>
    </row>
    <row r="317" spans="1:24" ht="12.75" customHeight="1" x14ac:dyDescent="0.3">
      <c r="A317" s="35"/>
      <c r="B317" s="35"/>
      <c r="C317" s="35"/>
      <c r="D317" s="35"/>
      <c r="E317" s="35"/>
      <c r="F317" s="35"/>
      <c r="G317" s="35"/>
      <c r="H317" s="234" t="s">
        <v>853</v>
      </c>
      <c r="I317" s="306" t="s">
        <v>854</v>
      </c>
      <c r="J317" s="234">
        <f t="shared" si="12"/>
        <v>0.99575501679832923</v>
      </c>
      <c r="K317" s="315">
        <f t="shared" si="13"/>
        <v>-4.2540187223503766E-3</v>
      </c>
      <c r="L317" s="234"/>
      <c r="M317" s="234"/>
      <c r="N317" s="234"/>
      <c r="O317" s="234"/>
      <c r="P317" s="234"/>
      <c r="Q317" s="234"/>
      <c r="R317" s="234"/>
      <c r="S317" s="35"/>
      <c r="T317" s="35"/>
      <c r="U317" s="35"/>
      <c r="V317" s="35"/>
      <c r="W317" s="35"/>
      <c r="X317" s="35"/>
    </row>
    <row r="318" spans="1:24" ht="12.75" customHeight="1" x14ac:dyDescent="0.3">
      <c r="A318" s="35"/>
      <c r="B318" s="35"/>
      <c r="C318" s="35"/>
      <c r="D318" s="35"/>
      <c r="E318" s="35"/>
      <c r="F318" s="35"/>
      <c r="G318" s="35"/>
      <c r="H318" s="234" t="s">
        <v>855</v>
      </c>
      <c r="I318" s="306" t="s">
        <v>856</v>
      </c>
      <c r="J318" s="234">
        <f t="shared" si="12"/>
        <v>1.0121467412116105</v>
      </c>
      <c r="K318" s="315">
        <f t="shared" si="13"/>
        <v>1.2073561550859924E-2</v>
      </c>
      <c r="L318" s="234"/>
      <c r="M318" s="234"/>
      <c r="N318" s="234"/>
      <c r="O318" s="234"/>
      <c r="P318" s="234"/>
      <c r="Q318" s="234"/>
      <c r="R318" s="234"/>
      <c r="S318" s="35"/>
      <c r="T318" s="35"/>
      <c r="U318" s="35"/>
      <c r="V318" s="35"/>
      <c r="W318" s="35"/>
      <c r="X318" s="35"/>
    </row>
    <row r="319" spans="1:24" ht="12.75" customHeight="1" x14ac:dyDescent="0.3">
      <c r="A319" s="35"/>
      <c r="B319" s="35"/>
      <c r="C319" s="35"/>
      <c r="D319" s="35"/>
      <c r="E319" s="35"/>
      <c r="F319" s="35"/>
      <c r="G319" s="35"/>
      <c r="H319" s="234" t="s">
        <v>857</v>
      </c>
      <c r="I319" s="306" t="s">
        <v>858</v>
      </c>
      <c r="J319" s="234">
        <f t="shared" si="12"/>
        <v>0.99622324800671425</v>
      </c>
      <c r="K319" s="315">
        <f t="shared" si="13"/>
        <v>-3.7839019291287562E-3</v>
      </c>
      <c r="L319" s="234"/>
      <c r="M319" s="234"/>
      <c r="N319" s="234"/>
      <c r="O319" s="234"/>
      <c r="P319" s="234"/>
      <c r="Q319" s="234"/>
      <c r="R319" s="234"/>
      <c r="S319" s="35"/>
      <c r="T319" s="35"/>
      <c r="U319" s="35"/>
      <c r="V319" s="35"/>
      <c r="W319" s="35"/>
      <c r="X319" s="35"/>
    </row>
    <row r="320" spans="1:24" ht="12.75" customHeight="1" x14ac:dyDescent="0.3">
      <c r="A320" s="35"/>
      <c r="B320" s="35"/>
      <c r="C320" s="35"/>
      <c r="D320" s="35"/>
      <c r="E320" s="35"/>
      <c r="F320" s="35"/>
      <c r="G320" s="35"/>
      <c r="H320" s="234" t="s">
        <v>859</v>
      </c>
      <c r="I320" s="306" t="s">
        <v>860</v>
      </c>
      <c r="J320" s="234">
        <f t="shared" si="12"/>
        <v>0.98455540448163703</v>
      </c>
      <c r="K320" s="315">
        <f t="shared" si="13"/>
        <v>-1.5565105714838143E-2</v>
      </c>
      <c r="L320" s="234"/>
      <c r="M320" s="234"/>
      <c r="N320" s="234"/>
      <c r="O320" s="234"/>
      <c r="P320" s="234"/>
      <c r="Q320" s="234"/>
      <c r="R320" s="234"/>
      <c r="S320" s="35"/>
      <c r="T320" s="35"/>
      <c r="U320" s="35"/>
      <c r="V320" s="35"/>
      <c r="W320" s="35"/>
      <c r="X320" s="35"/>
    </row>
    <row r="321" spans="1:24" ht="12.75" customHeight="1" x14ac:dyDescent="0.3">
      <c r="A321" s="35"/>
      <c r="B321" s="35"/>
      <c r="C321" s="35"/>
      <c r="D321" s="35"/>
      <c r="E321" s="35"/>
      <c r="F321" s="35"/>
      <c r="G321" s="35"/>
      <c r="H321" s="234" t="s">
        <v>861</v>
      </c>
      <c r="I321" s="306" t="s">
        <v>862</v>
      </c>
      <c r="J321" s="234">
        <f t="shared" si="12"/>
        <v>0.99531207943296351</v>
      </c>
      <c r="K321" s="315">
        <f t="shared" si="13"/>
        <v>-4.6989433293724327E-3</v>
      </c>
      <c r="L321" s="234"/>
      <c r="M321" s="234"/>
      <c r="N321" s="234"/>
      <c r="O321" s="234"/>
      <c r="P321" s="234"/>
      <c r="Q321" s="234"/>
      <c r="R321" s="234"/>
      <c r="S321" s="35"/>
      <c r="T321" s="35"/>
      <c r="U321" s="35"/>
      <c r="V321" s="35"/>
      <c r="W321" s="35"/>
      <c r="X321" s="35"/>
    </row>
    <row r="322" spans="1:24" ht="12.75" customHeight="1" x14ac:dyDescent="0.3">
      <c r="A322" s="35"/>
      <c r="B322" s="35"/>
      <c r="C322" s="35"/>
      <c r="D322" s="35"/>
      <c r="E322" s="35"/>
      <c r="F322" s="35"/>
      <c r="G322" s="35"/>
      <c r="H322" s="234" t="s">
        <v>863</v>
      </c>
      <c r="I322" s="306" t="s">
        <v>864</v>
      </c>
      <c r="J322" s="234">
        <f t="shared" si="12"/>
        <v>0.99101956135151159</v>
      </c>
      <c r="K322" s="315">
        <f t="shared" si="13"/>
        <v>-9.0210058444262081E-3</v>
      </c>
      <c r="L322" s="234"/>
      <c r="M322" s="234"/>
      <c r="N322" s="234"/>
      <c r="O322" s="234"/>
      <c r="P322" s="234"/>
      <c r="Q322" s="234"/>
      <c r="R322" s="234"/>
      <c r="S322" s="35"/>
      <c r="T322" s="35"/>
      <c r="U322" s="35"/>
      <c r="V322" s="35"/>
      <c r="W322" s="35"/>
      <c r="X322" s="35"/>
    </row>
    <row r="323" spans="1:24" ht="12.75" customHeight="1" x14ac:dyDescent="0.3">
      <c r="A323" s="35"/>
      <c r="B323" s="35"/>
      <c r="C323" s="35"/>
      <c r="D323" s="35"/>
      <c r="E323" s="35"/>
      <c r="F323" s="35"/>
      <c r="G323" s="35"/>
      <c r="H323" s="234" t="s">
        <v>865</v>
      </c>
      <c r="I323" s="306" t="s">
        <v>866</v>
      </c>
      <c r="J323" s="234">
        <f t="shared" si="12"/>
        <v>0.99883065172663899</v>
      </c>
      <c r="K323" s="315">
        <f t="shared" si="13"/>
        <v>-1.1700324945004359E-3</v>
      </c>
      <c r="L323" s="234"/>
      <c r="M323" s="234"/>
      <c r="N323" s="234"/>
      <c r="O323" s="234"/>
      <c r="P323" s="234"/>
      <c r="Q323" s="234"/>
      <c r="R323" s="234"/>
      <c r="S323" s="35"/>
      <c r="T323" s="35"/>
      <c r="U323" s="35"/>
      <c r="V323" s="35"/>
      <c r="W323" s="35"/>
      <c r="X323" s="35"/>
    </row>
    <row r="324" spans="1:24" ht="12.75" customHeight="1" x14ac:dyDescent="0.3">
      <c r="A324" s="35"/>
      <c r="B324" s="35"/>
      <c r="C324" s="35"/>
      <c r="D324" s="35"/>
      <c r="E324" s="35"/>
      <c r="F324" s="35"/>
      <c r="G324" s="35"/>
      <c r="H324" s="234" t="s">
        <v>867</v>
      </c>
      <c r="I324" s="306" t="s">
        <v>868</v>
      </c>
      <c r="J324" s="234">
        <f t="shared" si="12"/>
        <v>1.0017273974126106</v>
      </c>
      <c r="K324" s="315">
        <f t="shared" si="13"/>
        <v>1.7259071776053339E-3</v>
      </c>
      <c r="L324" s="234"/>
      <c r="M324" s="234"/>
      <c r="N324" s="234"/>
      <c r="O324" s="234"/>
      <c r="P324" s="234"/>
      <c r="Q324" s="234"/>
      <c r="R324" s="234"/>
      <c r="S324" s="35"/>
      <c r="T324" s="35"/>
      <c r="U324" s="35"/>
      <c r="V324" s="35"/>
      <c r="W324" s="35"/>
      <c r="X324" s="35"/>
    </row>
    <row r="325" spans="1:24" ht="12.75" customHeight="1" x14ac:dyDescent="0.3">
      <c r="A325" s="35"/>
      <c r="B325" s="35"/>
      <c r="C325" s="35"/>
      <c r="D325" s="35"/>
      <c r="E325" s="35"/>
      <c r="F325" s="35"/>
      <c r="G325" s="35"/>
      <c r="H325" s="234" t="s">
        <v>869</v>
      </c>
      <c r="I325" s="306" t="s">
        <v>870</v>
      </c>
      <c r="J325" s="234">
        <f t="shared" ref="J325:J388" si="14">I325/I326</f>
        <v>1.0063716602875454</v>
      </c>
      <c r="K325" s="315">
        <f t="shared" ref="K325:K388" si="15">LN(J325)</f>
        <v>6.351447075845458E-3</v>
      </c>
      <c r="L325" s="234"/>
      <c r="M325" s="234"/>
      <c r="N325" s="234"/>
      <c r="O325" s="234"/>
      <c r="P325" s="234"/>
      <c r="Q325" s="234"/>
      <c r="R325" s="234"/>
      <c r="S325" s="35"/>
      <c r="T325" s="35"/>
      <c r="U325" s="35"/>
      <c r="V325" s="35"/>
      <c r="W325" s="35"/>
      <c r="X325" s="35"/>
    </row>
    <row r="326" spans="1:24" ht="12.75" customHeight="1" x14ac:dyDescent="0.3">
      <c r="A326" s="35"/>
      <c r="B326" s="35"/>
      <c r="C326" s="35"/>
      <c r="D326" s="35"/>
      <c r="E326" s="35"/>
      <c r="F326" s="35"/>
      <c r="G326" s="35"/>
      <c r="H326" s="234" t="s">
        <v>871</v>
      </c>
      <c r="I326" s="306" t="s">
        <v>872</v>
      </c>
      <c r="J326" s="234">
        <f t="shared" si="14"/>
        <v>0.99520333835770025</v>
      </c>
      <c r="K326" s="315">
        <f t="shared" si="15"/>
        <v>-4.8082025437442902E-3</v>
      </c>
      <c r="L326" s="234"/>
      <c r="M326" s="234"/>
      <c r="N326" s="234"/>
      <c r="O326" s="234"/>
      <c r="P326" s="234"/>
      <c r="Q326" s="234"/>
      <c r="R326" s="234"/>
      <c r="S326" s="35"/>
      <c r="T326" s="35"/>
      <c r="U326" s="35"/>
      <c r="V326" s="35"/>
      <c r="W326" s="35"/>
      <c r="X326" s="35"/>
    </row>
    <row r="327" spans="1:24" ht="12.75" customHeight="1" x14ac:dyDescent="0.3">
      <c r="A327" s="35"/>
      <c r="B327" s="35"/>
      <c r="C327" s="35"/>
      <c r="D327" s="35"/>
      <c r="E327" s="35"/>
      <c r="F327" s="35"/>
      <c r="G327" s="35"/>
      <c r="H327" s="234" t="s">
        <v>873</v>
      </c>
      <c r="I327" s="306" t="s">
        <v>874</v>
      </c>
      <c r="J327" s="234">
        <f t="shared" si="14"/>
        <v>1.0026652967934544</v>
      </c>
      <c r="K327" s="315">
        <f t="shared" si="15"/>
        <v>2.6617511886179572E-3</v>
      </c>
      <c r="L327" s="234"/>
      <c r="M327" s="234"/>
      <c r="N327" s="234"/>
      <c r="O327" s="234"/>
      <c r="P327" s="234"/>
      <c r="Q327" s="234"/>
      <c r="R327" s="234"/>
      <c r="S327" s="35"/>
      <c r="T327" s="35"/>
      <c r="U327" s="35"/>
      <c r="V327" s="35"/>
      <c r="W327" s="35"/>
      <c r="X327" s="35"/>
    </row>
    <row r="328" spans="1:24" ht="12.75" customHeight="1" x14ac:dyDescent="0.3">
      <c r="A328" s="35"/>
      <c r="B328" s="35"/>
      <c r="C328" s="35"/>
      <c r="D328" s="35"/>
      <c r="E328" s="35"/>
      <c r="F328" s="35"/>
      <c r="G328" s="35"/>
      <c r="H328" s="234" t="s">
        <v>875</v>
      </c>
      <c r="I328" s="306" t="s">
        <v>876</v>
      </c>
      <c r="J328" s="234">
        <f t="shared" si="14"/>
        <v>0.99689026109931866</v>
      </c>
      <c r="K328" s="315">
        <f t="shared" si="15"/>
        <v>-3.1145841863528824E-3</v>
      </c>
      <c r="L328" s="234"/>
      <c r="M328" s="234"/>
      <c r="N328" s="234"/>
      <c r="O328" s="234"/>
      <c r="P328" s="234"/>
      <c r="Q328" s="234"/>
      <c r="R328" s="234"/>
      <c r="S328" s="35"/>
      <c r="T328" s="35"/>
      <c r="U328" s="35"/>
      <c r="V328" s="35"/>
      <c r="W328" s="35"/>
      <c r="X328" s="35"/>
    </row>
    <row r="329" spans="1:24" ht="12.75" customHeight="1" x14ac:dyDescent="0.3">
      <c r="A329" s="35"/>
      <c r="B329" s="35"/>
      <c r="C329" s="35"/>
      <c r="D329" s="35"/>
      <c r="E329" s="35"/>
      <c r="F329" s="35"/>
      <c r="G329" s="35"/>
      <c r="H329" s="234" t="s">
        <v>877</v>
      </c>
      <c r="I329" s="306" t="s">
        <v>878</v>
      </c>
      <c r="J329" s="234">
        <f t="shared" si="14"/>
        <v>1.0012186603653008</v>
      </c>
      <c r="K329" s="315">
        <f t="shared" si="15"/>
        <v>1.2179184014979251E-3</v>
      </c>
      <c r="L329" s="234"/>
      <c r="M329" s="234"/>
      <c r="N329" s="234"/>
      <c r="O329" s="234"/>
      <c r="P329" s="234"/>
      <c r="Q329" s="234"/>
      <c r="R329" s="234"/>
      <c r="S329" s="35"/>
      <c r="T329" s="35"/>
      <c r="U329" s="35"/>
      <c r="V329" s="35"/>
      <c r="W329" s="35"/>
      <c r="X329" s="35"/>
    </row>
    <row r="330" spans="1:24" ht="12.75" customHeight="1" x14ac:dyDescent="0.3">
      <c r="A330" s="35"/>
      <c r="B330" s="35"/>
      <c r="C330" s="35"/>
      <c r="D330" s="35"/>
      <c r="E330" s="35"/>
      <c r="F330" s="35"/>
      <c r="G330" s="35"/>
      <c r="H330" s="234" t="s">
        <v>879</v>
      </c>
      <c r="I330" s="306" t="s">
        <v>880</v>
      </c>
      <c r="J330" s="234">
        <f t="shared" si="14"/>
        <v>0.9858323321710083</v>
      </c>
      <c r="K330" s="315">
        <f t="shared" si="15"/>
        <v>-1.4268987347493644E-2</v>
      </c>
      <c r="L330" s="234"/>
      <c r="M330" s="234"/>
      <c r="N330" s="234"/>
      <c r="O330" s="234"/>
      <c r="P330" s="234"/>
      <c r="Q330" s="234"/>
      <c r="R330" s="234"/>
      <c r="S330" s="35"/>
      <c r="T330" s="35"/>
      <c r="U330" s="35"/>
      <c r="V330" s="35"/>
      <c r="W330" s="35"/>
      <c r="X330" s="35"/>
    </row>
    <row r="331" spans="1:24" ht="12.75" customHeight="1" x14ac:dyDescent="0.3">
      <c r="A331" s="35"/>
      <c r="B331" s="35"/>
      <c r="C331" s="35"/>
      <c r="D331" s="35"/>
      <c r="E331" s="35"/>
      <c r="F331" s="35"/>
      <c r="G331" s="35"/>
      <c r="H331" s="234" t="s">
        <v>881</v>
      </c>
      <c r="I331" s="306" t="s">
        <v>882</v>
      </c>
      <c r="J331" s="234">
        <f t="shared" si="14"/>
        <v>1.0029093687551429</v>
      </c>
      <c r="K331" s="315">
        <f t="shared" si="15"/>
        <v>2.9051447327088889E-3</v>
      </c>
      <c r="L331" s="234"/>
      <c r="M331" s="234"/>
      <c r="N331" s="234"/>
      <c r="O331" s="234"/>
      <c r="P331" s="234"/>
      <c r="Q331" s="234"/>
      <c r="R331" s="234"/>
      <c r="S331" s="35"/>
      <c r="T331" s="35"/>
      <c r="U331" s="35"/>
      <c r="V331" s="35"/>
      <c r="W331" s="35"/>
      <c r="X331" s="35"/>
    </row>
    <row r="332" spans="1:24" ht="12.75" customHeight="1" x14ac:dyDescent="0.3">
      <c r="A332" s="35"/>
      <c r="B332" s="35"/>
      <c r="C332" s="35"/>
      <c r="D332" s="35"/>
      <c r="E332" s="35"/>
      <c r="F332" s="35"/>
      <c r="G332" s="35"/>
      <c r="H332" s="234" t="s">
        <v>883</v>
      </c>
      <c r="I332" s="306" t="s">
        <v>884</v>
      </c>
      <c r="J332" s="234">
        <f t="shared" si="14"/>
        <v>1.0130471349146688</v>
      </c>
      <c r="K332" s="315">
        <f t="shared" si="15"/>
        <v>1.2962754208410546E-2</v>
      </c>
      <c r="L332" s="234"/>
      <c r="M332" s="234"/>
      <c r="N332" s="234"/>
      <c r="O332" s="234"/>
      <c r="P332" s="234"/>
      <c r="Q332" s="234"/>
      <c r="R332" s="234"/>
      <c r="S332" s="35"/>
      <c r="T332" s="35"/>
      <c r="U332" s="35"/>
      <c r="V332" s="35"/>
      <c r="W332" s="35"/>
      <c r="X332" s="35"/>
    </row>
    <row r="333" spans="1:24" ht="12.75" customHeight="1" x14ac:dyDescent="0.3">
      <c r="A333" s="35"/>
      <c r="B333" s="35"/>
      <c r="C333" s="35"/>
      <c r="D333" s="35"/>
      <c r="E333" s="35"/>
      <c r="F333" s="35"/>
      <c r="G333" s="35"/>
      <c r="H333" s="234" t="s">
        <v>885</v>
      </c>
      <c r="I333" s="306" t="s">
        <v>886</v>
      </c>
      <c r="J333" s="234">
        <f t="shared" si="14"/>
        <v>0.9959379424344178</v>
      </c>
      <c r="K333" s="315">
        <f t="shared" si="15"/>
        <v>-4.0703301314408743E-3</v>
      </c>
      <c r="L333" s="234"/>
      <c r="M333" s="234"/>
      <c r="N333" s="234"/>
      <c r="O333" s="234"/>
      <c r="P333" s="234"/>
      <c r="Q333" s="234"/>
      <c r="R333" s="234"/>
      <c r="S333" s="35"/>
      <c r="T333" s="35"/>
      <c r="U333" s="35"/>
      <c r="V333" s="35"/>
      <c r="W333" s="35"/>
      <c r="X333" s="35"/>
    </row>
    <row r="334" spans="1:24" ht="12.75" customHeight="1" x14ac:dyDescent="0.3">
      <c r="A334" s="35"/>
      <c r="B334" s="35"/>
      <c r="C334" s="35"/>
      <c r="D334" s="35"/>
      <c r="E334" s="35"/>
      <c r="F334" s="35"/>
      <c r="G334" s="35"/>
      <c r="H334" s="234" t="s">
        <v>887</v>
      </c>
      <c r="I334" s="306" t="s">
        <v>888</v>
      </c>
      <c r="J334" s="234">
        <f t="shared" si="14"/>
        <v>0.99193406076291879</v>
      </c>
      <c r="K334" s="315">
        <f t="shared" si="15"/>
        <v>-8.0986449116816107E-3</v>
      </c>
      <c r="L334" s="234"/>
      <c r="M334" s="234"/>
      <c r="N334" s="234"/>
      <c r="O334" s="234"/>
      <c r="P334" s="234"/>
      <c r="Q334" s="234"/>
      <c r="R334" s="234"/>
      <c r="S334" s="35"/>
      <c r="T334" s="35"/>
      <c r="U334" s="35"/>
      <c r="V334" s="35"/>
      <c r="W334" s="35"/>
      <c r="X334" s="35"/>
    </row>
    <row r="335" spans="1:24" ht="12.75" customHeight="1" x14ac:dyDescent="0.3">
      <c r="A335" s="35"/>
      <c r="B335" s="35"/>
      <c r="C335" s="35"/>
      <c r="D335" s="35"/>
      <c r="E335" s="35"/>
      <c r="F335" s="35"/>
      <c r="G335" s="35"/>
      <c r="H335" s="234" t="s">
        <v>889</v>
      </c>
      <c r="I335" s="306" t="s">
        <v>890</v>
      </c>
      <c r="J335" s="234">
        <f t="shared" si="14"/>
        <v>0.99972802316948572</v>
      </c>
      <c r="K335" s="315">
        <f t="shared" si="15"/>
        <v>-2.7201382291998073E-4</v>
      </c>
      <c r="L335" s="234"/>
      <c r="M335" s="234"/>
      <c r="N335" s="234"/>
      <c r="O335" s="234"/>
      <c r="P335" s="234"/>
      <c r="Q335" s="234"/>
      <c r="R335" s="234"/>
      <c r="S335" s="35"/>
      <c r="T335" s="35"/>
      <c r="U335" s="35"/>
      <c r="V335" s="35"/>
      <c r="W335" s="35"/>
      <c r="X335" s="35"/>
    </row>
    <row r="336" spans="1:24" ht="12.75" customHeight="1" x14ac:dyDescent="0.3">
      <c r="A336" s="35"/>
      <c r="B336" s="35"/>
      <c r="C336" s="35"/>
      <c r="D336" s="35"/>
      <c r="E336" s="35"/>
      <c r="F336" s="35"/>
      <c r="G336" s="35"/>
      <c r="H336" s="234" t="s">
        <v>891</v>
      </c>
      <c r="I336" s="306" t="s">
        <v>892</v>
      </c>
      <c r="J336" s="234">
        <f t="shared" si="14"/>
        <v>0.9904768145381474</v>
      </c>
      <c r="K336" s="315">
        <f t="shared" si="15"/>
        <v>-9.5688209537965335E-3</v>
      </c>
      <c r="L336" s="234"/>
      <c r="M336" s="234"/>
      <c r="N336" s="234"/>
      <c r="O336" s="234"/>
      <c r="P336" s="234"/>
      <c r="Q336" s="234"/>
      <c r="R336" s="234"/>
      <c r="S336" s="35"/>
      <c r="T336" s="35"/>
      <c r="U336" s="35"/>
      <c r="V336" s="35"/>
      <c r="W336" s="35"/>
      <c r="X336" s="35"/>
    </row>
    <row r="337" spans="1:24" ht="12.75" customHeight="1" x14ac:dyDescent="0.3">
      <c r="A337" s="35"/>
      <c r="B337" s="35"/>
      <c r="C337" s="35"/>
      <c r="D337" s="35"/>
      <c r="E337" s="35"/>
      <c r="F337" s="35"/>
      <c r="G337" s="35"/>
      <c r="H337" s="234" t="s">
        <v>893</v>
      </c>
      <c r="I337" s="306" t="s">
        <v>894</v>
      </c>
      <c r="J337" s="234">
        <f t="shared" si="14"/>
        <v>1.0041893314616599</v>
      </c>
      <c r="K337" s="315">
        <f t="shared" si="15"/>
        <v>4.1805806441488676E-3</v>
      </c>
      <c r="L337" s="234"/>
      <c r="M337" s="234"/>
      <c r="N337" s="234"/>
      <c r="O337" s="234"/>
      <c r="P337" s="234"/>
      <c r="Q337" s="234"/>
      <c r="R337" s="234"/>
      <c r="S337" s="35"/>
      <c r="T337" s="35"/>
      <c r="U337" s="35"/>
      <c r="V337" s="35"/>
      <c r="W337" s="35"/>
      <c r="X337" s="35"/>
    </row>
    <row r="338" spans="1:24" ht="12.75" customHeight="1" x14ac:dyDescent="0.3">
      <c r="A338" s="35"/>
      <c r="B338" s="35"/>
      <c r="C338" s="35"/>
      <c r="D338" s="35"/>
      <c r="E338" s="35"/>
      <c r="F338" s="35"/>
      <c r="G338" s="35"/>
      <c r="H338" s="234" t="s">
        <v>895</v>
      </c>
      <c r="I338" s="306" t="s">
        <v>896</v>
      </c>
      <c r="J338" s="234">
        <f t="shared" si="14"/>
        <v>0.99918181286891472</v>
      </c>
      <c r="K338" s="315">
        <f t="shared" si="15"/>
        <v>-8.1852202886117703E-4</v>
      </c>
      <c r="L338" s="234"/>
      <c r="M338" s="234"/>
      <c r="N338" s="234"/>
      <c r="O338" s="234"/>
      <c r="P338" s="234"/>
      <c r="Q338" s="234"/>
      <c r="R338" s="234"/>
      <c r="S338" s="35"/>
      <c r="T338" s="35"/>
      <c r="U338" s="35"/>
      <c r="V338" s="35"/>
      <c r="W338" s="35"/>
      <c r="X338" s="35"/>
    </row>
    <row r="339" spans="1:24" ht="12.75" customHeight="1" x14ac:dyDescent="0.3">
      <c r="A339" s="35"/>
      <c r="B339" s="35"/>
      <c r="C339" s="35"/>
      <c r="D339" s="35"/>
      <c r="E339" s="35"/>
      <c r="F339" s="35"/>
      <c r="G339" s="35"/>
      <c r="H339" s="234" t="s">
        <v>897</v>
      </c>
      <c r="I339" s="306" t="s">
        <v>898</v>
      </c>
      <c r="J339" s="234">
        <f t="shared" si="14"/>
        <v>1.0094389711521443</v>
      </c>
      <c r="K339" s="315">
        <f t="shared" si="15"/>
        <v>9.3947024134840226E-3</v>
      </c>
      <c r="L339" s="234"/>
      <c r="M339" s="234"/>
      <c r="N339" s="234"/>
      <c r="O339" s="234"/>
      <c r="P339" s="234"/>
      <c r="Q339" s="234"/>
      <c r="R339" s="234"/>
      <c r="S339" s="35"/>
      <c r="T339" s="35"/>
      <c r="U339" s="35"/>
      <c r="V339" s="35"/>
      <c r="W339" s="35"/>
      <c r="X339" s="35"/>
    </row>
    <row r="340" spans="1:24" ht="12.75" customHeight="1" x14ac:dyDescent="0.3">
      <c r="A340" s="35"/>
      <c r="B340" s="35"/>
      <c r="C340" s="35"/>
      <c r="D340" s="35"/>
      <c r="E340" s="35"/>
      <c r="F340" s="35"/>
      <c r="G340" s="35"/>
      <c r="H340" s="234" t="s">
        <v>899</v>
      </c>
      <c r="I340" s="306" t="s">
        <v>900</v>
      </c>
      <c r="J340" s="234">
        <f t="shared" si="14"/>
        <v>1.0032106766094071</v>
      </c>
      <c r="K340" s="315">
        <f t="shared" si="15"/>
        <v>3.2055333931243755E-3</v>
      </c>
      <c r="L340" s="234"/>
      <c r="M340" s="234"/>
      <c r="N340" s="234"/>
      <c r="O340" s="234"/>
      <c r="P340" s="234"/>
      <c r="Q340" s="234"/>
      <c r="R340" s="234"/>
      <c r="S340" s="35"/>
      <c r="T340" s="35"/>
      <c r="U340" s="35"/>
      <c r="V340" s="35"/>
      <c r="W340" s="35"/>
      <c r="X340" s="35"/>
    </row>
    <row r="341" spans="1:24" ht="12.75" customHeight="1" x14ac:dyDescent="0.3">
      <c r="A341" s="35"/>
      <c r="B341" s="35"/>
      <c r="C341" s="35"/>
      <c r="D341" s="35"/>
      <c r="E341" s="35"/>
      <c r="F341" s="35"/>
      <c r="G341" s="35"/>
      <c r="H341" s="234" t="s">
        <v>901</v>
      </c>
      <c r="I341" s="306" t="s">
        <v>902</v>
      </c>
      <c r="J341" s="234">
        <f t="shared" si="14"/>
        <v>0.9905614749893743</v>
      </c>
      <c r="K341" s="315">
        <f t="shared" si="15"/>
        <v>-9.4833501663554361E-3</v>
      </c>
      <c r="L341" s="234"/>
      <c r="M341" s="234"/>
      <c r="N341" s="234"/>
      <c r="O341" s="234"/>
      <c r="P341" s="234"/>
      <c r="Q341" s="234"/>
      <c r="R341" s="234"/>
      <c r="S341" s="35"/>
      <c r="T341" s="35"/>
      <c r="U341" s="35"/>
      <c r="V341" s="35"/>
      <c r="W341" s="35"/>
      <c r="X341" s="35"/>
    </row>
    <row r="342" spans="1:24" ht="12.75" customHeight="1" x14ac:dyDescent="0.3">
      <c r="A342" s="35"/>
      <c r="B342" s="35"/>
      <c r="C342" s="35"/>
      <c r="D342" s="35"/>
      <c r="E342" s="35"/>
      <c r="F342" s="35"/>
      <c r="G342" s="35"/>
      <c r="H342" s="234" t="s">
        <v>903</v>
      </c>
      <c r="I342" s="306" t="s">
        <v>904</v>
      </c>
      <c r="J342" s="234">
        <f t="shared" si="14"/>
        <v>1.0027482217388748</v>
      </c>
      <c r="K342" s="315">
        <f t="shared" si="15"/>
        <v>2.7444522821344157E-3</v>
      </c>
      <c r="L342" s="234"/>
      <c r="M342" s="234"/>
      <c r="N342" s="234"/>
      <c r="O342" s="234"/>
      <c r="P342" s="234"/>
      <c r="Q342" s="234"/>
      <c r="R342" s="234"/>
      <c r="S342" s="35"/>
      <c r="T342" s="35"/>
      <c r="U342" s="35"/>
      <c r="V342" s="35"/>
      <c r="W342" s="35"/>
      <c r="X342" s="35"/>
    </row>
    <row r="343" spans="1:24" ht="12.75" customHeight="1" x14ac:dyDescent="0.3">
      <c r="A343" s="35"/>
      <c r="B343" s="35"/>
      <c r="C343" s="35"/>
      <c r="D343" s="35"/>
      <c r="E343" s="35"/>
      <c r="F343" s="35"/>
      <c r="G343" s="35"/>
      <c r="H343" s="234" t="s">
        <v>905</v>
      </c>
      <c r="I343" s="306" t="s">
        <v>906</v>
      </c>
      <c r="J343" s="234">
        <f t="shared" si="14"/>
        <v>1.0022757569285383</v>
      </c>
      <c r="K343" s="315">
        <f t="shared" si="15"/>
        <v>2.2731713158137593E-3</v>
      </c>
      <c r="L343" s="234"/>
      <c r="M343" s="234"/>
      <c r="N343" s="234"/>
      <c r="O343" s="234"/>
      <c r="P343" s="234"/>
      <c r="Q343" s="234"/>
      <c r="R343" s="234"/>
      <c r="S343" s="35"/>
      <c r="T343" s="35"/>
      <c r="U343" s="35"/>
      <c r="V343" s="35"/>
      <c r="W343" s="35"/>
      <c r="X343" s="35"/>
    </row>
    <row r="344" spans="1:24" ht="12.75" customHeight="1" x14ac:dyDescent="0.3">
      <c r="A344" s="35"/>
      <c r="B344" s="35"/>
      <c r="C344" s="35"/>
      <c r="D344" s="35"/>
      <c r="E344" s="35"/>
      <c r="F344" s="35"/>
      <c r="G344" s="35"/>
      <c r="H344" s="234" t="s">
        <v>907</v>
      </c>
      <c r="I344" s="306" t="s">
        <v>908</v>
      </c>
      <c r="J344" s="234">
        <f t="shared" si="14"/>
        <v>1.013631646920935</v>
      </c>
      <c r="K344" s="315">
        <f t="shared" si="15"/>
        <v>1.3539571835072909E-2</v>
      </c>
      <c r="L344" s="234"/>
      <c r="M344" s="234"/>
      <c r="N344" s="234"/>
      <c r="O344" s="234"/>
      <c r="P344" s="234"/>
      <c r="Q344" s="234"/>
      <c r="R344" s="234"/>
      <c r="S344" s="35"/>
      <c r="T344" s="35"/>
      <c r="U344" s="35"/>
      <c r="V344" s="35"/>
      <c r="W344" s="35"/>
      <c r="X344" s="35"/>
    </row>
    <row r="345" spans="1:24" ht="12.75" customHeight="1" x14ac:dyDescent="0.3">
      <c r="A345" s="35"/>
      <c r="B345" s="35"/>
      <c r="C345" s="35"/>
      <c r="D345" s="35"/>
      <c r="E345" s="35"/>
      <c r="F345" s="35"/>
      <c r="G345" s="35"/>
      <c r="H345" s="234" t="s">
        <v>909</v>
      </c>
      <c r="I345" s="306" t="s">
        <v>910</v>
      </c>
      <c r="J345" s="234">
        <f t="shared" si="14"/>
        <v>0.99850172190169506</v>
      </c>
      <c r="K345" s="315">
        <f t="shared" si="15"/>
        <v>-1.4994016393263718E-3</v>
      </c>
      <c r="L345" s="234"/>
      <c r="M345" s="234"/>
      <c r="N345" s="234"/>
      <c r="O345" s="234"/>
      <c r="P345" s="234"/>
      <c r="Q345" s="234"/>
      <c r="R345" s="234"/>
      <c r="S345" s="35"/>
      <c r="T345" s="35"/>
      <c r="U345" s="35"/>
      <c r="V345" s="35"/>
      <c r="W345" s="35"/>
      <c r="X345" s="35"/>
    </row>
    <row r="346" spans="1:24" ht="12.75" customHeight="1" x14ac:dyDescent="0.3">
      <c r="A346" s="35"/>
      <c r="B346" s="35"/>
      <c r="C346" s="35"/>
      <c r="D346" s="35"/>
      <c r="E346" s="35"/>
      <c r="F346" s="35"/>
      <c r="G346" s="35"/>
      <c r="H346" s="234" t="s">
        <v>911</v>
      </c>
      <c r="I346" s="306" t="s">
        <v>912</v>
      </c>
      <c r="J346" s="234">
        <f t="shared" si="14"/>
        <v>1.0062631732911287</v>
      </c>
      <c r="K346" s="315">
        <f t="shared" si="15"/>
        <v>6.2436411343881944E-3</v>
      </c>
      <c r="L346" s="234"/>
      <c r="M346" s="234"/>
      <c r="N346" s="234"/>
      <c r="O346" s="234"/>
      <c r="P346" s="234"/>
      <c r="Q346" s="234"/>
      <c r="R346" s="234"/>
      <c r="S346" s="35"/>
      <c r="T346" s="35"/>
      <c r="U346" s="35"/>
      <c r="V346" s="35"/>
      <c r="W346" s="35"/>
      <c r="X346" s="35"/>
    </row>
    <row r="347" spans="1:24" ht="12.75" customHeight="1" x14ac:dyDescent="0.3">
      <c r="A347" s="35"/>
      <c r="B347" s="35"/>
      <c r="C347" s="35"/>
      <c r="D347" s="35"/>
      <c r="E347" s="35"/>
      <c r="F347" s="35"/>
      <c r="G347" s="35"/>
      <c r="H347" s="234" t="s">
        <v>913</v>
      </c>
      <c r="I347" s="306" t="s">
        <v>914</v>
      </c>
      <c r="J347" s="234">
        <f t="shared" si="14"/>
        <v>1.006956298433511</v>
      </c>
      <c r="K347" s="315">
        <f t="shared" si="15"/>
        <v>6.9322150126993358E-3</v>
      </c>
      <c r="L347" s="234"/>
      <c r="M347" s="234"/>
      <c r="N347" s="234"/>
      <c r="O347" s="234"/>
      <c r="P347" s="234"/>
      <c r="Q347" s="234"/>
      <c r="R347" s="234"/>
      <c r="S347" s="35"/>
      <c r="T347" s="35"/>
      <c r="U347" s="35"/>
      <c r="V347" s="35"/>
      <c r="W347" s="35"/>
      <c r="X347" s="35"/>
    </row>
    <row r="348" spans="1:24" ht="12.75" customHeight="1" x14ac:dyDescent="0.3">
      <c r="A348" s="35"/>
      <c r="B348" s="35"/>
      <c r="C348" s="35"/>
      <c r="D348" s="35"/>
      <c r="E348" s="35"/>
      <c r="F348" s="35"/>
      <c r="G348" s="35"/>
      <c r="H348" s="234" t="s">
        <v>915</v>
      </c>
      <c r="I348" s="306" t="s">
        <v>916</v>
      </c>
      <c r="J348" s="234">
        <f t="shared" si="14"/>
        <v>1.0097853029783015</v>
      </c>
      <c r="K348" s="315">
        <f t="shared" si="15"/>
        <v>9.7377369480727751E-3</v>
      </c>
      <c r="L348" s="234"/>
      <c r="M348" s="234"/>
      <c r="N348" s="234"/>
      <c r="O348" s="234"/>
      <c r="P348" s="234"/>
      <c r="Q348" s="234"/>
      <c r="R348" s="234"/>
      <c r="S348" s="35"/>
      <c r="T348" s="35"/>
      <c r="U348" s="35"/>
      <c r="V348" s="35"/>
      <c r="W348" s="35"/>
      <c r="X348" s="35"/>
    </row>
    <row r="349" spans="1:24" ht="12.75" customHeight="1" x14ac:dyDescent="0.3">
      <c r="A349" s="35"/>
      <c r="B349" s="35"/>
      <c r="C349" s="35"/>
      <c r="D349" s="35"/>
      <c r="E349" s="35"/>
      <c r="F349" s="35"/>
      <c r="G349" s="35"/>
      <c r="H349" s="234" t="s">
        <v>917</v>
      </c>
      <c r="I349" s="306" t="s">
        <v>918</v>
      </c>
      <c r="J349" s="234">
        <f t="shared" si="14"/>
        <v>1.0038280442521916</v>
      </c>
      <c r="K349" s="315">
        <f t="shared" si="15"/>
        <v>3.8207359358944262E-3</v>
      </c>
      <c r="L349" s="234"/>
      <c r="M349" s="234"/>
      <c r="N349" s="234"/>
      <c r="O349" s="234"/>
      <c r="P349" s="234"/>
      <c r="Q349" s="234"/>
      <c r="R349" s="234"/>
      <c r="S349" s="35"/>
      <c r="T349" s="35"/>
      <c r="U349" s="35"/>
      <c r="V349" s="35"/>
      <c r="W349" s="35"/>
      <c r="X349" s="35"/>
    </row>
    <row r="350" spans="1:24" ht="12.75" customHeight="1" x14ac:dyDescent="0.3">
      <c r="A350" s="35"/>
      <c r="B350" s="35"/>
      <c r="C350" s="35"/>
      <c r="D350" s="35"/>
      <c r="E350" s="35"/>
      <c r="F350" s="35"/>
      <c r="G350" s="35"/>
      <c r="H350" s="234" t="s">
        <v>919</v>
      </c>
      <c r="I350" s="306" t="s">
        <v>920</v>
      </c>
      <c r="J350" s="234">
        <f t="shared" si="14"/>
        <v>1.0151793070214983</v>
      </c>
      <c r="K350" s="315">
        <f t="shared" si="15"/>
        <v>1.5065254055749011E-2</v>
      </c>
      <c r="L350" s="234"/>
      <c r="M350" s="234"/>
      <c r="N350" s="234"/>
      <c r="O350" s="234"/>
      <c r="P350" s="234"/>
      <c r="Q350" s="234"/>
      <c r="R350" s="234"/>
      <c r="S350" s="35"/>
      <c r="T350" s="35"/>
      <c r="U350" s="35"/>
      <c r="V350" s="35"/>
      <c r="W350" s="35"/>
      <c r="X350" s="35"/>
    </row>
    <row r="351" spans="1:24" ht="12.75" customHeight="1" x14ac:dyDescent="0.3">
      <c r="A351" s="35"/>
      <c r="B351" s="35"/>
      <c r="C351" s="35"/>
      <c r="D351" s="35"/>
      <c r="E351" s="35"/>
      <c r="F351" s="35"/>
      <c r="G351" s="35"/>
      <c r="H351" s="234" t="s">
        <v>921</v>
      </c>
      <c r="I351" s="306" t="s">
        <v>922</v>
      </c>
      <c r="J351" s="234">
        <f t="shared" si="14"/>
        <v>1.0089950201937028</v>
      </c>
      <c r="K351" s="315">
        <f t="shared" si="15"/>
        <v>8.9548059714858966E-3</v>
      </c>
      <c r="L351" s="234"/>
      <c r="M351" s="234"/>
      <c r="N351" s="234"/>
      <c r="O351" s="234"/>
      <c r="P351" s="234"/>
      <c r="Q351" s="234"/>
      <c r="R351" s="234"/>
      <c r="S351" s="35"/>
      <c r="T351" s="35"/>
      <c r="U351" s="35"/>
      <c r="V351" s="35"/>
      <c r="W351" s="35"/>
      <c r="X351" s="35"/>
    </row>
    <row r="352" spans="1:24" ht="12.75" customHeight="1" x14ac:dyDescent="0.3">
      <c r="A352" s="35"/>
      <c r="B352" s="35"/>
      <c r="C352" s="35"/>
      <c r="D352" s="35"/>
      <c r="E352" s="35"/>
      <c r="F352" s="35"/>
      <c r="G352" s="35"/>
      <c r="H352" s="234" t="s">
        <v>923</v>
      </c>
      <c r="I352" s="306" t="s">
        <v>924</v>
      </c>
      <c r="J352" s="234">
        <f t="shared" si="14"/>
        <v>1.0098758196851143</v>
      </c>
      <c r="K352" s="315">
        <f t="shared" si="15"/>
        <v>9.8273724872805137E-3</v>
      </c>
      <c r="L352" s="234"/>
      <c r="M352" s="234"/>
      <c r="N352" s="234"/>
      <c r="O352" s="234"/>
      <c r="P352" s="234"/>
      <c r="Q352" s="234"/>
      <c r="R352" s="234"/>
      <c r="S352" s="35"/>
      <c r="T352" s="35"/>
      <c r="U352" s="35"/>
      <c r="V352" s="35"/>
      <c r="W352" s="35"/>
      <c r="X352" s="35"/>
    </row>
    <row r="353" spans="1:24" ht="12.75" customHeight="1" x14ac:dyDescent="0.3">
      <c r="A353" s="35"/>
      <c r="B353" s="35"/>
      <c r="C353" s="35"/>
      <c r="D353" s="35"/>
      <c r="E353" s="35"/>
      <c r="F353" s="35"/>
      <c r="G353" s="35"/>
      <c r="H353" s="234" t="s">
        <v>925</v>
      </c>
      <c r="I353" s="306" t="s">
        <v>926</v>
      </c>
      <c r="J353" s="234">
        <f t="shared" si="14"/>
        <v>1.0079667917298636</v>
      </c>
      <c r="K353" s="315">
        <f t="shared" si="15"/>
        <v>7.9352243940509978E-3</v>
      </c>
      <c r="L353" s="234"/>
      <c r="M353" s="234"/>
      <c r="N353" s="234"/>
      <c r="O353" s="234"/>
      <c r="P353" s="234"/>
      <c r="Q353" s="234"/>
      <c r="R353" s="234"/>
      <c r="S353" s="35"/>
      <c r="T353" s="35"/>
      <c r="U353" s="35"/>
      <c r="V353" s="35"/>
      <c r="W353" s="35"/>
      <c r="X353" s="35"/>
    </row>
    <row r="354" spans="1:24" ht="12.75" customHeight="1" x14ac:dyDescent="0.3">
      <c r="A354" s="35"/>
      <c r="B354" s="35"/>
      <c r="C354" s="35"/>
      <c r="D354" s="35"/>
      <c r="E354" s="35"/>
      <c r="F354" s="35"/>
      <c r="G354" s="35"/>
      <c r="H354" s="234" t="s">
        <v>927</v>
      </c>
      <c r="I354" s="306" t="s">
        <v>928</v>
      </c>
      <c r="J354" s="234">
        <f t="shared" si="14"/>
        <v>0.99538342961120685</v>
      </c>
      <c r="K354" s="315">
        <f t="shared" si="15"/>
        <v>-4.6272596610768763E-3</v>
      </c>
      <c r="L354" s="234"/>
      <c r="M354" s="234"/>
      <c r="N354" s="234"/>
      <c r="O354" s="234"/>
      <c r="P354" s="234"/>
      <c r="Q354" s="234"/>
      <c r="R354" s="234"/>
      <c r="S354" s="35"/>
      <c r="T354" s="35"/>
      <c r="U354" s="35"/>
      <c r="V354" s="35"/>
      <c r="W354" s="35"/>
      <c r="X354" s="35"/>
    </row>
    <row r="355" spans="1:24" ht="12.75" customHeight="1" x14ac:dyDescent="0.3">
      <c r="A355" s="35"/>
      <c r="B355" s="35"/>
      <c r="C355" s="35"/>
      <c r="D355" s="35"/>
      <c r="E355" s="35"/>
      <c r="F355" s="35"/>
      <c r="G355" s="35"/>
      <c r="H355" s="234" t="s">
        <v>929</v>
      </c>
      <c r="I355" s="306" t="s">
        <v>930</v>
      </c>
      <c r="J355" s="234">
        <f t="shared" si="14"/>
        <v>0.98788021507908474</v>
      </c>
      <c r="K355" s="315">
        <f t="shared" si="15"/>
        <v>-1.2193828382904922E-2</v>
      </c>
      <c r="L355" s="234"/>
      <c r="M355" s="234"/>
      <c r="N355" s="234"/>
      <c r="O355" s="234"/>
      <c r="P355" s="234"/>
      <c r="Q355" s="234"/>
      <c r="R355" s="234"/>
      <c r="S355" s="35"/>
      <c r="T355" s="35"/>
      <c r="U355" s="35"/>
      <c r="V355" s="35"/>
      <c r="W355" s="35"/>
      <c r="X355" s="35"/>
    </row>
    <row r="356" spans="1:24" ht="12.75" customHeight="1" x14ac:dyDescent="0.3">
      <c r="A356" s="35"/>
      <c r="B356" s="35"/>
      <c r="C356" s="35"/>
      <c r="D356" s="35"/>
      <c r="E356" s="35"/>
      <c r="F356" s="35"/>
      <c r="G356" s="35"/>
      <c r="H356" s="234" t="s">
        <v>931</v>
      </c>
      <c r="I356" s="306" t="s">
        <v>932</v>
      </c>
      <c r="J356" s="234">
        <f t="shared" si="14"/>
        <v>0.9979867138783568</v>
      </c>
      <c r="K356" s="315">
        <f t="shared" si="15"/>
        <v>-2.0153155064259556E-3</v>
      </c>
      <c r="L356" s="234"/>
      <c r="M356" s="234"/>
      <c r="N356" s="234"/>
      <c r="O356" s="234"/>
      <c r="P356" s="234"/>
      <c r="Q356" s="234"/>
      <c r="R356" s="234"/>
      <c r="S356" s="35"/>
      <c r="T356" s="35"/>
      <c r="U356" s="35"/>
      <c r="V356" s="35"/>
      <c r="W356" s="35"/>
      <c r="X356" s="35"/>
    </row>
    <row r="357" spans="1:24" ht="12.75" customHeight="1" x14ac:dyDescent="0.3">
      <c r="A357" s="35"/>
      <c r="B357" s="35"/>
      <c r="C357" s="35"/>
      <c r="D357" s="35"/>
      <c r="E357" s="35"/>
      <c r="F357" s="35"/>
      <c r="G357" s="35"/>
      <c r="H357" s="234" t="s">
        <v>933</v>
      </c>
      <c r="I357" s="306" t="s">
        <v>934</v>
      </c>
      <c r="J357" s="234">
        <f t="shared" si="14"/>
        <v>1.0119947042548301</v>
      </c>
      <c r="K357" s="315">
        <f t="shared" si="15"/>
        <v>1.1923337901809213E-2</v>
      </c>
      <c r="L357" s="234"/>
      <c r="M357" s="234"/>
      <c r="N357" s="234"/>
      <c r="O357" s="234"/>
      <c r="P357" s="234"/>
      <c r="Q357" s="234"/>
      <c r="R357" s="234"/>
      <c r="S357" s="35"/>
      <c r="T357" s="35"/>
      <c r="U357" s="35"/>
      <c r="V357" s="35"/>
      <c r="W357" s="35"/>
      <c r="X357" s="35"/>
    </row>
    <row r="358" spans="1:24" ht="12.75" customHeight="1" x14ac:dyDescent="0.3">
      <c r="A358" s="35"/>
      <c r="B358" s="35"/>
      <c r="C358" s="35"/>
      <c r="D358" s="35"/>
      <c r="E358" s="35"/>
      <c r="F358" s="35"/>
      <c r="G358" s="35"/>
      <c r="H358" s="234" t="s">
        <v>935</v>
      </c>
      <c r="I358" s="306" t="s">
        <v>760</v>
      </c>
      <c r="J358" s="234">
        <f t="shared" si="14"/>
        <v>0.99360383139951636</v>
      </c>
      <c r="K358" s="315">
        <f t="shared" si="15"/>
        <v>-6.4167117319391511E-3</v>
      </c>
      <c r="L358" s="234"/>
      <c r="M358" s="234"/>
      <c r="N358" s="234"/>
      <c r="O358" s="234"/>
      <c r="P358" s="234"/>
      <c r="Q358" s="234"/>
      <c r="R358" s="234"/>
      <c r="S358" s="35"/>
      <c r="T358" s="35"/>
      <c r="U358" s="35"/>
      <c r="V358" s="35"/>
      <c r="W358" s="35"/>
      <c r="X358" s="35"/>
    </row>
    <row r="359" spans="1:24" ht="12.75" customHeight="1" x14ac:dyDescent="0.3">
      <c r="A359" s="35"/>
      <c r="B359" s="35"/>
      <c r="C359" s="35"/>
      <c r="D359" s="35"/>
      <c r="E359" s="35"/>
      <c r="F359" s="35"/>
      <c r="G359" s="35"/>
      <c r="H359" s="234" t="s">
        <v>936</v>
      </c>
      <c r="I359" s="306" t="s">
        <v>937</v>
      </c>
      <c r="J359" s="234">
        <f t="shared" si="14"/>
        <v>0.99575659649232895</v>
      </c>
      <c r="K359" s="315">
        <f t="shared" si="15"/>
        <v>-4.2524322952472871E-3</v>
      </c>
      <c r="L359" s="234"/>
      <c r="M359" s="234"/>
      <c r="N359" s="234"/>
      <c r="O359" s="234"/>
      <c r="P359" s="234"/>
      <c r="Q359" s="234"/>
      <c r="R359" s="234"/>
      <c r="S359" s="35"/>
      <c r="T359" s="35"/>
      <c r="U359" s="35"/>
      <c r="V359" s="35"/>
      <c r="W359" s="35"/>
      <c r="X359" s="35"/>
    </row>
    <row r="360" spans="1:24" ht="12.75" customHeight="1" x14ac:dyDescent="0.3">
      <c r="A360" s="35"/>
      <c r="B360" s="35"/>
      <c r="C360" s="35"/>
      <c r="D360" s="35"/>
      <c r="E360" s="35"/>
      <c r="F360" s="35"/>
      <c r="G360" s="35"/>
      <c r="H360" s="234" t="s">
        <v>938</v>
      </c>
      <c r="I360" s="306" t="s">
        <v>939</v>
      </c>
      <c r="J360" s="234">
        <f t="shared" si="14"/>
        <v>1.0121304499698327</v>
      </c>
      <c r="K360" s="315">
        <f t="shared" si="15"/>
        <v>1.2057465690224686E-2</v>
      </c>
      <c r="L360" s="234"/>
      <c r="M360" s="234"/>
      <c r="N360" s="234"/>
      <c r="O360" s="234"/>
      <c r="P360" s="234"/>
      <c r="Q360" s="234"/>
      <c r="R360" s="234"/>
      <c r="S360" s="35"/>
      <c r="T360" s="35"/>
      <c r="U360" s="35"/>
      <c r="V360" s="35"/>
      <c r="W360" s="35"/>
      <c r="X360" s="35"/>
    </row>
    <row r="361" spans="1:24" ht="12.75" customHeight="1" x14ac:dyDescent="0.3">
      <c r="A361" s="35"/>
      <c r="B361" s="35"/>
      <c r="C361" s="35"/>
      <c r="D361" s="35"/>
      <c r="E361" s="35"/>
      <c r="F361" s="35"/>
      <c r="G361" s="35"/>
      <c r="H361" s="234" t="s">
        <v>940</v>
      </c>
      <c r="I361" s="306" t="s">
        <v>680</v>
      </c>
      <c r="J361" s="234">
        <f t="shared" si="14"/>
        <v>0.99636933152986407</v>
      </c>
      <c r="K361" s="315">
        <f t="shared" si="15"/>
        <v>-3.637275343331151E-3</v>
      </c>
      <c r="L361" s="234"/>
      <c r="M361" s="234"/>
      <c r="N361" s="234"/>
      <c r="O361" s="234"/>
      <c r="P361" s="234"/>
      <c r="Q361" s="234"/>
      <c r="R361" s="234"/>
      <c r="S361" s="35"/>
      <c r="T361" s="35"/>
      <c r="U361" s="35"/>
      <c r="V361" s="35"/>
      <c r="W361" s="35"/>
      <c r="X361" s="35"/>
    </row>
    <row r="362" spans="1:24" ht="12.75" customHeight="1" x14ac:dyDescent="0.3">
      <c r="A362" s="35"/>
      <c r="B362" s="35"/>
      <c r="C362" s="35"/>
      <c r="D362" s="35"/>
      <c r="E362" s="35"/>
      <c r="F362" s="35"/>
      <c r="G362" s="35"/>
      <c r="H362" s="234" t="s">
        <v>941</v>
      </c>
      <c r="I362" s="306" t="s">
        <v>942</v>
      </c>
      <c r="J362" s="234">
        <f t="shared" si="14"/>
        <v>0.99863344813422228</v>
      </c>
      <c r="K362" s="315">
        <f t="shared" si="15"/>
        <v>-1.3674864493135996E-3</v>
      </c>
      <c r="L362" s="234"/>
      <c r="M362" s="234"/>
      <c r="N362" s="234"/>
      <c r="O362" s="234"/>
      <c r="P362" s="234"/>
      <c r="Q362" s="234"/>
      <c r="R362" s="234"/>
      <c r="S362" s="35"/>
      <c r="T362" s="35"/>
      <c r="U362" s="35"/>
      <c r="V362" s="35"/>
      <c r="W362" s="35"/>
      <c r="X362" s="35"/>
    </row>
    <row r="363" spans="1:24" ht="12.75" customHeight="1" x14ac:dyDescent="0.3">
      <c r="A363" s="35"/>
      <c r="B363" s="35"/>
      <c r="C363" s="35"/>
      <c r="D363" s="35"/>
      <c r="E363" s="35"/>
      <c r="F363" s="35"/>
      <c r="G363" s="35"/>
      <c r="H363" s="234" t="s">
        <v>943</v>
      </c>
      <c r="I363" s="306" t="s">
        <v>944</v>
      </c>
      <c r="J363" s="234">
        <f t="shared" si="14"/>
        <v>0.99011418739246049</v>
      </c>
      <c r="K363" s="315">
        <f t="shared" si="15"/>
        <v>-9.9350017042749931E-3</v>
      </c>
      <c r="L363" s="234"/>
      <c r="M363" s="234"/>
      <c r="N363" s="234"/>
      <c r="O363" s="234"/>
      <c r="P363" s="234"/>
      <c r="Q363" s="234"/>
      <c r="R363" s="234"/>
      <c r="S363" s="35"/>
      <c r="T363" s="35"/>
      <c r="U363" s="35"/>
      <c r="V363" s="35"/>
      <c r="W363" s="35"/>
      <c r="X363" s="35"/>
    </row>
    <row r="364" spans="1:24" ht="12.75" customHeight="1" x14ac:dyDescent="0.3">
      <c r="A364" s="35"/>
      <c r="B364" s="35"/>
      <c r="C364" s="35"/>
      <c r="D364" s="35"/>
      <c r="E364" s="35"/>
      <c r="F364" s="35"/>
      <c r="G364" s="35"/>
      <c r="H364" s="234" t="s">
        <v>945</v>
      </c>
      <c r="I364" s="306" t="s">
        <v>946</v>
      </c>
      <c r="J364" s="234">
        <f t="shared" si="14"/>
        <v>1.0019119859578736</v>
      </c>
      <c r="K364" s="315">
        <f t="shared" si="15"/>
        <v>1.9101604392622699E-3</v>
      </c>
      <c r="L364" s="234"/>
      <c r="M364" s="234"/>
      <c r="N364" s="234"/>
      <c r="O364" s="234"/>
      <c r="P364" s="234"/>
      <c r="Q364" s="234"/>
      <c r="R364" s="234"/>
      <c r="S364" s="35"/>
      <c r="T364" s="35"/>
      <c r="U364" s="35"/>
      <c r="V364" s="35"/>
      <c r="W364" s="35"/>
      <c r="X364" s="35"/>
    </row>
    <row r="365" spans="1:24" ht="12.75" customHeight="1" x14ac:dyDescent="0.3">
      <c r="A365" s="35"/>
      <c r="B365" s="35"/>
      <c r="C365" s="35"/>
      <c r="D365" s="35"/>
      <c r="E365" s="35"/>
      <c r="F365" s="35"/>
      <c r="G365" s="35"/>
      <c r="H365" s="234" t="s">
        <v>947</v>
      </c>
      <c r="I365" s="306" t="s">
        <v>948</v>
      </c>
      <c r="J365" s="234">
        <f t="shared" si="14"/>
        <v>0.99971798326700723</v>
      </c>
      <c r="K365" s="315">
        <f t="shared" si="15"/>
        <v>-2.8205650718978608E-4</v>
      </c>
      <c r="L365" s="234"/>
      <c r="M365" s="234"/>
      <c r="N365" s="234"/>
      <c r="O365" s="234"/>
      <c r="P365" s="234"/>
      <c r="Q365" s="234"/>
      <c r="R365" s="234"/>
      <c r="S365" s="35"/>
      <c r="T365" s="35"/>
      <c r="U365" s="35"/>
      <c r="V365" s="35"/>
      <c r="W365" s="35"/>
      <c r="X365" s="35"/>
    </row>
    <row r="366" spans="1:24" ht="12.75" customHeight="1" x14ac:dyDescent="0.3">
      <c r="A366" s="35"/>
      <c r="B366" s="35"/>
      <c r="C366" s="35"/>
      <c r="D366" s="35"/>
      <c r="E366" s="35"/>
      <c r="F366" s="35"/>
      <c r="G366" s="35"/>
      <c r="H366" s="234" t="s">
        <v>949</v>
      </c>
      <c r="I366" s="306" t="s">
        <v>934</v>
      </c>
      <c r="J366" s="234">
        <f t="shared" si="14"/>
        <v>0.98611046736191577</v>
      </c>
      <c r="K366" s="315">
        <f t="shared" si="15"/>
        <v>-1.3986894791038394E-2</v>
      </c>
      <c r="L366" s="234"/>
      <c r="M366" s="234"/>
      <c r="N366" s="234"/>
      <c r="O366" s="234"/>
      <c r="P366" s="234"/>
      <c r="Q366" s="234"/>
      <c r="R366" s="234"/>
      <c r="S366" s="35"/>
      <c r="T366" s="35"/>
      <c r="U366" s="35"/>
      <c r="V366" s="35"/>
      <c r="W366" s="35"/>
      <c r="X366" s="35"/>
    </row>
    <row r="367" spans="1:24" ht="12.75" customHeight="1" x14ac:dyDescent="0.3">
      <c r="A367" s="35"/>
      <c r="B367" s="35"/>
      <c r="C367" s="35"/>
      <c r="D367" s="35"/>
      <c r="E367" s="35"/>
      <c r="F367" s="35"/>
      <c r="G367" s="35"/>
      <c r="H367" s="234" t="s">
        <v>950</v>
      </c>
      <c r="I367" s="306" t="s">
        <v>951</v>
      </c>
      <c r="J367" s="234">
        <f t="shared" si="14"/>
        <v>1.0026178821488321</v>
      </c>
      <c r="K367" s="315">
        <f t="shared" si="15"/>
        <v>2.6144614640253748E-3</v>
      </c>
      <c r="L367" s="234"/>
      <c r="M367" s="234"/>
      <c r="N367" s="234"/>
      <c r="O367" s="234"/>
      <c r="P367" s="234"/>
      <c r="Q367" s="234"/>
      <c r="R367" s="234"/>
      <c r="S367" s="35"/>
      <c r="T367" s="35"/>
      <c r="U367" s="35"/>
      <c r="V367" s="35"/>
      <c r="W367" s="35"/>
      <c r="X367" s="35"/>
    </row>
    <row r="368" spans="1:24" ht="12.75" customHeight="1" x14ac:dyDescent="0.3">
      <c r="A368" s="35"/>
      <c r="B368" s="35"/>
      <c r="C368" s="35"/>
      <c r="D368" s="35"/>
      <c r="E368" s="35"/>
      <c r="F368" s="35"/>
      <c r="G368" s="35"/>
      <c r="H368" s="234" t="s">
        <v>952</v>
      </c>
      <c r="I368" s="306" t="s">
        <v>953</v>
      </c>
      <c r="J368" s="234">
        <f t="shared" si="14"/>
        <v>0.99837614636334115</v>
      </c>
      <c r="K368" s="315">
        <f t="shared" si="15"/>
        <v>-1.6251735160296237E-3</v>
      </c>
      <c r="L368" s="234"/>
      <c r="M368" s="234"/>
      <c r="N368" s="234"/>
      <c r="O368" s="234"/>
      <c r="P368" s="234"/>
      <c r="Q368" s="234"/>
      <c r="R368" s="234"/>
      <c r="S368" s="35"/>
      <c r="T368" s="35"/>
      <c r="U368" s="35"/>
      <c r="V368" s="35"/>
      <c r="W368" s="35"/>
      <c r="X368" s="35"/>
    </row>
    <row r="369" spans="1:24" ht="12.75" customHeight="1" x14ac:dyDescent="0.3">
      <c r="A369" s="35"/>
      <c r="B369" s="35"/>
      <c r="C369" s="35"/>
      <c r="D369" s="35"/>
      <c r="E369" s="35"/>
      <c r="F369" s="35"/>
      <c r="G369" s="35"/>
      <c r="H369" s="234" t="s">
        <v>954</v>
      </c>
      <c r="I369" s="306" t="s">
        <v>955</v>
      </c>
      <c r="J369" s="234">
        <f t="shared" si="14"/>
        <v>1.0032894226442615</v>
      </c>
      <c r="K369" s="315">
        <f t="shared" si="15"/>
        <v>3.2840243285836646E-3</v>
      </c>
      <c r="L369" s="234"/>
      <c r="M369" s="234"/>
      <c r="N369" s="234"/>
      <c r="O369" s="234"/>
      <c r="P369" s="234"/>
      <c r="Q369" s="234"/>
      <c r="R369" s="234"/>
      <c r="S369" s="35"/>
      <c r="T369" s="35"/>
      <c r="U369" s="35"/>
      <c r="V369" s="35"/>
      <c r="W369" s="35"/>
      <c r="X369" s="35"/>
    </row>
    <row r="370" spans="1:24" ht="12.75" customHeight="1" x14ac:dyDescent="0.3">
      <c r="A370" s="35"/>
      <c r="B370" s="35"/>
      <c r="C370" s="35"/>
      <c r="D370" s="35"/>
      <c r="E370" s="35"/>
      <c r="F370" s="35"/>
      <c r="G370" s="35"/>
      <c r="H370" s="234" t="s">
        <v>956</v>
      </c>
      <c r="I370" s="306" t="s">
        <v>957</v>
      </c>
      <c r="J370" s="234">
        <f t="shared" si="14"/>
        <v>1.0047157678127412</v>
      </c>
      <c r="K370" s="315">
        <f t="shared" si="15"/>
        <v>4.7046834136841029E-3</v>
      </c>
      <c r="L370" s="234"/>
      <c r="M370" s="234"/>
      <c r="N370" s="234"/>
      <c r="O370" s="234"/>
      <c r="P370" s="234"/>
      <c r="Q370" s="234"/>
      <c r="R370" s="234"/>
      <c r="S370" s="35"/>
      <c r="T370" s="35"/>
      <c r="U370" s="35"/>
      <c r="V370" s="35"/>
      <c r="W370" s="35"/>
      <c r="X370" s="35"/>
    </row>
    <row r="371" spans="1:24" ht="12.75" customHeight="1" x14ac:dyDescent="0.3">
      <c r="A371" s="35"/>
      <c r="B371" s="35"/>
      <c r="C371" s="35"/>
      <c r="D371" s="35"/>
      <c r="E371" s="35"/>
      <c r="F371" s="35"/>
      <c r="G371" s="35"/>
      <c r="H371" s="234" t="s">
        <v>958</v>
      </c>
      <c r="I371" s="306" t="s">
        <v>959</v>
      </c>
      <c r="J371" s="234">
        <f t="shared" si="14"/>
        <v>1.0084262818245415</v>
      </c>
      <c r="K371" s="315">
        <f t="shared" si="15"/>
        <v>8.3909788882096641E-3</v>
      </c>
      <c r="L371" s="234"/>
      <c r="M371" s="234"/>
      <c r="N371" s="234"/>
      <c r="O371" s="234"/>
      <c r="P371" s="234"/>
      <c r="Q371" s="234"/>
      <c r="R371" s="234"/>
      <c r="S371" s="35"/>
      <c r="T371" s="35"/>
      <c r="U371" s="35"/>
      <c r="V371" s="35"/>
      <c r="W371" s="35"/>
      <c r="X371" s="35"/>
    </row>
    <row r="372" spans="1:24" ht="12.75" customHeight="1" x14ac:dyDescent="0.3">
      <c r="A372" s="35"/>
      <c r="B372" s="35"/>
      <c r="C372" s="35"/>
      <c r="D372" s="35"/>
      <c r="E372" s="35"/>
      <c r="F372" s="35"/>
      <c r="G372" s="35"/>
      <c r="H372" s="234" t="s">
        <v>960</v>
      </c>
      <c r="I372" s="306" t="s">
        <v>961</v>
      </c>
      <c r="J372" s="234">
        <f t="shared" si="14"/>
        <v>1.0008811335153294</v>
      </c>
      <c r="K372" s="315">
        <f t="shared" si="15"/>
        <v>8.8074554507911742E-4</v>
      </c>
      <c r="L372" s="234"/>
      <c r="M372" s="234"/>
      <c r="N372" s="234"/>
      <c r="O372" s="234"/>
      <c r="P372" s="234"/>
      <c r="Q372" s="234"/>
      <c r="R372" s="234"/>
      <c r="S372" s="35"/>
      <c r="T372" s="35"/>
      <c r="U372" s="35"/>
      <c r="V372" s="35"/>
      <c r="W372" s="35"/>
      <c r="X372" s="35"/>
    </row>
    <row r="373" spans="1:24" ht="12.75" customHeight="1" x14ac:dyDescent="0.3">
      <c r="A373" s="35"/>
      <c r="B373" s="35"/>
      <c r="C373" s="35"/>
      <c r="D373" s="35"/>
      <c r="E373" s="35"/>
      <c r="F373" s="35"/>
      <c r="G373" s="35"/>
      <c r="H373" s="234" t="s">
        <v>962</v>
      </c>
      <c r="I373" s="306" t="s">
        <v>963</v>
      </c>
      <c r="J373" s="234">
        <f t="shared" si="14"/>
        <v>1.0044331004836109</v>
      </c>
      <c r="K373" s="315">
        <f t="shared" si="15"/>
        <v>4.4233032377741016E-3</v>
      </c>
      <c r="L373" s="234"/>
      <c r="M373" s="234"/>
      <c r="N373" s="234"/>
      <c r="O373" s="234"/>
      <c r="P373" s="234"/>
      <c r="Q373" s="234"/>
      <c r="R373" s="234"/>
      <c r="S373" s="35"/>
      <c r="T373" s="35"/>
      <c r="U373" s="35"/>
      <c r="V373" s="35"/>
      <c r="W373" s="35"/>
      <c r="X373" s="35"/>
    </row>
    <row r="374" spans="1:24" ht="12.75" customHeight="1" x14ac:dyDescent="0.3">
      <c r="A374" s="35"/>
      <c r="B374" s="35"/>
      <c r="C374" s="35"/>
      <c r="D374" s="35"/>
      <c r="E374" s="35"/>
      <c r="F374" s="35"/>
      <c r="G374" s="35"/>
      <c r="H374" s="234" t="s">
        <v>964</v>
      </c>
      <c r="I374" s="306" t="s">
        <v>965</v>
      </c>
      <c r="J374" s="234">
        <f t="shared" si="14"/>
        <v>1.0021222679759265</v>
      </c>
      <c r="K374" s="315">
        <f t="shared" si="15"/>
        <v>2.1200191464295051E-3</v>
      </c>
      <c r="L374" s="234"/>
      <c r="M374" s="234"/>
      <c r="N374" s="234"/>
      <c r="O374" s="234"/>
      <c r="P374" s="234"/>
      <c r="Q374" s="234"/>
      <c r="R374" s="234"/>
      <c r="S374" s="35"/>
      <c r="T374" s="35"/>
      <c r="U374" s="35"/>
      <c r="V374" s="35"/>
      <c r="W374" s="35"/>
      <c r="X374" s="35"/>
    </row>
    <row r="375" spans="1:24" ht="12.75" customHeight="1" x14ac:dyDescent="0.3">
      <c r="A375" s="35"/>
      <c r="B375" s="35"/>
      <c r="C375" s="35"/>
      <c r="D375" s="35"/>
      <c r="E375" s="35"/>
      <c r="F375" s="35"/>
      <c r="G375" s="35"/>
      <c r="H375" s="234" t="s">
        <v>966</v>
      </c>
      <c r="I375" s="306" t="s">
        <v>967</v>
      </c>
      <c r="J375" s="234">
        <f t="shared" si="14"/>
        <v>1.0009115047754924</v>
      </c>
      <c r="K375" s="315">
        <f t="shared" si="15"/>
        <v>9.1108960728057838E-4</v>
      </c>
      <c r="L375" s="234"/>
      <c r="M375" s="234"/>
      <c r="N375" s="234"/>
      <c r="O375" s="234"/>
      <c r="P375" s="234"/>
      <c r="Q375" s="234"/>
      <c r="R375" s="234"/>
      <c r="S375" s="35"/>
      <c r="T375" s="35"/>
      <c r="U375" s="35"/>
      <c r="V375" s="35"/>
      <c r="W375" s="35"/>
      <c r="X375" s="35"/>
    </row>
    <row r="376" spans="1:24" ht="12.75" customHeight="1" x14ac:dyDescent="0.3">
      <c r="A376" s="35"/>
      <c r="B376" s="35"/>
      <c r="C376" s="35"/>
      <c r="D376" s="35"/>
      <c r="E376" s="35"/>
      <c r="F376" s="35"/>
      <c r="G376" s="35"/>
      <c r="H376" s="234" t="s">
        <v>968</v>
      </c>
      <c r="I376" s="306" t="s">
        <v>969</v>
      </c>
      <c r="J376" s="234">
        <f t="shared" si="14"/>
        <v>1.003970843346649</v>
      </c>
      <c r="K376" s="315">
        <f t="shared" si="15"/>
        <v>3.96298035646875E-3</v>
      </c>
      <c r="L376" s="234"/>
      <c r="M376" s="234"/>
      <c r="N376" s="234"/>
      <c r="O376" s="234"/>
      <c r="P376" s="234"/>
      <c r="Q376" s="234"/>
      <c r="R376" s="234"/>
      <c r="S376" s="35"/>
      <c r="T376" s="35"/>
      <c r="U376" s="35"/>
      <c r="V376" s="35"/>
      <c r="W376" s="35"/>
      <c r="X376" s="35"/>
    </row>
    <row r="377" spans="1:24" ht="12.75" customHeight="1" x14ac:dyDescent="0.3">
      <c r="A377" s="35"/>
      <c r="B377" s="35"/>
      <c r="C377" s="35"/>
      <c r="D377" s="35"/>
      <c r="E377" s="35"/>
      <c r="F377" s="35"/>
      <c r="G377" s="35"/>
      <c r="H377" s="234" t="s">
        <v>970</v>
      </c>
      <c r="I377" s="306" t="s">
        <v>971</v>
      </c>
      <c r="J377" s="234">
        <f t="shared" si="14"/>
        <v>1.0070440029810797</v>
      </c>
      <c r="K377" s="315">
        <f t="shared" si="15"/>
        <v>7.0193098831047842E-3</v>
      </c>
      <c r="L377" s="234"/>
      <c r="M377" s="234"/>
      <c r="N377" s="234"/>
      <c r="O377" s="234"/>
      <c r="P377" s="234"/>
      <c r="Q377" s="234"/>
      <c r="R377" s="234"/>
      <c r="S377" s="35"/>
      <c r="T377" s="35"/>
      <c r="U377" s="35"/>
      <c r="V377" s="35"/>
      <c r="W377" s="35"/>
      <c r="X377" s="35"/>
    </row>
    <row r="378" spans="1:24" ht="12.75" customHeight="1" x14ac:dyDescent="0.3">
      <c r="A378" s="35"/>
      <c r="B378" s="35"/>
      <c r="C378" s="35"/>
      <c r="D378" s="35"/>
      <c r="E378" s="35"/>
      <c r="F378" s="35"/>
      <c r="G378" s="35"/>
      <c r="H378" s="234" t="s">
        <v>972</v>
      </c>
      <c r="I378" s="306" t="s">
        <v>973</v>
      </c>
      <c r="J378" s="234">
        <f t="shared" si="14"/>
        <v>1.0005372033354714</v>
      </c>
      <c r="K378" s="315">
        <f t="shared" si="15"/>
        <v>5.3705909341543532E-4</v>
      </c>
      <c r="L378" s="234"/>
      <c r="M378" s="234"/>
      <c r="N378" s="234"/>
      <c r="O378" s="234"/>
      <c r="P378" s="234"/>
      <c r="Q378" s="234"/>
      <c r="R378" s="234"/>
      <c r="S378" s="35"/>
      <c r="T378" s="35"/>
      <c r="U378" s="35"/>
      <c r="V378" s="35"/>
      <c r="W378" s="35"/>
      <c r="X378" s="35"/>
    </row>
    <row r="379" spans="1:24" ht="12.75" customHeight="1" x14ac:dyDescent="0.3">
      <c r="A379" s="35"/>
      <c r="B379" s="35"/>
      <c r="C379" s="35"/>
      <c r="D379" s="35"/>
      <c r="E379" s="35"/>
      <c r="F379" s="35"/>
      <c r="G379" s="35"/>
      <c r="H379" s="234" t="s">
        <v>974</v>
      </c>
      <c r="I379" s="306" t="s">
        <v>975</v>
      </c>
      <c r="J379" s="234">
        <f t="shared" si="14"/>
        <v>1.0065776199507688</v>
      </c>
      <c r="K379" s="315">
        <f t="shared" si="15"/>
        <v>6.556081803569625E-3</v>
      </c>
      <c r="L379" s="234"/>
      <c r="M379" s="234"/>
      <c r="N379" s="234"/>
      <c r="O379" s="234"/>
      <c r="P379" s="234"/>
      <c r="Q379" s="234"/>
      <c r="R379" s="234"/>
      <c r="S379" s="35"/>
      <c r="T379" s="35"/>
      <c r="U379" s="35"/>
      <c r="V379" s="35"/>
      <c r="W379" s="35"/>
      <c r="X379" s="35"/>
    </row>
    <row r="380" spans="1:24" ht="12.75" customHeight="1" x14ac:dyDescent="0.3">
      <c r="A380" s="35"/>
      <c r="B380" s="35"/>
      <c r="C380" s="35"/>
      <c r="D380" s="35"/>
      <c r="E380" s="35"/>
      <c r="F380" s="35"/>
      <c r="G380" s="35"/>
      <c r="H380" s="234" t="s">
        <v>976</v>
      </c>
      <c r="I380" s="306" t="s">
        <v>977</v>
      </c>
      <c r="J380" s="234">
        <f t="shared" si="14"/>
        <v>0.99675805257907779</v>
      </c>
      <c r="K380" s="315">
        <f t="shared" si="15"/>
        <v>-3.2472139180137723E-3</v>
      </c>
      <c r="L380" s="234"/>
      <c r="M380" s="234"/>
      <c r="N380" s="234"/>
      <c r="O380" s="234"/>
      <c r="P380" s="234"/>
      <c r="Q380" s="234"/>
      <c r="R380" s="234"/>
      <c r="S380" s="35"/>
      <c r="T380" s="35"/>
      <c r="U380" s="35"/>
      <c r="V380" s="35"/>
      <c r="W380" s="35"/>
      <c r="X380" s="35"/>
    </row>
    <row r="381" spans="1:24" ht="12.75" customHeight="1" x14ac:dyDescent="0.3">
      <c r="A381" s="35"/>
      <c r="B381" s="35"/>
      <c r="C381" s="35"/>
      <c r="D381" s="35"/>
      <c r="E381" s="35"/>
      <c r="F381" s="35"/>
      <c r="G381" s="35"/>
      <c r="H381" s="234" t="s">
        <v>978</v>
      </c>
      <c r="I381" s="306" t="s">
        <v>979</v>
      </c>
      <c r="J381" s="234">
        <f t="shared" si="14"/>
        <v>1.0135842533552943</v>
      </c>
      <c r="K381" s="315">
        <f t="shared" si="15"/>
        <v>1.3492814540358687E-2</v>
      </c>
      <c r="L381" s="234"/>
      <c r="M381" s="234"/>
      <c r="N381" s="234"/>
      <c r="O381" s="234"/>
      <c r="P381" s="234"/>
      <c r="Q381" s="234"/>
      <c r="R381" s="234"/>
      <c r="S381" s="35"/>
      <c r="T381" s="35"/>
      <c r="U381" s="35"/>
      <c r="V381" s="35"/>
      <c r="W381" s="35"/>
      <c r="X381" s="35"/>
    </row>
    <row r="382" spans="1:24" ht="12.75" customHeight="1" x14ac:dyDescent="0.3">
      <c r="A382" s="35"/>
      <c r="B382" s="35"/>
      <c r="C382" s="35"/>
      <c r="D382" s="35"/>
      <c r="E382" s="35"/>
      <c r="F382" s="35"/>
      <c r="G382" s="35"/>
      <c r="H382" s="234" t="s">
        <v>980</v>
      </c>
      <c r="I382" s="306" t="s">
        <v>981</v>
      </c>
      <c r="J382" s="234">
        <f t="shared" si="14"/>
        <v>1.0025422828228332</v>
      </c>
      <c r="K382" s="315">
        <f t="shared" si="15"/>
        <v>2.539056688531278E-3</v>
      </c>
      <c r="L382" s="234"/>
      <c r="M382" s="234"/>
      <c r="N382" s="234"/>
      <c r="O382" s="234"/>
      <c r="P382" s="234"/>
      <c r="Q382" s="234"/>
      <c r="R382" s="234"/>
      <c r="S382" s="35"/>
      <c r="T382" s="35"/>
      <c r="U382" s="35"/>
      <c r="V382" s="35"/>
      <c r="W382" s="35"/>
      <c r="X382" s="35"/>
    </row>
    <row r="383" spans="1:24" ht="12.75" customHeight="1" x14ac:dyDescent="0.3">
      <c r="A383" s="35"/>
      <c r="B383" s="35"/>
      <c r="C383" s="35"/>
      <c r="D383" s="35"/>
      <c r="E383" s="35"/>
      <c r="F383" s="35"/>
      <c r="G383" s="35"/>
      <c r="H383" s="234" t="s">
        <v>982</v>
      </c>
      <c r="I383" s="306" t="s">
        <v>983</v>
      </c>
      <c r="J383" s="234">
        <f t="shared" si="14"/>
        <v>0.99752923332844068</v>
      </c>
      <c r="K383" s="315">
        <f t="shared" si="15"/>
        <v>-2.4738240526203949E-3</v>
      </c>
      <c r="L383" s="234"/>
      <c r="M383" s="234"/>
      <c r="N383" s="234"/>
      <c r="O383" s="234"/>
      <c r="P383" s="234"/>
      <c r="Q383" s="234"/>
      <c r="R383" s="234"/>
      <c r="S383" s="35"/>
      <c r="T383" s="35"/>
      <c r="U383" s="35"/>
      <c r="V383" s="35"/>
      <c r="W383" s="35"/>
      <c r="X383" s="35"/>
    </row>
    <row r="384" spans="1:24" ht="12.75" customHeight="1" x14ac:dyDescent="0.3">
      <c r="A384" s="35"/>
      <c r="B384" s="35"/>
      <c r="C384" s="35"/>
      <c r="D384" s="35"/>
      <c r="E384" s="35"/>
      <c r="F384" s="35"/>
      <c r="G384" s="35"/>
      <c r="H384" s="234" t="s">
        <v>984</v>
      </c>
      <c r="I384" s="306" t="s">
        <v>985</v>
      </c>
      <c r="J384" s="234">
        <f t="shared" si="14"/>
        <v>1.0106392622565785</v>
      </c>
      <c r="K384" s="315">
        <f t="shared" si="15"/>
        <v>1.058306356290672E-2</v>
      </c>
      <c r="L384" s="234"/>
      <c r="M384" s="234"/>
      <c r="N384" s="234"/>
      <c r="O384" s="234"/>
      <c r="P384" s="234"/>
      <c r="Q384" s="234"/>
      <c r="R384" s="234"/>
      <c r="S384" s="35"/>
      <c r="T384" s="35"/>
      <c r="U384" s="35"/>
      <c r="V384" s="35"/>
      <c r="W384" s="35"/>
      <c r="X384" s="35"/>
    </row>
    <row r="385" spans="1:24" ht="12.75" customHeight="1" x14ac:dyDescent="0.3">
      <c r="A385" s="35"/>
      <c r="B385" s="35"/>
      <c r="C385" s="35"/>
      <c r="D385" s="35"/>
      <c r="E385" s="35"/>
      <c r="F385" s="35"/>
      <c r="G385" s="35"/>
      <c r="H385" s="234" t="s">
        <v>986</v>
      </c>
      <c r="I385" s="306" t="s">
        <v>987</v>
      </c>
      <c r="J385" s="234">
        <f t="shared" si="14"/>
        <v>1.0074473207910599</v>
      </c>
      <c r="K385" s="315">
        <f t="shared" si="15"/>
        <v>7.4197264156652988E-3</v>
      </c>
      <c r="L385" s="234"/>
      <c r="M385" s="234"/>
      <c r="N385" s="234"/>
      <c r="O385" s="234"/>
      <c r="P385" s="234"/>
      <c r="Q385" s="234"/>
      <c r="R385" s="234"/>
      <c r="S385" s="35"/>
      <c r="T385" s="35"/>
      <c r="U385" s="35"/>
      <c r="V385" s="35"/>
      <c r="W385" s="35"/>
      <c r="X385" s="35"/>
    </row>
    <row r="386" spans="1:24" ht="12.75" customHeight="1" x14ac:dyDescent="0.3">
      <c r="A386" s="35"/>
      <c r="B386" s="35"/>
      <c r="C386" s="35"/>
      <c r="D386" s="35"/>
      <c r="E386" s="35"/>
      <c r="F386" s="35"/>
      <c r="G386" s="35"/>
      <c r="H386" s="234" t="s">
        <v>988</v>
      </c>
      <c r="I386" s="306" t="s">
        <v>989</v>
      </c>
      <c r="J386" s="234">
        <f t="shared" si="14"/>
        <v>1.0014883550766212</v>
      </c>
      <c r="K386" s="315">
        <f t="shared" si="15"/>
        <v>1.4872485739805812E-3</v>
      </c>
      <c r="L386" s="234"/>
      <c r="M386" s="234"/>
      <c r="N386" s="234"/>
      <c r="O386" s="234"/>
      <c r="P386" s="234"/>
      <c r="Q386" s="234"/>
      <c r="R386" s="234"/>
      <c r="S386" s="35"/>
      <c r="T386" s="35"/>
      <c r="U386" s="35"/>
      <c r="V386" s="35"/>
      <c r="W386" s="35"/>
      <c r="X386" s="35"/>
    </row>
    <row r="387" spans="1:24" ht="12.75" customHeight="1" x14ac:dyDescent="0.3">
      <c r="A387" s="35"/>
      <c r="B387" s="35"/>
      <c r="C387" s="35"/>
      <c r="D387" s="35"/>
      <c r="E387" s="35"/>
      <c r="F387" s="35"/>
      <c r="G387" s="35"/>
      <c r="H387" s="234" t="s">
        <v>990</v>
      </c>
      <c r="I387" s="306" t="s">
        <v>728</v>
      </c>
      <c r="J387" s="234">
        <f t="shared" si="14"/>
        <v>1.0053247513165593</v>
      </c>
      <c r="K387" s="315">
        <f t="shared" si="15"/>
        <v>5.3106249523303273E-3</v>
      </c>
      <c r="L387" s="234"/>
      <c r="M387" s="234"/>
      <c r="N387" s="234"/>
      <c r="O387" s="234"/>
      <c r="P387" s="234"/>
      <c r="Q387" s="234"/>
      <c r="R387" s="234"/>
      <c r="S387" s="35"/>
      <c r="T387" s="35"/>
      <c r="U387" s="35"/>
      <c r="V387" s="35"/>
      <c r="W387" s="35"/>
      <c r="X387" s="35"/>
    </row>
    <row r="388" spans="1:24" ht="12.75" customHeight="1" x14ac:dyDescent="0.3">
      <c r="A388" s="35"/>
      <c r="B388" s="35"/>
      <c r="C388" s="35"/>
      <c r="D388" s="35"/>
      <c r="E388" s="35"/>
      <c r="F388" s="35"/>
      <c r="G388" s="35"/>
      <c r="H388" s="234" t="s">
        <v>991</v>
      </c>
      <c r="I388" s="306" t="s">
        <v>992</v>
      </c>
      <c r="J388" s="234">
        <f t="shared" si="14"/>
        <v>1.0041296647585154</v>
      </c>
      <c r="K388" s="315">
        <f t="shared" si="15"/>
        <v>4.1211610964830298E-3</v>
      </c>
      <c r="L388" s="234"/>
      <c r="M388" s="234"/>
      <c r="N388" s="234"/>
      <c r="O388" s="234"/>
      <c r="P388" s="234"/>
      <c r="Q388" s="234"/>
      <c r="R388" s="234"/>
      <c r="S388" s="35"/>
      <c r="T388" s="35"/>
      <c r="U388" s="35"/>
      <c r="V388" s="35"/>
      <c r="W388" s="35"/>
      <c r="X388" s="35"/>
    </row>
    <row r="389" spans="1:24" ht="12.75" customHeight="1" x14ac:dyDescent="0.3">
      <c r="A389" s="35"/>
      <c r="B389" s="35"/>
      <c r="C389" s="35"/>
      <c r="D389" s="35"/>
      <c r="E389" s="35"/>
      <c r="F389" s="35"/>
      <c r="G389" s="35"/>
      <c r="H389" s="234" t="s">
        <v>993</v>
      </c>
      <c r="I389" s="306" t="s">
        <v>994</v>
      </c>
      <c r="J389" s="234">
        <f t="shared" ref="J389:J452" si="16">I389/I390</f>
        <v>0.99561267894002325</v>
      </c>
      <c r="K389" s="315">
        <f t="shared" ref="K389:K452" si="17">LN(J389)</f>
        <v>-4.3969735958807529E-3</v>
      </c>
      <c r="L389" s="234"/>
      <c r="M389" s="234"/>
      <c r="N389" s="234"/>
      <c r="O389" s="234"/>
      <c r="P389" s="234"/>
      <c r="Q389" s="234"/>
      <c r="R389" s="234"/>
      <c r="S389" s="35"/>
      <c r="T389" s="35"/>
      <c r="U389" s="35"/>
      <c r="V389" s="35"/>
      <c r="W389" s="35"/>
      <c r="X389" s="35"/>
    </row>
    <row r="390" spans="1:24" ht="12.75" customHeight="1" x14ac:dyDescent="0.3">
      <c r="A390" s="35"/>
      <c r="B390" s="35"/>
      <c r="C390" s="35"/>
      <c r="D390" s="35"/>
      <c r="E390" s="35"/>
      <c r="F390" s="35"/>
      <c r="G390" s="35"/>
      <c r="H390" s="234" t="s">
        <v>995</v>
      </c>
      <c r="I390" s="306" t="s">
        <v>996</v>
      </c>
      <c r="J390" s="234">
        <f t="shared" si="16"/>
        <v>1.0008782348316299</v>
      </c>
      <c r="K390" s="315">
        <f t="shared" si="17"/>
        <v>8.7784940906461681E-4</v>
      </c>
      <c r="L390" s="234"/>
      <c r="M390" s="234"/>
      <c r="N390" s="234"/>
      <c r="O390" s="234"/>
      <c r="P390" s="234"/>
      <c r="Q390" s="234"/>
      <c r="R390" s="234"/>
      <c r="S390" s="35"/>
      <c r="T390" s="35"/>
      <c r="U390" s="35"/>
      <c r="V390" s="35"/>
      <c r="W390" s="35"/>
      <c r="X390" s="35"/>
    </row>
    <row r="391" spans="1:24" ht="12.75" customHeight="1" x14ac:dyDescent="0.3">
      <c r="A391" s="35"/>
      <c r="B391" s="35"/>
      <c r="C391" s="35"/>
      <c r="D391" s="35"/>
      <c r="E391" s="35"/>
      <c r="F391" s="35"/>
      <c r="G391" s="35"/>
      <c r="H391" s="234" t="s">
        <v>997</v>
      </c>
      <c r="I391" s="306" t="s">
        <v>998</v>
      </c>
      <c r="J391" s="234">
        <f t="shared" si="16"/>
        <v>0.9968483191035219</v>
      </c>
      <c r="K391" s="315">
        <f t="shared" si="17"/>
        <v>-3.1566579027562519E-3</v>
      </c>
      <c r="L391" s="234"/>
      <c r="M391" s="234"/>
      <c r="N391" s="234"/>
      <c r="O391" s="234"/>
      <c r="P391" s="234"/>
      <c r="Q391" s="234"/>
      <c r="R391" s="234"/>
      <c r="S391" s="35"/>
      <c r="T391" s="35"/>
      <c r="U391" s="35"/>
      <c r="V391" s="35"/>
      <c r="W391" s="35"/>
      <c r="X391" s="35"/>
    </row>
    <row r="392" spans="1:24" ht="12.75" customHeight="1" x14ac:dyDescent="0.3">
      <c r="A392" s="35"/>
      <c r="B392" s="35"/>
      <c r="C392" s="35"/>
      <c r="D392" s="35"/>
      <c r="E392" s="35"/>
      <c r="F392" s="35"/>
      <c r="G392" s="35"/>
      <c r="H392" s="234" t="s">
        <v>999</v>
      </c>
      <c r="I392" s="306" t="s">
        <v>1000</v>
      </c>
      <c r="J392" s="234">
        <f t="shared" si="16"/>
        <v>0.98595902798329549</v>
      </c>
      <c r="K392" s="315">
        <f t="shared" si="17"/>
        <v>-1.4140479012360624E-2</v>
      </c>
      <c r="L392" s="234"/>
      <c r="M392" s="234"/>
      <c r="N392" s="234"/>
      <c r="O392" s="234"/>
      <c r="P392" s="234"/>
      <c r="Q392" s="234"/>
      <c r="R392" s="234"/>
      <c r="S392" s="35"/>
      <c r="T392" s="35"/>
      <c r="U392" s="35"/>
      <c r="V392" s="35"/>
      <c r="W392" s="35"/>
      <c r="X392" s="35"/>
    </row>
    <row r="393" spans="1:24" ht="12.75" customHeight="1" x14ac:dyDescent="0.3">
      <c r="A393" s="35"/>
      <c r="B393" s="35"/>
      <c r="C393" s="35"/>
      <c r="D393" s="35"/>
      <c r="E393" s="35"/>
      <c r="F393" s="35"/>
      <c r="G393" s="35"/>
      <c r="H393" s="234" t="s">
        <v>1001</v>
      </c>
      <c r="I393" s="306" t="s">
        <v>1002</v>
      </c>
      <c r="J393" s="234">
        <f t="shared" si="16"/>
        <v>1.0073203047366677</v>
      </c>
      <c r="K393" s="315">
        <f t="shared" si="17"/>
        <v>7.2936413496247441E-3</v>
      </c>
      <c r="L393" s="234"/>
      <c r="M393" s="234"/>
      <c r="N393" s="234"/>
      <c r="O393" s="234"/>
      <c r="P393" s="234"/>
      <c r="Q393" s="234"/>
      <c r="R393" s="234"/>
      <c r="S393" s="35"/>
      <c r="T393" s="35"/>
      <c r="U393" s="35"/>
      <c r="V393" s="35"/>
      <c r="W393" s="35"/>
      <c r="X393" s="35"/>
    </row>
    <row r="394" spans="1:24" ht="12.75" customHeight="1" x14ac:dyDescent="0.3">
      <c r="A394" s="35"/>
      <c r="B394" s="35"/>
      <c r="C394" s="35"/>
      <c r="D394" s="35"/>
      <c r="E394" s="35"/>
      <c r="F394" s="35"/>
      <c r="G394" s="35"/>
      <c r="H394" s="234" t="s">
        <v>1003</v>
      </c>
      <c r="I394" s="306" t="s">
        <v>1004</v>
      </c>
      <c r="J394" s="234">
        <f t="shared" si="16"/>
        <v>0.99992547756460681</v>
      </c>
      <c r="K394" s="315">
        <f t="shared" si="17"/>
        <v>-7.4525212327839198E-5</v>
      </c>
      <c r="L394" s="234"/>
      <c r="M394" s="234"/>
      <c r="N394" s="234"/>
      <c r="O394" s="234"/>
      <c r="P394" s="234"/>
      <c r="Q394" s="234"/>
      <c r="R394" s="234"/>
      <c r="S394" s="35"/>
      <c r="T394" s="35"/>
      <c r="U394" s="35"/>
      <c r="V394" s="35"/>
      <c r="W394" s="35"/>
      <c r="X394" s="35"/>
    </row>
    <row r="395" spans="1:24" ht="12.75" customHeight="1" x14ac:dyDescent="0.3">
      <c r="A395" s="35"/>
      <c r="B395" s="35"/>
      <c r="C395" s="35"/>
      <c r="D395" s="35"/>
      <c r="E395" s="35"/>
      <c r="F395" s="35"/>
      <c r="G395" s="35"/>
      <c r="H395" s="234" t="s">
        <v>1005</v>
      </c>
      <c r="I395" s="306" t="s">
        <v>1006</v>
      </c>
      <c r="J395" s="234">
        <f t="shared" si="16"/>
        <v>0.98266869543283508</v>
      </c>
      <c r="K395" s="315">
        <f t="shared" si="17"/>
        <v>-1.748324979141894E-2</v>
      </c>
      <c r="L395" s="234"/>
      <c r="M395" s="234"/>
      <c r="N395" s="234"/>
      <c r="O395" s="234"/>
      <c r="P395" s="234"/>
      <c r="Q395" s="234"/>
      <c r="R395" s="234"/>
      <c r="S395" s="35"/>
      <c r="T395" s="35"/>
      <c r="U395" s="35"/>
      <c r="V395" s="35"/>
      <c r="W395" s="35"/>
      <c r="X395" s="35"/>
    </row>
    <row r="396" spans="1:24" ht="12.75" customHeight="1" x14ac:dyDescent="0.3">
      <c r="A396" s="35"/>
      <c r="B396" s="35"/>
      <c r="C396" s="35"/>
      <c r="D396" s="35"/>
      <c r="E396" s="35"/>
      <c r="F396" s="35"/>
      <c r="G396" s="35"/>
      <c r="H396" s="234" t="s">
        <v>1007</v>
      </c>
      <c r="I396" s="306" t="s">
        <v>1008</v>
      </c>
      <c r="J396" s="234">
        <f t="shared" si="16"/>
        <v>1.0122809040590406</v>
      </c>
      <c r="K396" s="315">
        <f t="shared" si="17"/>
        <v>1.2206105529835809E-2</v>
      </c>
      <c r="L396" s="234"/>
      <c r="M396" s="234"/>
      <c r="N396" s="234"/>
      <c r="O396" s="234"/>
      <c r="P396" s="234"/>
      <c r="Q396" s="234"/>
      <c r="R396" s="234"/>
      <c r="S396" s="35"/>
      <c r="T396" s="35"/>
      <c r="U396" s="35"/>
      <c r="V396" s="35"/>
      <c r="W396" s="35"/>
      <c r="X396" s="35"/>
    </row>
    <row r="397" spans="1:24" ht="12.75" customHeight="1" x14ac:dyDescent="0.3">
      <c r="A397" s="35"/>
      <c r="B397" s="35"/>
      <c r="C397" s="35"/>
      <c r="D397" s="35"/>
      <c r="E397" s="35"/>
      <c r="F397" s="35"/>
      <c r="G397" s="35"/>
      <c r="H397" s="234" t="s">
        <v>1009</v>
      </c>
      <c r="I397" s="306" t="s">
        <v>1010</v>
      </c>
      <c r="J397" s="234">
        <f t="shared" si="16"/>
        <v>0.99675705852893604</v>
      </c>
      <c r="K397" s="315">
        <f t="shared" si="17"/>
        <v>-3.2482112017927786E-3</v>
      </c>
      <c r="L397" s="234"/>
      <c r="M397" s="234"/>
      <c r="N397" s="234"/>
      <c r="O397" s="234"/>
      <c r="P397" s="234"/>
      <c r="Q397" s="234"/>
      <c r="R397" s="234"/>
      <c r="S397" s="35"/>
      <c r="T397" s="35"/>
      <c r="U397" s="35"/>
      <c r="V397" s="35"/>
      <c r="W397" s="35"/>
      <c r="X397" s="35"/>
    </row>
    <row r="398" spans="1:24" ht="12.75" customHeight="1" x14ac:dyDescent="0.3">
      <c r="A398" s="35"/>
      <c r="B398" s="35"/>
      <c r="C398" s="35"/>
      <c r="D398" s="35"/>
      <c r="E398" s="35"/>
      <c r="F398" s="35"/>
      <c r="G398" s="35"/>
      <c r="H398" s="234" t="s">
        <v>1011</v>
      </c>
      <c r="I398" s="306" t="s">
        <v>1012</v>
      </c>
      <c r="J398" s="234">
        <f t="shared" si="16"/>
        <v>0.99812344303133604</v>
      </c>
      <c r="K398" s="315">
        <f t="shared" si="17"/>
        <v>-1.8783199075410083E-3</v>
      </c>
      <c r="L398" s="234"/>
      <c r="M398" s="234"/>
      <c r="N398" s="234"/>
      <c r="O398" s="234"/>
      <c r="P398" s="234"/>
      <c r="Q398" s="234"/>
      <c r="R398" s="234"/>
      <c r="S398" s="35"/>
      <c r="T398" s="35"/>
      <c r="U398" s="35"/>
      <c r="V398" s="35"/>
      <c r="W398" s="35"/>
      <c r="X398" s="35"/>
    </row>
    <row r="399" spans="1:24" ht="12.75" customHeight="1" x14ac:dyDescent="0.3">
      <c r="A399" s="35"/>
      <c r="B399" s="35"/>
      <c r="C399" s="35"/>
      <c r="D399" s="35"/>
      <c r="E399" s="35"/>
      <c r="F399" s="35"/>
      <c r="G399" s="35"/>
      <c r="H399" s="234" t="s">
        <v>1013</v>
      </c>
      <c r="I399" s="306" t="s">
        <v>1014</v>
      </c>
      <c r="J399" s="234">
        <f t="shared" si="16"/>
        <v>0.99944307944307942</v>
      </c>
      <c r="K399" s="315">
        <f t="shared" si="17"/>
        <v>-5.5707569477625658E-4</v>
      </c>
      <c r="L399" s="234"/>
      <c r="M399" s="234"/>
      <c r="N399" s="234"/>
      <c r="O399" s="234"/>
      <c r="P399" s="234"/>
      <c r="Q399" s="234"/>
      <c r="R399" s="234"/>
      <c r="S399" s="35"/>
      <c r="T399" s="35"/>
      <c r="U399" s="35"/>
      <c r="V399" s="35"/>
      <c r="W399" s="35"/>
      <c r="X399" s="35"/>
    </row>
    <row r="400" spans="1:24" ht="12.75" customHeight="1" x14ac:dyDescent="0.3">
      <c r="A400" s="35"/>
      <c r="B400" s="35"/>
      <c r="C400" s="35"/>
      <c r="D400" s="35"/>
      <c r="E400" s="35"/>
      <c r="F400" s="35"/>
      <c r="G400" s="35"/>
      <c r="H400" s="234" t="s">
        <v>1015</v>
      </c>
      <c r="I400" s="306" t="s">
        <v>1016</v>
      </c>
      <c r="J400" s="234">
        <f t="shared" si="16"/>
        <v>0.99507758508280086</v>
      </c>
      <c r="K400" s="315">
        <f t="shared" si="17"/>
        <v>-4.9345699058444574E-3</v>
      </c>
      <c r="L400" s="234"/>
      <c r="M400" s="234"/>
      <c r="N400" s="234"/>
      <c r="O400" s="234"/>
      <c r="P400" s="234"/>
      <c r="Q400" s="234"/>
      <c r="R400" s="234"/>
      <c r="S400" s="35"/>
      <c r="T400" s="35"/>
      <c r="U400" s="35"/>
      <c r="V400" s="35"/>
      <c r="W400" s="35"/>
      <c r="X400" s="35"/>
    </row>
    <row r="401" spans="1:24" ht="12.75" customHeight="1" x14ac:dyDescent="0.3">
      <c r="A401" s="35"/>
      <c r="B401" s="35"/>
      <c r="C401" s="35"/>
      <c r="D401" s="35"/>
      <c r="E401" s="35"/>
      <c r="F401" s="35"/>
      <c r="G401" s="35"/>
      <c r="H401" s="234" t="s">
        <v>1017</v>
      </c>
      <c r="I401" s="306" t="s">
        <v>1018</v>
      </c>
      <c r="J401" s="234">
        <f t="shared" si="16"/>
        <v>0.99130715786072066</v>
      </c>
      <c r="K401" s="315">
        <f t="shared" si="17"/>
        <v>-8.7308452887120032E-3</v>
      </c>
      <c r="L401" s="234"/>
      <c r="M401" s="234"/>
      <c r="N401" s="234"/>
      <c r="O401" s="234"/>
      <c r="P401" s="234"/>
      <c r="Q401" s="234"/>
      <c r="R401" s="234"/>
      <c r="S401" s="35"/>
      <c r="T401" s="35"/>
      <c r="U401" s="35"/>
      <c r="V401" s="35"/>
      <c r="W401" s="35"/>
      <c r="X401" s="35"/>
    </row>
    <row r="402" spans="1:24" ht="12.75" customHeight="1" x14ac:dyDescent="0.3">
      <c r="A402" s="35"/>
      <c r="B402" s="35"/>
      <c r="C402" s="35"/>
      <c r="D402" s="35"/>
      <c r="E402" s="35"/>
      <c r="F402" s="35"/>
      <c r="G402" s="35"/>
      <c r="H402" s="234" t="s">
        <v>1019</v>
      </c>
      <c r="I402" s="306" t="s">
        <v>1020</v>
      </c>
      <c r="J402" s="234">
        <f t="shared" si="16"/>
        <v>0.99423283908175231</v>
      </c>
      <c r="K402" s="315">
        <f t="shared" si="17"/>
        <v>-5.783855207487189E-3</v>
      </c>
      <c r="L402" s="234"/>
      <c r="M402" s="234"/>
      <c r="N402" s="234"/>
      <c r="O402" s="234"/>
      <c r="P402" s="234"/>
      <c r="Q402" s="234"/>
      <c r="R402" s="234"/>
      <c r="S402" s="35"/>
      <c r="T402" s="35"/>
      <c r="U402" s="35"/>
      <c r="V402" s="35"/>
      <c r="W402" s="35"/>
      <c r="X402" s="35"/>
    </row>
    <row r="403" spans="1:24" ht="12.75" customHeight="1" x14ac:dyDescent="0.3">
      <c r="A403" s="35"/>
      <c r="B403" s="35"/>
      <c r="C403" s="35"/>
      <c r="D403" s="35"/>
      <c r="E403" s="35"/>
      <c r="F403" s="35"/>
      <c r="G403" s="35"/>
      <c r="H403" s="234" t="s">
        <v>1021</v>
      </c>
      <c r="I403" s="306" t="s">
        <v>1022</v>
      </c>
      <c r="J403" s="234">
        <f t="shared" si="16"/>
        <v>1.0016170945396912</v>
      </c>
      <c r="K403" s="315">
        <f t="shared" si="17"/>
        <v>1.6157884501732532E-3</v>
      </c>
      <c r="L403" s="234"/>
      <c r="M403" s="234"/>
      <c r="N403" s="234"/>
      <c r="O403" s="234"/>
      <c r="P403" s="234"/>
      <c r="Q403" s="234"/>
      <c r="R403" s="234"/>
      <c r="S403" s="35"/>
      <c r="T403" s="35"/>
      <c r="U403" s="35"/>
      <c r="V403" s="35"/>
      <c r="W403" s="35"/>
      <c r="X403" s="35"/>
    </row>
    <row r="404" spans="1:24" ht="12.75" customHeight="1" x14ac:dyDescent="0.3">
      <c r="A404" s="35"/>
      <c r="B404" s="35"/>
      <c r="C404" s="35"/>
      <c r="D404" s="35"/>
      <c r="E404" s="35"/>
      <c r="F404" s="35"/>
      <c r="G404" s="35"/>
      <c r="H404" s="234" t="s">
        <v>1023</v>
      </c>
      <c r="I404" s="306" t="s">
        <v>1024</v>
      </c>
      <c r="J404" s="234">
        <f t="shared" si="16"/>
        <v>0.99652051214212989</v>
      </c>
      <c r="K404" s="315">
        <f t="shared" si="17"/>
        <v>-3.4855553543554772E-3</v>
      </c>
      <c r="L404" s="234"/>
      <c r="M404" s="234"/>
      <c r="N404" s="234"/>
      <c r="O404" s="234"/>
      <c r="P404" s="234"/>
      <c r="Q404" s="234"/>
      <c r="R404" s="234"/>
      <c r="S404" s="35"/>
      <c r="T404" s="35"/>
      <c r="U404" s="35"/>
      <c r="V404" s="35"/>
      <c r="W404" s="35"/>
      <c r="X404" s="35"/>
    </row>
    <row r="405" spans="1:24" ht="12.75" customHeight="1" x14ac:dyDescent="0.3">
      <c r="A405" s="35"/>
      <c r="B405" s="35"/>
      <c r="C405" s="35"/>
      <c r="D405" s="35"/>
      <c r="E405" s="35"/>
      <c r="F405" s="35"/>
      <c r="G405" s="35"/>
      <c r="H405" s="234" t="s">
        <v>1025</v>
      </c>
      <c r="I405" s="306" t="s">
        <v>1026</v>
      </c>
      <c r="J405" s="234">
        <f t="shared" si="16"/>
        <v>0.99268603263032229</v>
      </c>
      <c r="K405" s="315">
        <f t="shared" si="17"/>
        <v>-7.3408455667163929E-3</v>
      </c>
      <c r="L405" s="234"/>
      <c r="M405" s="234"/>
      <c r="N405" s="234"/>
      <c r="O405" s="234"/>
      <c r="P405" s="234"/>
      <c r="Q405" s="234"/>
      <c r="R405" s="234"/>
      <c r="S405" s="35"/>
      <c r="T405" s="35"/>
      <c r="U405" s="35"/>
      <c r="V405" s="35"/>
      <c r="W405" s="35"/>
      <c r="X405" s="35"/>
    </row>
    <row r="406" spans="1:24" ht="12.75" customHeight="1" x14ac:dyDescent="0.3">
      <c r="A406" s="35"/>
      <c r="B406" s="35"/>
      <c r="C406" s="35"/>
      <c r="D406" s="35"/>
      <c r="E406" s="35"/>
      <c r="F406" s="35"/>
      <c r="G406" s="35"/>
      <c r="H406" s="234" t="s">
        <v>1027</v>
      </c>
      <c r="I406" s="306" t="s">
        <v>1028</v>
      </c>
      <c r="J406" s="234">
        <f t="shared" si="16"/>
        <v>0.98617084732992177</v>
      </c>
      <c r="K406" s="315">
        <f t="shared" si="17"/>
        <v>-1.3925666235481851E-2</v>
      </c>
      <c r="L406" s="234"/>
      <c r="M406" s="234"/>
      <c r="N406" s="234"/>
      <c r="O406" s="234"/>
      <c r="P406" s="234"/>
      <c r="Q406" s="234"/>
      <c r="R406" s="234"/>
      <c r="S406" s="35"/>
      <c r="T406" s="35"/>
      <c r="U406" s="35"/>
      <c r="V406" s="35"/>
      <c r="W406" s="35"/>
      <c r="X406" s="35"/>
    </row>
    <row r="407" spans="1:24" ht="12.75" customHeight="1" x14ac:dyDescent="0.3">
      <c r="A407" s="35"/>
      <c r="B407" s="35"/>
      <c r="C407" s="35"/>
      <c r="D407" s="35"/>
      <c r="E407" s="35"/>
      <c r="F407" s="35"/>
      <c r="G407" s="35"/>
      <c r="H407" s="234" t="s">
        <v>1029</v>
      </c>
      <c r="I407" s="306" t="s">
        <v>1030</v>
      </c>
      <c r="J407" s="234">
        <f t="shared" si="16"/>
        <v>0.99732298010238429</v>
      </c>
      <c r="K407" s="315">
        <f t="shared" si="17"/>
        <v>-2.6806095231456683E-3</v>
      </c>
      <c r="L407" s="234"/>
      <c r="M407" s="234"/>
      <c r="N407" s="234"/>
      <c r="O407" s="234"/>
      <c r="P407" s="234"/>
      <c r="Q407" s="234"/>
      <c r="R407" s="234"/>
      <c r="S407" s="35"/>
      <c r="T407" s="35"/>
      <c r="U407" s="35"/>
      <c r="V407" s="35"/>
      <c r="W407" s="35"/>
      <c r="X407" s="35"/>
    </row>
    <row r="408" spans="1:24" ht="12.75" customHeight="1" x14ac:dyDescent="0.3">
      <c r="A408" s="35"/>
      <c r="B408" s="35"/>
      <c r="C408" s="35"/>
      <c r="D408" s="35"/>
      <c r="E408" s="35"/>
      <c r="F408" s="35"/>
      <c r="G408" s="35"/>
      <c r="H408" s="234" t="s">
        <v>1031</v>
      </c>
      <c r="I408" s="306" t="s">
        <v>1032</v>
      </c>
      <c r="J408" s="234">
        <f t="shared" si="16"/>
        <v>0.99690209206326907</v>
      </c>
      <c r="K408" s="315">
        <f t="shared" si="17"/>
        <v>-3.1027163868483027E-3</v>
      </c>
      <c r="L408" s="234"/>
      <c r="M408" s="234"/>
      <c r="N408" s="234"/>
      <c r="O408" s="234"/>
      <c r="P408" s="234"/>
      <c r="Q408" s="234"/>
      <c r="R408" s="234"/>
      <c r="S408" s="35"/>
      <c r="T408" s="35"/>
      <c r="U408" s="35"/>
      <c r="V408" s="35"/>
      <c r="W408" s="35"/>
      <c r="X408" s="35"/>
    </row>
    <row r="409" spans="1:24" ht="12.75" customHeight="1" x14ac:dyDescent="0.3">
      <c r="A409" s="35"/>
      <c r="B409" s="35"/>
      <c r="C409" s="35"/>
      <c r="D409" s="35"/>
      <c r="E409" s="35"/>
      <c r="F409" s="35"/>
      <c r="G409" s="35"/>
      <c r="H409" s="234" t="s">
        <v>1033</v>
      </c>
      <c r="I409" s="306" t="s">
        <v>1034</v>
      </c>
      <c r="J409" s="234">
        <f t="shared" si="16"/>
        <v>0.99899438727782974</v>
      </c>
      <c r="K409" s="315">
        <f t="shared" si="17"/>
        <v>-1.0061186898772355E-3</v>
      </c>
      <c r="L409" s="234"/>
      <c r="M409" s="234"/>
      <c r="N409" s="234"/>
      <c r="O409" s="234"/>
      <c r="P409" s="234"/>
      <c r="Q409" s="234"/>
      <c r="R409" s="234"/>
      <c r="S409" s="35"/>
      <c r="T409" s="35"/>
      <c r="U409" s="35"/>
      <c r="V409" s="35"/>
      <c r="W409" s="35"/>
      <c r="X409" s="35"/>
    </row>
    <row r="410" spans="1:24" ht="12.75" customHeight="1" x14ac:dyDescent="0.3">
      <c r="A410" s="35"/>
      <c r="B410" s="35"/>
      <c r="C410" s="35"/>
      <c r="D410" s="35"/>
      <c r="E410" s="35"/>
      <c r="F410" s="35"/>
      <c r="G410" s="35"/>
      <c r="H410" s="234" t="s">
        <v>1035</v>
      </c>
      <c r="I410" s="306" t="s">
        <v>1036</v>
      </c>
      <c r="J410" s="234">
        <f t="shared" si="16"/>
        <v>1.0019604933257309</v>
      </c>
      <c r="K410" s="315">
        <f t="shared" si="17"/>
        <v>1.9585740667443416E-3</v>
      </c>
      <c r="L410" s="234"/>
      <c r="M410" s="234"/>
      <c r="N410" s="234"/>
      <c r="O410" s="234"/>
      <c r="P410" s="234"/>
      <c r="Q410" s="234"/>
      <c r="R410" s="234"/>
      <c r="S410" s="35"/>
      <c r="T410" s="35"/>
      <c r="U410" s="35"/>
      <c r="V410" s="35"/>
      <c r="W410" s="35"/>
      <c r="X410" s="35"/>
    </row>
    <row r="411" spans="1:24" ht="12.75" customHeight="1" x14ac:dyDescent="0.3">
      <c r="A411" s="35"/>
      <c r="B411" s="35"/>
      <c r="C411" s="35"/>
      <c r="D411" s="35"/>
      <c r="E411" s="35"/>
      <c r="F411" s="35"/>
      <c r="G411" s="35"/>
      <c r="H411" s="234" t="s">
        <v>1037</v>
      </c>
      <c r="I411" s="306" t="s">
        <v>1038</v>
      </c>
      <c r="J411" s="234">
        <f t="shared" si="16"/>
        <v>0.99622609209891533</v>
      </c>
      <c r="K411" s="315">
        <f t="shared" si="17"/>
        <v>-3.781047058850415E-3</v>
      </c>
      <c r="L411" s="234"/>
      <c r="M411" s="234"/>
      <c r="N411" s="234"/>
      <c r="O411" s="234"/>
      <c r="P411" s="234"/>
      <c r="Q411" s="234"/>
      <c r="R411" s="234"/>
      <c r="S411" s="35"/>
      <c r="T411" s="35"/>
      <c r="U411" s="35"/>
      <c r="V411" s="35"/>
      <c r="W411" s="35"/>
      <c r="X411" s="35"/>
    </row>
    <row r="412" spans="1:24" ht="12.75" customHeight="1" x14ac:dyDescent="0.3">
      <c r="A412" s="35"/>
      <c r="B412" s="35"/>
      <c r="C412" s="35"/>
      <c r="D412" s="35"/>
      <c r="E412" s="35"/>
      <c r="F412" s="35"/>
      <c r="G412" s="35"/>
      <c r="H412" s="234" t="s">
        <v>1039</v>
      </c>
      <c r="I412" s="306" t="s">
        <v>1040</v>
      </c>
      <c r="J412" s="234">
        <f t="shared" si="16"/>
        <v>1.0028012953064649</v>
      </c>
      <c r="K412" s="315">
        <f t="shared" si="17"/>
        <v>2.7973789909006798E-3</v>
      </c>
      <c r="L412" s="234"/>
      <c r="M412" s="234"/>
      <c r="N412" s="234"/>
      <c r="O412" s="234"/>
      <c r="P412" s="234"/>
      <c r="Q412" s="234"/>
      <c r="R412" s="234"/>
      <c r="S412" s="35"/>
      <c r="T412" s="35"/>
      <c r="U412" s="35"/>
      <c r="V412" s="35"/>
      <c r="W412" s="35"/>
      <c r="X412" s="35"/>
    </row>
    <row r="413" spans="1:24" ht="12.75" customHeight="1" x14ac:dyDescent="0.3">
      <c r="A413" s="35"/>
      <c r="B413" s="35"/>
      <c r="C413" s="35"/>
      <c r="D413" s="35"/>
      <c r="E413" s="35"/>
      <c r="F413" s="35"/>
      <c r="G413" s="35"/>
      <c r="H413" s="234" t="s">
        <v>1041</v>
      </c>
      <c r="I413" s="306" t="s">
        <v>1042</v>
      </c>
      <c r="J413" s="234">
        <f t="shared" si="16"/>
        <v>1.0043495297805642</v>
      </c>
      <c r="K413" s="315">
        <f t="shared" si="17"/>
        <v>4.3400979154701374E-3</v>
      </c>
      <c r="L413" s="234"/>
      <c r="M413" s="234"/>
      <c r="N413" s="234"/>
      <c r="O413" s="234"/>
      <c r="P413" s="234"/>
      <c r="Q413" s="234"/>
      <c r="R413" s="234"/>
      <c r="S413" s="35"/>
      <c r="T413" s="35"/>
      <c r="U413" s="35"/>
      <c r="V413" s="35"/>
      <c r="W413" s="35"/>
      <c r="X413" s="35"/>
    </row>
    <row r="414" spans="1:24" ht="12.75" customHeight="1" x14ac:dyDescent="0.3">
      <c r="A414" s="35"/>
      <c r="B414" s="35"/>
      <c r="C414" s="35"/>
      <c r="D414" s="35"/>
      <c r="E414" s="35"/>
      <c r="F414" s="35"/>
      <c r="G414" s="35"/>
      <c r="H414" s="234" t="s">
        <v>1043</v>
      </c>
      <c r="I414" s="306" t="s">
        <v>1044</v>
      </c>
      <c r="J414" s="234">
        <f t="shared" si="16"/>
        <v>0.99541298717508664</v>
      </c>
      <c r="K414" s="315">
        <f t="shared" si="17"/>
        <v>-4.5975654506264924E-3</v>
      </c>
      <c r="L414" s="234"/>
      <c r="M414" s="234"/>
      <c r="N414" s="234"/>
      <c r="O414" s="234"/>
      <c r="P414" s="234"/>
      <c r="Q414" s="234"/>
      <c r="R414" s="234"/>
      <c r="S414" s="35"/>
      <c r="T414" s="35"/>
      <c r="U414" s="35"/>
      <c r="V414" s="35"/>
      <c r="W414" s="35"/>
      <c r="X414" s="35"/>
    </row>
    <row r="415" spans="1:24" ht="12.75" customHeight="1" x14ac:dyDescent="0.3">
      <c r="A415" s="35"/>
      <c r="B415" s="35"/>
      <c r="C415" s="35"/>
      <c r="D415" s="35"/>
      <c r="E415" s="35"/>
      <c r="F415" s="35"/>
      <c r="G415" s="35"/>
      <c r="H415" s="234" t="s">
        <v>1045</v>
      </c>
      <c r="I415" s="306" t="s">
        <v>1046</v>
      </c>
      <c r="J415" s="234">
        <f t="shared" si="16"/>
        <v>0.99011338709179098</v>
      </c>
      <c r="K415" s="315">
        <f t="shared" si="17"/>
        <v>-9.9358099958873555E-3</v>
      </c>
      <c r="L415" s="234"/>
      <c r="M415" s="234"/>
      <c r="N415" s="234"/>
      <c r="O415" s="234"/>
      <c r="P415" s="234"/>
      <c r="Q415" s="234"/>
      <c r="R415" s="234"/>
      <c r="S415" s="35"/>
      <c r="T415" s="35"/>
      <c r="U415" s="35"/>
      <c r="V415" s="35"/>
      <c r="W415" s="35"/>
      <c r="X415" s="35"/>
    </row>
    <row r="416" spans="1:24" ht="12.75" customHeight="1" x14ac:dyDescent="0.3">
      <c r="A416" s="35"/>
      <c r="B416" s="35"/>
      <c r="C416" s="35"/>
      <c r="D416" s="35"/>
      <c r="E416" s="35"/>
      <c r="F416" s="35"/>
      <c r="G416" s="35"/>
      <c r="H416" s="234" t="s">
        <v>1047</v>
      </c>
      <c r="I416" s="306" t="s">
        <v>1048</v>
      </c>
      <c r="J416" s="234">
        <f t="shared" si="16"/>
        <v>1.0019967494775945</v>
      </c>
      <c r="K416" s="315">
        <f t="shared" si="17"/>
        <v>1.9947586230743782E-3</v>
      </c>
      <c r="L416" s="234"/>
      <c r="M416" s="234"/>
      <c r="N416" s="234"/>
      <c r="O416" s="234"/>
      <c r="P416" s="234"/>
      <c r="Q416" s="234"/>
      <c r="R416" s="234"/>
      <c r="S416" s="35"/>
      <c r="T416" s="35"/>
      <c r="U416" s="35"/>
      <c r="V416" s="35"/>
      <c r="W416" s="35"/>
      <c r="X416" s="35"/>
    </row>
    <row r="417" spans="1:24" ht="12.75" customHeight="1" x14ac:dyDescent="0.3">
      <c r="A417" s="35"/>
      <c r="B417" s="35"/>
      <c r="C417" s="35"/>
      <c r="D417" s="35"/>
      <c r="E417" s="35"/>
      <c r="F417" s="35"/>
      <c r="G417" s="35"/>
      <c r="H417" s="234" t="s">
        <v>1049</v>
      </c>
      <c r="I417" s="306" t="s">
        <v>1050</v>
      </c>
      <c r="J417" s="234">
        <f t="shared" si="16"/>
        <v>1.0057914156274812</v>
      </c>
      <c r="K417" s="315">
        <f t="shared" si="17"/>
        <v>5.7747098490338938E-3</v>
      </c>
      <c r="L417" s="234"/>
      <c r="M417" s="234"/>
      <c r="N417" s="234"/>
      <c r="O417" s="234"/>
      <c r="P417" s="234"/>
      <c r="Q417" s="234"/>
      <c r="R417" s="234"/>
      <c r="S417" s="35"/>
      <c r="T417" s="35"/>
      <c r="U417" s="35"/>
      <c r="V417" s="35"/>
      <c r="W417" s="35"/>
      <c r="X417" s="35"/>
    </row>
    <row r="418" spans="1:24" ht="12.75" customHeight="1" x14ac:dyDescent="0.3">
      <c r="A418" s="35"/>
      <c r="B418" s="35"/>
      <c r="C418" s="35"/>
      <c r="D418" s="35"/>
      <c r="E418" s="35"/>
      <c r="F418" s="35"/>
      <c r="G418" s="35"/>
      <c r="H418" s="234" t="s">
        <v>1051</v>
      </c>
      <c r="I418" s="306" t="s">
        <v>1052</v>
      </c>
      <c r="J418" s="234">
        <f t="shared" si="16"/>
        <v>0.99968873048729245</v>
      </c>
      <c r="K418" s="315">
        <f t="shared" si="17"/>
        <v>-3.1131796711749782E-4</v>
      </c>
      <c r="L418" s="234"/>
      <c r="M418" s="234"/>
      <c r="N418" s="234"/>
      <c r="O418" s="234"/>
      <c r="P418" s="234"/>
      <c r="Q418" s="234"/>
      <c r="R418" s="234"/>
      <c r="S418" s="35"/>
      <c r="T418" s="35"/>
      <c r="U418" s="35"/>
      <c r="V418" s="35"/>
      <c r="W418" s="35"/>
      <c r="X418" s="35"/>
    </row>
    <row r="419" spans="1:24" ht="12.75" customHeight="1" x14ac:dyDescent="0.3">
      <c r="A419" s="35"/>
      <c r="B419" s="35"/>
      <c r="C419" s="35"/>
      <c r="D419" s="35"/>
      <c r="E419" s="35"/>
      <c r="F419" s="35"/>
      <c r="G419" s="35"/>
      <c r="H419" s="234" t="s">
        <v>1053</v>
      </c>
      <c r="I419" s="306" t="s">
        <v>1054</v>
      </c>
      <c r="J419" s="234">
        <f t="shared" si="16"/>
        <v>1.0108235664280658</v>
      </c>
      <c r="K419" s="315">
        <f t="shared" si="17"/>
        <v>1.0765410890181496E-2</v>
      </c>
      <c r="L419" s="234"/>
      <c r="M419" s="234"/>
      <c r="N419" s="234"/>
      <c r="O419" s="234"/>
      <c r="P419" s="234"/>
      <c r="Q419" s="234"/>
      <c r="R419" s="234"/>
      <c r="S419" s="35"/>
      <c r="T419" s="35"/>
      <c r="U419" s="35"/>
      <c r="V419" s="35"/>
      <c r="W419" s="35"/>
      <c r="X419" s="35"/>
    </row>
    <row r="420" spans="1:24" ht="12.75" customHeight="1" x14ac:dyDescent="0.3">
      <c r="A420" s="35"/>
      <c r="B420" s="35"/>
      <c r="C420" s="35"/>
      <c r="D420" s="35"/>
      <c r="E420" s="35"/>
      <c r="F420" s="35"/>
      <c r="G420" s="35"/>
      <c r="H420" s="234" t="s">
        <v>1055</v>
      </c>
      <c r="I420" s="306" t="s">
        <v>1056</v>
      </c>
      <c r="J420" s="234">
        <f t="shared" si="16"/>
        <v>1.0095611708463701</v>
      </c>
      <c r="K420" s="315">
        <f t="shared" si="17"/>
        <v>9.515752126986304E-3</v>
      </c>
      <c r="L420" s="234"/>
      <c r="M420" s="234"/>
      <c r="N420" s="234"/>
      <c r="O420" s="234"/>
      <c r="P420" s="234"/>
      <c r="Q420" s="234"/>
      <c r="R420" s="234"/>
      <c r="S420" s="35"/>
      <c r="T420" s="35"/>
      <c r="U420" s="35"/>
      <c r="V420" s="35"/>
      <c r="W420" s="35"/>
      <c r="X420" s="35"/>
    </row>
    <row r="421" spans="1:24" ht="12.75" customHeight="1" x14ac:dyDescent="0.3">
      <c r="A421" s="35"/>
      <c r="B421" s="35"/>
      <c r="C421" s="35"/>
      <c r="D421" s="35"/>
      <c r="E421" s="35"/>
      <c r="F421" s="35"/>
      <c r="G421" s="35"/>
      <c r="H421" s="234" t="s">
        <v>1057</v>
      </c>
      <c r="I421" s="306" t="s">
        <v>1058</v>
      </c>
      <c r="J421" s="234">
        <f t="shared" si="16"/>
        <v>0.98880268861109366</v>
      </c>
      <c r="K421" s="315">
        <f t="shared" si="17"/>
        <v>-1.1260473217790001E-2</v>
      </c>
      <c r="L421" s="234"/>
      <c r="M421" s="234"/>
      <c r="N421" s="234"/>
      <c r="O421" s="234"/>
      <c r="P421" s="234"/>
      <c r="Q421" s="234"/>
      <c r="R421" s="234"/>
      <c r="S421" s="35"/>
      <c r="T421" s="35"/>
      <c r="U421" s="35"/>
      <c r="V421" s="35"/>
      <c r="W421" s="35"/>
      <c r="X421" s="35"/>
    </row>
    <row r="422" spans="1:24" ht="12.75" customHeight="1" x14ac:dyDescent="0.3">
      <c r="A422" s="35"/>
      <c r="B422" s="35"/>
      <c r="C422" s="35"/>
      <c r="D422" s="35"/>
      <c r="E422" s="35"/>
      <c r="F422" s="35"/>
      <c r="G422" s="35"/>
      <c r="H422" s="234" t="s">
        <v>1059</v>
      </c>
      <c r="I422" s="306" t="s">
        <v>1060</v>
      </c>
      <c r="J422" s="234">
        <f t="shared" si="16"/>
        <v>1.0065203474357252</v>
      </c>
      <c r="K422" s="315">
        <f t="shared" si="17"/>
        <v>6.49918192488819E-3</v>
      </c>
      <c r="L422" s="234"/>
      <c r="M422" s="234"/>
      <c r="N422" s="234"/>
      <c r="O422" s="234"/>
      <c r="P422" s="234"/>
      <c r="Q422" s="234"/>
      <c r="R422" s="234"/>
      <c r="S422" s="35"/>
      <c r="T422" s="35"/>
      <c r="U422" s="35"/>
      <c r="V422" s="35"/>
      <c r="W422" s="35"/>
      <c r="X422" s="35"/>
    </row>
    <row r="423" spans="1:24" ht="12.75" customHeight="1" x14ac:dyDescent="0.3">
      <c r="A423" s="35"/>
      <c r="B423" s="35"/>
      <c r="C423" s="35"/>
      <c r="D423" s="35"/>
      <c r="E423" s="35"/>
      <c r="F423" s="35"/>
      <c r="G423" s="35"/>
      <c r="H423" s="234" t="s">
        <v>1061</v>
      </c>
      <c r="I423" s="306" t="s">
        <v>1062</v>
      </c>
      <c r="J423" s="234">
        <f t="shared" si="16"/>
        <v>1.0150500196548764</v>
      </c>
      <c r="K423" s="315">
        <f t="shared" si="17"/>
        <v>1.4937891727663351E-2</v>
      </c>
      <c r="L423" s="234"/>
      <c r="M423" s="234"/>
      <c r="N423" s="234"/>
      <c r="O423" s="234"/>
      <c r="P423" s="234"/>
      <c r="Q423" s="234"/>
      <c r="R423" s="234"/>
      <c r="S423" s="35"/>
      <c r="T423" s="35"/>
      <c r="U423" s="35"/>
      <c r="V423" s="35"/>
      <c r="W423" s="35"/>
      <c r="X423" s="35"/>
    </row>
    <row r="424" spans="1:24" ht="12.75" customHeight="1" x14ac:dyDescent="0.3">
      <c r="A424" s="35"/>
      <c r="B424" s="35"/>
      <c r="C424" s="35"/>
      <c r="D424" s="35"/>
      <c r="E424" s="35"/>
      <c r="F424" s="35"/>
      <c r="G424" s="35"/>
      <c r="H424" s="234" t="s">
        <v>1063</v>
      </c>
      <c r="I424" s="306" t="s">
        <v>1064</v>
      </c>
      <c r="J424" s="234">
        <f t="shared" si="16"/>
        <v>0.99946278804984046</v>
      </c>
      <c r="K424" s="315">
        <f t="shared" si="17"/>
        <v>-5.3735630019926715E-4</v>
      </c>
      <c r="L424" s="234"/>
      <c r="M424" s="234"/>
      <c r="N424" s="234"/>
      <c r="O424" s="234"/>
      <c r="P424" s="234"/>
      <c r="Q424" s="234"/>
      <c r="R424" s="234"/>
      <c r="S424" s="35"/>
      <c r="T424" s="35"/>
      <c r="U424" s="35"/>
      <c r="V424" s="35"/>
      <c r="W424" s="35"/>
      <c r="X424" s="35"/>
    </row>
    <row r="425" spans="1:24" ht="12.75" customHeight="1" x14ac:dyDescent="0.3">
      <c r="A425" s="35"/>
      <c r="B425" s="35"/>
      <c r="C425" s="35"/>
      <c r="D425" s="35"/>
      <c r="E425" s="35"/>
      <c r="F425" s="35"/>
      <c r="G425" s="35"/>
      <c r="H425" s="234" t="s">
        <v>1065</v>
      </c>
      <c r="I425" s="306" t="s">
        <v>1066</v>
      </c>
      <c r="J425" s="234">
        <f t="shared" si="16"/>
        <v>0.99655610512269377</v>
      </c>
      <c r="K425" s="315">
        <f t="shared" si="17"/>
        <v>-3.4498387338710019E-3</v>
      </c>
      <c r="L425" s="234"/>
      <c r="M425" s="234"/>
      <c r="N425" s="234"/>
      <c r="O425" s="234"/>
      <c r="P425" s="234"/>
      <c r="Q425" s="234"/>
      <c r="R425" s="234"/>
      <c r="S425" s="35"/>
      <c r="T425" s="35"/>
      <c r="U425" s="35"/>
      <c r="V425" s="35"/>
      <c r="W425" s="35"/>
      <c r="X425" s="35"/>
    </row>
    <row r="426" spans="1:24" ht="12.75" customHeight="1" x14ac:dyDescent="0.3">
      <c r="A426" s="35"/>
      <c r="B426" s="35"/>
      <c r="C426" s="35"/>
      <c r="D426" s="35"/>
      <c r="E426" s="35"/>
      <c r="F426" s="35"/>
      <c r="G426" s="35"/>
      <c r="H426" s="234" t="s">
        <v>1067</v>
      </c>
      <c r="I426" s="306" t="s">
        <v>1068</v>
      </c>
      <c r="J426" s="234">
        <f t="shared" si="16"/>
        <v>0.99663141464657723</v>
      </c>
      <c r="K426" s="315">
        <f t="shared" si="17"/>
        <v>-3.3742718108671745E-3</v>
      </c>
      <c r="L426" s="234"/>
      <c r="M426" s="234"/>
      <c r="N426" s="234"/>
      <c r="O426" s="234"/>
      <c r="P426" s="234"/>
      <c r="Q426" s="234"/>
      <c r="R426" s="234"/>
      <c r="S426" s="35"/>
      <c r="T426" s="35"/>
      <c r="U426" s="35"/>
      <c r="V426" s="35"/>
      <c r="W426" s="35"/>
      <c r="X426" s="35"/>
    </row>
    <row r="427" spans="1:24" ht="12.75" customHeight="1" x14ac:dyDescent="0.3">
      <c r="A427" s="35"/>
      <c r="B427" s="35"/>
      <c r="C427" s="35"/>
      <c r="D427" s="35"/>
      <c r="E427" s="35"/>
      <c r="F427" s="35"/>
      <c r="G427" s="35"/>
      <c r="H427" s="234" t="s">
        <v>1069</v>
      </c>
      <c r="I427" s="306" t="s">
        <v>1070</v>
      </c>
      <c r="J427" s="234">
        <f t="shared" si="16"/>
        <v>1.0035804481953903</v>
      </c>
      <c r="K427" s="315">
        <f t="shared" si="17"/>
        <v>3.5740536497643788E-3</v>
      </c>
      <c r="L427" s="234"/>
      <c r="M427" s="234"/>
      <c r="N427" s="234"/>
      <c r="O427" s="234"/>
      <c r="P427" s="234"/>
      <c r="Q427" s="234"/>
      <c r="R427" s="234"/>
      <c r="S427" s="35"/>
      <c r="T427" s="35"/>
      <c r="U427" s="35"/>
      <c r="V427" s="35"/>
      <c r="W427" s="35"/>
      <c r="X427" s="35"/>
    </row>
    <row r="428" spans="1:24" ht="12.75" customHeight="1" x14ac:dyDescent="0.3">
      <c r="A428" s="35"/>
      <c r="B428" s="35"/>
      <c r="C428" s="35"/>
      <c r="D428" s="35"/>
      <c r="E428" s="35"/>
      <c r="F428" s="35"/>
      <c r="G428" s="35"/>
      <c r="H428" s="234" t="s">
        <v>1071</v>
      </c>
      <c r="I428" s="306" t="s">
        <v>1072</v>
      </c>
      <c r="J428" s="234">
        <f t="shared" si="16"/>
        <v>1.0074639484045509</v>
      </c>
      <c r="K428" s="315">
        <f t="shared" si="17"/>
        <v>7.4362309771768206E-3</v>
      </c>
      <c r="L428" s="234"/>
      <c r="M428" s="234"/>
      <c r="N428" s="234"/>
      <c r="O428" s="234"/>
      <c r="P428" s="234"/>
      <c r="Q428" s="234"/>
      <c r="R428" s="234"/>
      <c r="S428" s="35"/>
      <c r="T428" s="35"/>
      <c r="U428" s="35"/>
      <c r="V428" s="35"/>
      <c r="W428" s="35"/>
      <c r="X428" s="35"/>
    </row>
    <row r="429" spans="1:24" ht="12.75" customHeight="1" x14ac:dyDescent="0.3">
      <c r="A429" s="35"/>
      <c r="B429" s="35"/>
      <c r="C429" s="35"/>
      <c r="D429" s="35"/>
      <c r="E429" s="35"/>
      <c r="F429" s="35"/>
      <c r="G429" s="35"/>
      <c r="H429" s="234" t="s">
        <v>1073</v>
      </c>
      <c r="I429" s="306" t="s">
        <v>1074</v>
      </c>
      <c r="J429" s="234">
        <f t="shared" si="16"/>
        <v>1.0002093886656305</v>
      </c>
      <c r="K429" s="315">
        <f t="shared" si="17"/>
        <v>2.0936674688346304E-4</v>
      </c>
      <c r="L429" s="234"/>
      <c r="M429" s="234"/>
      <c r="N429" s="234"/>
      <c r="O429" s="234"/>
      <c r="P429" s="234"/>
      <c r="Q429" s="234"/>
      <c r="R429" s="234"/>
      <c r="S429" s="35"/>
      <c r="T429" s="35"/>
      <c r="U429" s="35"/>
      <c r="V429" s="35"/>
      <c r="W429" s="35"/>
      <c r="X429" s="35"/>
    </row>
    <row r="430" spans="1:24" ht="12.75" customHeight="1" x14ac:dyDescent="0.3">
      <c r="A430" s="35"/>
      <c r="B430" s="35"/>
      <c r="C430" s="35"/>
      <c r="D430" s="35"/>
      <c r="E430" s="35"/>
      <c r="F430" s="35"/>
      <c r="G430" s="35"/>
      <c r="H430" s="234" t="s">
        <v>1075</v>
      </c>
      <c r="I430" s="306" t="s">
        <v>1076</v>
      </c>
      <c r="J430" s="234">
        <f t="shared" si="16"/>
        <v>0.99824743345472666</v>
      </c>
      <c r="K430" s="315">
        <f t="shared" si="17"/>
        <v>-1.754104086712878E-3</v>
      </c>
      <c r="L430" s="234"/>
      <c r="M430" s="234"/>
      <c r="N430" s="234"/>
      <c r="O430" s="234"/>
      <c r="P430" s="234"/>
      <c r="Q430" s="234"/>
      <c r="R430" s="234"/>
      <c r="S430" s="35"/>
      <c r="T430" s="35"/>
      <c r="U430" s="35"/>
      <c r="V430" s="35"/>
      <c r="W430" s="35"/>
      <c r="X430" s="35"/>
    </row>
    <row r="431" spans="1:24" ht="12.75" customHeight="1" x14ac:dyDescent="0.3">
      <c r="A431" s="35"/>
      <c r="B431" s="35"/>
      <c r="C431" s="35"/>
      <c r="D431" s="35"/>
      <c r="E431" s="35"/>
      <c r="F431" s="35"/>
      <c r="G431" s="35"/>
      <c r="H431" s="234" t="s">
        <v>1077</v>
      </c>
      <c r="I431" s="306" t="s">
        <v>1078</v>
      </c>
      <c r="J431" s="234">
        <f t="shared" si="16"/>
        <v>0.99260270037345588</v>
      </c>
      <c r="K431" s="315">
        <f t="shared" si="17"/>
        <v>-7.4247953273028702E-3</v>
      </c>
      <c r="L431" s="234"/>
      <c r="M431" s="234"/>
      <c r="N431" s="234"/>
      <c r="O431" s="234"/>
      <c r="P431" s="234"/>
      <c r="Q431" s="234"/>
      <c r="R431" s="234"/>
      <c r="S431" s="35"/>
      <c r="T431" s="35"/>
      <c r="U431" s="35"/>
      <c r="V431" s="35"/>
      <c r="W431" s="35"/>
      <c r="X431" s="35"/>
    </row>
    <row r="432" spans="1:24" ht="12.75" customHeight="1" x14ac:dyDescent="0.3">
      <c r="A432" s="35"/>
      <c r="B432" s="35"/>
      <c r="C432" s="35"/>
      <c r="D432" s="35"/>
      <c r="E432" s="35"/>
      <c r="F432" s="35"/>
      <c r="G432" s="35"/>
      <c r="H432" s="234" t="s">
        <v>1079</v>
      </c>
      <c r="I432" s="306" t="s">
        <v>1080</v>
      </c>
      <c r="J432" s="234">
        <f t="shared" si="16"/>
        <v>0.99499785622409609</v>
      </c>
      <c r="K432" s="315">
        <f t="shared" si="17"/>
        <v>-5.0146963745124722E-3</v>
      </c>
      <c r="L432" s="234"/>
      <c r="M432" s="234"/>
      <c r="N432" s="234"/>
      <c r="O432" s="234"/>
      <c r="P432" s="234"/>
      <c r="Q432" s="234"/>
      <c r="R432" s="234"/>
      <c r="S432" s="35"/>
      <c r="T432" s="35"/>
      <c r="U432" s="35"/>
      <c r="V432" s="35"/>
      <c r="W432" s="35"/>
      <c r="X432" s="35"/>
    </row>
    <row r="433" spans="1:24" ht="12.75" customHeight="1" x14ac:dyDescent="0.3">
      <c r="A433" s="35"/>
      <c r="B433" s="35"/>
      <c r="C433" s="35"/>
      <c r="D433" s="35"/>
      <c r="E433" s="35"/>
      <c r="F433" s="35"/>
      <c r="G433" s="35"/>
      <c r="H433" s="234" t="s">
        <v>1081</v>
      </c>
      <c r="I433" s="306" t="s">
        <v>754</v>
      </c>
      <c r="J433" s="234">
        <f t="shared" si="16"/>
        <v>0.98861816697541527</v>
      </c>
      <c r="K433" s="315">
        <f t="shared" si="17"/>
        <v>-1.1447101810982662E-2</v>
      </c>
      <c r="L433" s="234"/>
      <c r="M433" s="234"/>
      <c r="N433" s="234"/>
      <c r="O433" s="234"/>
      <c r="P433" s="234"/>
      <c r="Q433" s="234"/>
      <c r="R433" s="234"/>
      <c r="S433" s="35"/>
      <c r="T433" s="35"/>
      <c r="U433" s="35"/>
      <c r="V433" s="35"/>
      <c r="W433" s="35"/>
      <c r="X433" s="35"/>
    </row>
    <row r="434" spans="1:24" ht="12.75" customHeight="1" x14ac:dyDescent="0.3">
      <c r="A434" s="35"/>
      <c r="B434" s="35"/>
      <c r="C434" s="35"/>
      <c r="D434" s="35"/>
      <c r="E434" s="35"/>
      <c r="F434" s="35"/>
      <c r="G434" s="35"/>
      <c r="H434" s="234" t="s">
        <v>1082</v>
      </c>
      <c r="I434" s="306" t="s">
        <v>1083</v>
      </c>
      <c r="J434" s="234">
        <f t="shared" si="16"/>
        <v>0.9948848505673521</v>
      </c>
      <c r="K434" s="315">
        <f t="shared" si="17"/>
        <v>-5.1282765935673847E-3</v>
      </c>
      <c r="L434" s="234"/>
      <c r="M434" s="234"/>
      <c r="N434" s="234"/>
      <c r="O434" s="234"/>
      <c r="P434" s="234"/>
      <c r="Q434" s="234"/>
      <c r="R434" s="234"/>
      <c r="S434" s="35"/>
      <c r="T434" s="35"/>
      <c r="U434" s="35"/>
      <c r="V434" s="35"/>
      <c r="W434" s="35"/>
      <c r="X434" s="35"/>
    </row>
    <row r="435" spans="1:24" ht="12.75" customHeight="1" x14ac:dyDescent="0.3">
      <c r="A435" s="35"/>
      <c r="B435" s="35"/>
      <c r="C435" s="35"/>
      <c r="D435" s="35"/>
      <c r="E435" s="35"/>
      <c r="F435" s="35"/>
      <c r="G435" s="35"/>
      <c r="H435" s="234" t="s">
        <v>1084</v>
      </c>
      <c r="I435" s="306" t="s">
        <v>1085</v>
      </c>
      <c r="J435" s="234">
        <f t="shared" si="16"/>
        <v>0.98597850190957248</v>
      </c>
      <c r="K435" s="315">
        <f t="shared" si="17"/>
        <v>-1.4120727954345432E-2</v>
      </c>
      <c r="L435" s="234"/>
      <c r="M435" s="234"/>
      <c r="N435" s="234"/>
      <c r="O435" s="234"/>
      <c r="P435" s="234"/>
      <c r="Q435" s="234"/>
      <c r="R435" s="234"/>
      <c r="S435" s="35"/>
      <c r="T435" s="35"/>
      <c r="U435" s="35"/>
      <c r="V435" s="35"/>
      <c r="W435" s="35"/>
      <c r="X435" s="35"/>
    </row>
    <row r="436" spans="1:24" ht="12.75" customHeight="1" x14ac:dyDescent="0.3">
      <c r="A436" s="35"/>
      <c r="B436" s="35"/>
      <c r="C436" s="35"/>
      <c r="D436" s="35"/>
      <c r="E436" s="35"/>
      <c r="F436" s="35"/>
      <c r="G436" s="35"/>
      <c r="H436" s="234" t="s">
        <v>1086</v>
      </c>
      <c r="I436" s="306" t="s">
        <v>1087</v>
      </c>
      <c r="J436" s="234">
        <f t="shared" si="16"/>
        <v>1.0078691272563598</v>
      </c>
      <c r="K436" s="315">
        <f t="shared" si="17"/>
        <v>7.8383271489326362E-3</v>
      </c>
      <c r="L436" s="234"/>
      <c r="M436" s="234"/>
      <c r="N436" s="234"/>
      <c r="O436" s="234"/>
      <c r="P436" s="234"/>
      <c r="Q436" s="234"/>
      <c r="R436" s="234"/>
      <c r="S436" s="35"/>
      <c r="T436" s="35"/>
      <c r="U436" s="35"/>
      <c r="V436" s="35"/>
      <c r="W436" s="35"/>
      <c r="X436" s="35"/>
    </row>
    <row r="437" spans="1:24" ht="12.75" customHeight="1" x14ac:dyDescent="0.3">
      <c r="A437" s="35"/>
      <c r="B437" s="35"/>
      <c r="C437" s="35"/>
      <c r="D437" s="35"/>
      <c r="E437" s="35"/>
      <c r="F437" s="35"/>
      <c r="G437" s="35"/>
      <c r="H437" s="234" t="s">
        <v>1088</v>
      </c>
      <c r="I437" s="306" t="s">
        <v>1089</v>
      </c>
      <c r="J437" s="234">
        <f t="shared" si="16"/>
        <v>1.0162623426606519</v>
      </c>
      <c r="K437" s="315">
        <f t="shared" si="17"/>
        <v>1.6131527105664161E-2</v>
      </c>
      <c r="L437" s="234"/>
      <c r="M437" s="234"/>
      <c r="N437" s="234"/>
      <c r="O437" s="234"/>
      <c r="P437" s="234"/>
      <c r="Q437" s="234"/>
      <c r="R437" s="234"/>
      <c r="S437" s="35"/>
      <c r="T437" s="35"/>
      <c r="U437" s="35"/>
      <c r="V437" s="35"/>
      <c r="W437" s="35"/>
      <c r="X437" s="35"/>
    </row>
    <row r="438" spans="1:24" ht="12.75" customHeight="1" x14ac:dyDescent="0.3">
      <c r="A438" s="35"/>
      <c r="B438" s="35"/>
      <c r="C438" s="35"/>
      <c r="D438" s="35"/>
      <c r="E438" s="35"/>
      <c r="F438" s="35"/>
      <c r="G438" s="35"/>
      <c r="H438" s="234" t="s">
        <v>1090</v>
      </c>
      <c r="I438" s="306" t="s">
        <v>1091</v>
      </c>
      <c r="J438" s="234">
        <f t="shared" si="16"/>
        <v>0.9950871905950307</v>
      </c>
      <c r="K438" s="315">
        <f t="shared" si="17"/>
        <v>-4.9249169239936044E-3</v>
      </c>
      <c r="L438" s="234"/>
      <c r="M438" s="234"/>
      <c r="N438" s="234"/>
      <c r="O438" s="234"/>
      <c r="P438" s="234"/>
      <c r="Q438" s="234"/>
      <c r="R438" s="234"/>
      <c r="S438" s="35"/>
      <c r="T438" s="35"/>
      <c r="U438" s="35"/>
      <c r="V438" s="35"/>
      <c r="W438" s="35"/>
      <c r="X438" s="35"/>
    </row>
    <row r="439" spans="1:24" ht="12.75" customHeight="1" x14ac:dyDescent="0.3">
      <c r="A439" s="35"/>
      <c r="B439" s="35"/>
      <c r="C439" s="35"/>
      <c r="D439" s="35"/>
      <c r="E439" s="35"/>
      <c r="F439" s="35"/>
      <c r="G439" s="35"/>
      <c r="H439" s="234" t="s">
        <v>1092</v>
      </c>
      <c r="I439" s="306" t="s">
        <v>1093</v>
      </c>
      <c r="J439" s="234">
        <f t="shared" si="16"/>
        <v>1.0008561576586836</v>
      </c>
      <c r="K439" s="315">
        <f t="shared" si="17"/>
        <v>8.557913647706867E-4</v>
      </c>
      <c r="L439" s="234"/>
      <c r="M439" s="234"/>
      <c r="N439" s="234"/>
      <c r="O439" s="234"/>
      <c r="P439" s="234"/>
      <c r="Q439" s="234"/>
      <c r="R439" s="234"/>
      <c r="S439" s="35"/>
      <c r="T439" s="35"/>
      <c r="U439" s="35"/>
      <c r="V439" s="35"/>
      <c r="W439" s="35"/>
      <c r="X439" s="35"/>
    </row>
    <row r="440" spans="1:24" ht="12.75" customHeight="1" x14ac:dyDescent="0.3">
      <c r="A440" s="35"/>
      <c r="B440" s="35"/>
      <c r="C440" s="35"/>
      <c r="D440" s="35"/>
      <c r="E440" s="35"/>
      <c r="F440" s="35"/>
      <c r="G440" s="35"/>
      <c r="H440" s="234" t="s">
        <v>1094</v>
      </c>
      <c r="I440" s="306" t="s">
        <v>1095</v>
      </c>
      <c r="J440" s="234">
        <f t="shared" si="16"/>
        <v>0.99817320809747068</v>
      </c>
      <c r="K440" s="315">
        <f t="shared" si="17"/>
        <v>-1.828462521749371E-3</v>
      </c>
      <c r="L440" s="234"/>
      <c r="M440" s="234"/>
      <c r="N440" s="234"/>
      <c r="O440" s="234"/>
      <c r="P440" s="234"/>
      <c r="Q440" s="234"/>
      <c r="R440" s="234"/>
      <c r="S440" s="35"/>
      <c r="T440" s="35"/>
      <c r="U440" s="35"/>
      <c r="V440" s="35"/>
      <c r="W440" s="35"/>
      <c r="X440" s="35"/>
    </row>
    <row r="441" spans="1:24" ht="12.75" customHeight="1" x14ac:dyDescent="0.3">
      <c r="A441" s="35"/>
      <c r="B441" s="35"/>
      <c r="C441" s="35"/>
      <c r="D441" s="35"/>
      <c r="E441" s="35"/>
      <c r="F441" s="35"/>
      <c r="G441" s="35"/>
      <c r="H441" s="234" t="s">
        <v>1096</v>
      </c>
      <c r="I441" s="306" t="s">
        <v>1097</v>
      </c>
      <c r="J441" s="234">
        <f t="shared" si="16"/>
        <v>1.0043782975037405</v>
      </c>
      <c r="K441" s="315">
        <f t="shared" si="17"/>
        <v>4.3687406442534998E-3</v>
      </c>
      <c r="L441" s="234"/>
      <c r="M441" s="234"/>
      <c r="N441" s="234"/>
      <c r="O441" s="234"/>
      <c r="P441" s="234"/>
      <c r="Q441" s="234"/>
      <c r="R441" s="234"/>
      <c r="S441" s="35"/>
      <c r="T441" s="35"/>
      <c r="U441" s="35"/>
      <c r="V441" s="35"/>
      <c r="W441" s="35"/>
      <c r="X441" s="35"/>
    </row>
    <row r="442" spans="1:24" ht="12.75" customHeight="1" x14ac:dyDescent="0.3">
      <c r="A442" s="35"/>
      <c r="B442" s="35"/>
      <c r="C442" s="35"/>
      <c r="D442" s="35"/>
      <c r="E442" s="35"/>
      <c r="F442" s="35"/>
      <c r="G442" s="35"/>
      <c r="H442" s="234" t="s">
        <v>1098</v>
      </c>
      <c r="I442" s="306" t="s">
        <v>1099</v>
      </c>
      <c r="J442" s="234">
        <f t="shared" si="16"/>
        <v>0.99128846424055084</v>
      </c>
      <c r="K442" s="315">
        <f t="shared" si="17"/>
        <v>-8.7497030123566862E-3</v>
      </c>
      <c r="L442" s="234"/>
      <c r="M442" s="234"/>
      <c r="N442" s="234"/>
      <c r="O442" s="234"/>
      <c r="P442" s="234"/>
      <c r="Q442" s="234"/>
      <c r="R442" s="234"/>
      <c r="S442" s="35"/>
      <c r="T442" s="35"/>
      <c r="U442" s="35"/>
      <c r="V442" s="35"/>
      <c r="W442" s="35"/>
      <c r="X442" s="35"/>
    </row>
    <row r="443" spans="1:24" ht="12.75" customHeight="1" x14ac:dyDescent="0.3">
      <c r="A443" s="35"/>
      <c r="B443" s="35"/>
      <c r="C443" s="35"/>
      <c r="D443" s="35"/>
      <c r="E443" s="35"/>
      <c r="F443" s="35"/>
      <c r="G443" s="35"/>
      <c r="H443" s="234" t="s">
        <v>1100</v>
      </c>
      <c r="I443" s="306" t="s">
        <v>1101</v>
      </c>
      <c r="J443" s="234">
        <f t="shared" si="16"/>
        <v>1.00326574724526</v>
      </c>
      <c r="K443" s="315">
        <f t="shared" si="17"/>
        <v>3.2604262742088113E-3</v>
      </c>
      <c r="L443" s="234"/>
      <c r="M443" s="234"/>
      <c r="N443" s="234"/>
      <c r="O443" s="234"/>
      <c r="P443" s="234"/>
      <c r="Q443" s="234"/>
      <c r="R443" s="234"/>
      <c r="S443" s="35"/>
      <c r="T443" s="35"/>
      <c r="U443" s="35"/>
      <c r="V443" s="35"/>
      <c r="W443" s="35"/>
      <c r="X443" s="35"/>
    </row>
    <row r="444" spans="1:24" ht="12.75" customHeight="1" x14ac:dyDescent="0.3">
      <c r="A444" s="35"/>
      <c r="B444" s="35"/>
      <c r="C444" s="35"/>
      <c r="D444" s="35"/>
      <c r="E444" s="35"/>
      <c r="F444" s="35"/>
      <c r="G444" s="35"/>
      <c r="H444" s="234" t="s">
        <v>1102</v>
      </c>
      <c r="I444" s="306" t="s">
        <v>1103</v>
      </c>
      <c r="J444" s="234">
        <f t="shared" si="16"/>
        <v>1.0065109606425831</v>
      </c>
      <c r="K444" s="315">
        <f t="shared" si="17"/>
        <v>6.4898558969178283E-3</v>
      </c>
      <c r="L444" s="234"/>
      <c r="M444" s="234"/>
      <c r="N444" s="234"/>
      <c r="O444" s="234"/>
      <c r="P444" s="234"/>
      <c r="Q444" s="234"/>
      <c r="R444" s="234"/>
      <c r="S444" s="35"/>
      <c r="T444" s="35"/>
      <c r="U444" s="35"/>
      <c r="V444" s="35"/>
      <c r="W444" s="35"/>
      <c r="X444" s="35"/>
    </row>
    <row r="445" spans="1:24" ht="12.75" customHeight="1" x14ac:dyDescent="0.3">
      <c r="A445" s="35"/>
      <c r="B445" s="35"/>
      <c r="C445" s="35"/>
      <c r="D445" s="35"/>
      <c r="E445" s="35"/>
      <c r="F445" s="35"/>
      <c r="G445" s="35"/>
      <c r="H445" s="234" t="s">
        <v>1104</v>
      </c>
      <c r="I445" s="306" t="s">
        <v>1105</v>
      </c>
      <c r="J445" s="234">
        <f t="shared" si="16"/>
        <v>0.99946427586641562</v>
      </c>
      <c r="K445" s="315">
        <f t="shared" si="17"/>
        <v>-5.3586768502963858E-4</v>
      </c>
      <c r="L445" s="234"/>
      <c r="M445" s="234"/>
      <c r="N445" s="234"/>
      <c r="O445" s="234"/>
      <c r="P445" s="234"/>
      <c r="Q445" s="234"/>
      <c r="R445" s="234"/>
      <c r="S445" s="35"/>
      <c r="T445" s="35"/>
      <c r="U445" s="35"/>
      <c r="V445" s="35"/>
      <c r="W445" s="35"/>
      <c r="X445" s="35"/>
    </row>
    <row r="446" spans="1:24" ht="12.75" customHeight="1" x14ac:dyDescent="0.3">
      <c r="A446" s="35"/>
      <c r="B446" s="35"/>
      <c r="C446" s="35"/>
      <c r="D446" s="35"/>
      <c r="E446" s="35"/>
      <c r="F446" s="35"/>
      <c r="G446" s="35"/>
      <c r="H446" s="234" t="s">
        <v>1106</v>
      </c>
      <c r="I446" s="306" t="s">
        <v>1107</v>
      </c>
      <c r="J446" s="234">
        <f t="shared" si="16"/>
        <v>0.99924425515835213</v>
      </c>
      <c r="K446" s="315">
        <f t="shared" si="17"/>
        <v>-7.5603056074359531E-4</v>
      </c>
      <c r="L446" s="234"/>
      <c r="M446" s="234"/>
      <c r="N446" s="234"/>
      <c r="O446" s="234"/>
      <c r="P446" s="234"/>
      <c r="Q446" s="234"/>
      <c r="R446" s="234"/>
      <c r="S446" s="35"/>
      <c r="T446" s="35"/>
      <c r="U446" s="35"/>
      <c r="V446" s="35"/>
      <c r="W446" s="35"/>
      <c r="X446" s="35"/>
    </row>
    <row r="447" spans="1:24" ht="12.75" customHeight="1" x14ac:dyDescent="0.3">
      <c r="A447" s="35"/>
      <c r="B447" s="35"/>
      <c r="C447" s="35"/>
      <c r="D447" s="35"/>
      <c r="E447" s="35"/>
      <c r="F447" s="35"/>
      <c r="G447" s="35"/>
      <c r="H447" s="234" t="s">
        <v>1108</v>
      </c>
      <c r="I447" s="306" t="s">
        <v>1109</v>
      </c>
      <c r="J447" s="234">
        <f t="shared" si="16"/>
        <v>0.99116722196646356</v>
      </c>
      <c r="K447" s="315">
        <f t="shared" si="17"/>
        <v>-8.8720182550952546E-3</v>
      </c>
      <c r="L447" s="234"/>
      <c r="M447" s="234"/>
      <c r="N447" s="234"/>
      <c r="O447" s="234"/>
      <c r="P447" s="234"/>
      <c r="Q447" s="234"/>
      <c r="R447" s="234"/>
      <c r="S447" s="35"/>
      <c r="T447" s="35"/>
      <c r="U447" s="35"/>
      <c r="V447" s="35"/>
      <c r="W447" s="35"/>
      <c r="X447" s="35"/>
    </row>
    <row r="448" spans="1:24" ht="12.75" customHeight="1" x14ac:dyDescent="0.3">
      <c r="A448" s="35"/>
      <c r="B448" s="35"/>
      <c r="C448" s="35"/>
      <c r="D448" s="35"/>
      <c r="E448" s="35"/>
      <c r="F448" s="35"/>
      <c r="G448" s="35"/>
      <c r="H448" s="234" t="s">
        <v>1110</v>
      </c>
      <c r="I448" s="306" t="s">
        <v>1111</v>
      </c>
      <c r="J448" s="234">
        <f t="shared" si="16"/>
        <v>0.99251887705711517</v>
      </c>
      <c r="K448" s="315">
        <f t="shared" si="17"/>
        <v>-7.5092468967619353E-3</v>
      </c>
      <c r="L448" s="234"/>
      <c r="M448" s="234"/>
      <c r="N448" s="234"/>
      <c r="O448" s="234"/>
      <c r="P448" s="234"/>
      <c r="Q448" s="234"/>
      <c r="R448" s="234"/>
      <c r="S448" s="35"/>
      <c r="T448" s="35"/>
      <c r="U448" s="35"/>
      <c r="V448" s="35"/>
      <c r="W448" s="35"/>
      <c r="X448" s="35"/>
    </row>
    <row r="449" spans="1:24" ht="12.75" customHeight="1" x14ac:dyDescent="0.3">
      <c r="A449" s="35"/>
      <c r="B449" s="35"/>
      <c r="C449" s="35"/>
      <c r="D449" s="35"/>
      <c r="E449" s="35"/>
      <c r="F449" s="35"/>
      <c r="G449" s="35"/>
      <c r="H449" s="234" t="s">
        <v>1112</v>
      </c>
      <c r="I449" s="306" t="s">
        <v>774</v>
      </c>
      <c r="J449" s="234">
        <f t="shared" si="16"/>
        <v>1.0124751046779683</v>
      </c>
      <c r="K449" s="315">
        <f t="shared" si="17"/>
        <v>1.2397931723891024E-2</v>
      </c>
      <c r="L449" s="234"/>
      <c r="M449" s="234"/>
      <c r="N449" s="234"/>
      <c r="O449" s="234"/>
      <c r="P449" s="234"/>
      <c r="Q449" s="234"/>
      <c r="R449" s="234"/>
      <c r="S449" s="35"/>
      <c r="T449" s="35"/>
      <c r="U449" s="35"/>
      <c r="V449" s="35"/>
      <c r="W449" s="35"/>
      <c r="X449" s="35"/>
    </row>
    <row r="450" spans="1:24" ht="12.75" customHeight="1" x14ac:dyDescent="0.3">
      <c r="A450" s="35"/>
      <c r="B450" s="35"/>
      <c r="C450" s="35"/>
      <c r="D450" s="35"/>
      <c r="E450" s="35"/>
      <c r="F450" s="35"/>
      <c r="G450" s="35"/>
      <c r="H450" s="234" t="s">
        <v>1113</v>
      </c>
      <c r="I450" s="306" t="s">
        <v>1114</v>
      </c>
      <c r="J450" s="234">
        <f t="shared" si="16"/>
        <v>1.0045606711039345</v>
      </c>
      <c r="K450" s="315">
        <f t="shared" si="17"/>
        <v>4.550302755940156E-3</v>
      </c>
      <c r="L450" s="234"/>
      <c r="M450" s="234"/>
      <c r="N450" s="234"/>
      <c r="O450" s="234"/>
      <c r="P450" s="234"/>
      <c r="Q450" s="234"/>
      <c r="R450" s="234"/>
      <c r="S450" s="35"/>
      <c r="T450" s="35"/>
      <c r="U450" s="35"/>
      <c r="V450" s="35"/>
      <c r="W450" s="35"/>
      <c r="X450" s="35"/>
    </row>
    <row r="451" spans="1:24" ht="12.75" customHeight="1" x14ac:dyDescent="0.3">
      <c r="A451" s="35"/>
      <c r="B451" s="35"/>
      <c r="C451" s="35"/>
      <c r="D451" s="35"/>
      <c r="E451" s="35"/>
      <c r="F451" s="35"/>
      <c r="G451" s="35"/>
      <c r="H451" s="234" t="s">
        <v>1115</v>
      </c>
      <c r="I451" s="306" t="s">
        <v>1116</v>
      </c>
      <c r="J451" s="234">
        <f t="shared" si="16"/>
        <v>1.0015541425393268</v>
      </c>
      <c r="K451" s="315">
        <f t="shared" si="17"/>
        <v>1.5529361096246301E-3</v>
      </c>
      <c r="L451" s="234"/>
      <c r="M451" s="234"/>
      <c r="N451" s="234"/>
      <c r="O451" s="234"/>
      <c r="P451" s="234"/>
      <c r="Q451" s="234"/>
      <c r="R451" s="234"/>
      <c r="S451" s="35"/>
      <c r="T451" s="35"/>
      <c r="U451" s="35"/>
      <c r="V451" s="35"/>
      <c r="W451" s="35"/>
      <c r="X451" s="35"/>
    </row>
    <row r="452" spans="1:24" ht="12.75" customHeight="1" x14ac:dyDescent="0.3">
      <c r="A452" s="35"/>
      <c r="B452" s="35"/>
      <c r="C452" s="35"/>
      <c r="D452" s="35"/>
      <c r="E452" s="35"/>
      <c r="F452" s="35"/>
      <c r="G452" s="35"/>
      <c r="H452" s="234" t="s">
        <v>1117</v>
      </c>
      <c r="I452" s="306" t="s">
        <v>1118</v>
      </c>
      <c r="J452" s="234">
        <f t="shared" si="16"/>
        <v>0.99276327125201669</v>
      </c>
      <c r="K452" s="315">
        <f t="shared" si="17"/>
        <v>-7.263040888871101E-3</v>
      </c>
      <c r="L452" s="234"/>
      <c r="M452" s="234"/>
      <c r="N452" s="234"/>
      <c r="O452" s="234"/>
      <c r="P452" s="234"/>
      <c r="Q452" s="234"/>
      <c r="R452" s="234"/>
      <c r="S452" s="35"/>
      <c r="T452" s="35"/>
      <c r="U452" s="35"/>
      <c r="V452" s="35"/>
      <c r="W452" s="35"/>
      <c r="X452" s="35"/>
    </row>
    <row r="453" spans="1:24" ht="12.75" customHeight="1" x14ac:dyDescent="0.3">
      <c r="A453" s="35"/>
      <c r="B453" s="35"/>
      <c r="C453" s="35"/>
      <c r="D453" s="35"/>
      <c r="E453" s="35"/>
      <c r="F453" s="35"/>
      <c r="G453" s="35"/>
      <c r="H453" s="234" t="s">
        <v>1119</v>
      </c>
      <c r="I453" s="306" t="s">
        <v>1120</v>
      </c>
      <c r="J453" s="234">
        <f t="shared" ref="J453:J516" si="18">I453/I454</f>
        <v>0.99757797362335143</v>
      </c>
      <c r="K453" s="315">
        <f t="shared" ref="K453:K516" si="19">LN(J453)</f>
        <v>-2.42496422719285E-3</v>
      </c>
      <c r="L453" s="234"/>
      <c r="M453" s="234"/>
      <c r="N453" s="234"/>
      <c r="O453" s="234"/>
      <c r="P453" s="234"/>
      <c r="Q453" s="234"/>
      <c r="R453" s="234"/>
      <c r="S453" s="35"/>
      <c r="T453" s="35"/>
      <c r="U453" s="35"/>
      <c r="V453" s="35"/>
      <c r="W453" s="35"/>
      <c r="X453" s="35"/>
    </row>
    <row r="454" spans="1:24" ht="12.75" customHeight="1" x14ac:dyDescent="0.3">
      <c r="A454" s="35"/>
      <c r="B454" s="35"/>
      <c r="C454" s="35"/>
      <c r="D454" s="35"/>
      <c r="E454" s="35"/>
      <c r="F454" s="35"/>
      <c r="G454" s="35"/>
      <c r="H454" s="234" t="s">
        <v>1121</v>
      </c>
      <c r="I454" s="306" t="s">
        <v>1122</v>
      </c>
      <c r="J454" s="234">
        <f t="shared" si="18"/>
        <v>1.0025378325030547</v>
      </c>
      <c r="K454" s="315">
        <f t="shared" si="19"/>
        <v>2.5346176441814168E-3</v>
      </c>
      <c r="L454" s="234"/>
      <c r="M454" s="234"/>
      <c r="N454" s="234"/>
      <c r="O454" s="234"/>
      <c r="P454" s="234"/>
      <c r="Q454" s="234"/>
      <c r="R454" s="234"/>
      <c r="S454" s="35"/>
      <c r="T454" s="35"/>
      <c r="U454" s="35"/>
      <c r="V454" s="35"/>
      <c r="W454" s="35"/>
      <c r="X454" s="35"/>
    </row>
    <row r="455" spans="1:24" ht="12.75" customHeight="1" x14ac:dyDescent="0.3">
      <c r="A455" s="35"/>
      <c r="B455" s="35"/>
      <c r="C455" s="35"/>
      <c r="D455" s="35"/>
      <c r="E455" s="35"/>
      <c r="F455" s="35"/>
      <c r="G455" s="35"/>
      <c r="H455" s="234" t="s">
        <v>1123</v>
      </c>
      <c r="I455" s="306" t="s">
        <v>1124</v>
      </c>
      <c r="J455" s="234">
        <f t="shared" si="18"/>
        <v>1.0122419206495195</v>
      </c>
      <c r="K455" s="315">
        <f t="shared" si="19"/>
        <v>1.216759432210807E-2</v>
      </c>
      <c r="L455" s="234"/>
      <c r="M455" s="234"/>
      <c r="N455" s="234"/>
      <c r="O455" s="234"/>
      <c r="P455" s="234"/>
      <c r="Q455" s="234"/>
      <c r="R455" s="234"/>
      <c r="S455" s="35"/>
      <c r="T455" s="35"/>
      <c r="U455" s="35"/>
      <c r="V455" s="35"/>
      <c r="W455" s="35"/>
      <c r="X455" s="35"/>
    </row>
    <row r="456" spans="1:24" ht="12.75" customHeight="1" x14ac:dyDescent="0.3">
      <c r="A456" s="35"/>
      <c r="B456" s="35"/>
      <c r="C456" s="35"/>
      <c r="D456" s="35"/>
      <c r="E456" s="35"/>
      <c r="F456" s="35"/>
      <c r="G456" s="35"/>
      <c r="H456" s="234" t="s">
        <v>1125</v>
      </c>
      <c r="I456" s="306" t="s">
        <v>1126</v>
      </c>
      <c r="J456" s="234">
        <f t="shared" si="18"/>
        <v>0.99257090691598204</v>
      </c>
      <c r="K456" s="315">
        <f t="shared" si="19"/>
        <v>-7.4568262361964935E-3</v>
      </c>
      <c r="L456" s="234"/>
      <c r="M456" s="234"/>
      <c r="N456" s="234"/>
      <c r="O456" s="234"/>
      <c r="P456" s="234"/>
      <c r="Q456" s="234"/>
      <c r="R456" s="234"/>
      <c r="S456" s="35"/>
      <c r="T456" s="35"/>
      <c r="U456" s="35"/>
      <c r="V456" s="35"/>
      <c r="W456" s="35"/>
      <c r="X456" s="35"/>
    </row>
    <row r="457" spans="1:24" ht="12.75" customHeight="1" x14ac:dyDescent="0.3">
      <c r="A457" s="35"/>
      <c r="B457" s="35"/>
      <c r="C457" s="35"/>
      <c r="D457" s="35"/>
      <c r="E457" s="35"/>
      <c r="F457" s="35"/>
      <c r="G457" s="35"/>
      <c r="H457" s="234" t="s">
        <v>1127</v>
      </c>
      <c r="I457" s="306" t="s">
        <v>1128</v>
      </c>
      <c r="J457" s="234">
        <f t="shared" si="18"/>
        <v>0.9901274009428449</v>
      </c>
      <c r="K457" s="315">
        <f t="shared" si="19"/>
        <v>-9.9216563120133137E-3</v>
      </c>
      <c r="L457" s="234"/>
      <c r="M457" s="234"/>
      <c r="N457" s="234"/>
      <c r="O457" s="234"/>
      <c r="P457" s="234"/>
      <c r="Q457" s="234"/>
      <c r="R457" s="234"/>
      <c r="S457" s="35"/>
      <c r="T457" s="35"/>
      <c r="U457" s="35"/>
      <c r="V457" s="35"/>
      <c r="W457" s="35"/>
      <c r="X457" s="35"/>
    </row>
    <row r="458" spans="1:24" ht="12.75" customHeight="1" x14ac:dyDescent="0.3">
      <c r="A458" s="35"/>
      <c r="B458" s="35"/>
      <c r="C458" s="35"/>
      <c r="D458" s="35"/>
      <c r="E458" s="35"/>
      <c r="F458" s="35"/>
      <c r="G458" s="35"/>
      <c r="H458" s="234" t="s">
        <v>1129</v>
      </c>
      <c r="I458" s="306" t="s">
        <v>1130</v>
      </c>
      <c r="J458" s="234">
        <f t="shared" si="18"/>
        <v>0.9956940026379083</v>
      </c>
      <c r="K458" s="315">
        <f t="shared" si="19"/>
        <v>-4.3152948683571552E-3</v>
      </c>
      <c r="L458" s="234"/>
      <c r="M458" s="234"/>
      <c r="N458" s="234"/>
      <c r="O458" s="234"/>
      <c r="P458" s="234"/>
      <c r="Q458" s="234"/>
      <c r="R458" s="234"/>
      <c r="S458" s="35"/>
      <c r="T458" s="35"/>
      <c r="U458" s="35"/>
      <c r="V458" s="35"/>
      <c r="W458" s="35"/>
      <c r="X458" s="35"/>
    </row>
    <row r="459" spans="1:24" ht="12.75" customHeight="1" x14ac:dyDescent="0.3">
      <c r="A459" s="35"/>
      <c r="B459" s="35"/>
      <c r="C459" s="35"/>
      <c r="D459" s="35"/>
      <c r="E459" s="35"/>
      <c r="F459" s="35"/>
      <c r="G459" s="35"/>
      <c r="H459" s="234" t="s">
        <v>1131</v>
      </c>
      <c r="I459" s="306" t="s">
        <v>1132</v>
      </c>
      <c r="J459" s="234">
        <f t="shared" si="18"/>
        <v>1.0061749115918157</v>
      </c>
      <c r="K459" s="315">
        <f t="shared" si="19"/>
        <v>6.1559249457187673E-3</v>
      </c>
      <c r="L459" s="234"/>
      <c r="M459" s="234"/>
      <c r="N459" s="234"/>
      <c r="O459" s="234"/>
      <c r="P459" s="234"/>
      <c r="Q459" s="234"/>
      <c r="R459" s="234"/>
      <c r="S459" s="35"/>
      <c r="T459" s="35"/>
      <c r="U459" s="35"/>
      <c r="V459" s="35"/>
      <c r="W459" s="35"/>
      <c r="X459" s="35"/>
    </row>
    <row r="460" spans="1:24" ht="12.75" customHeight="1" x14ac:dyDescent="0.3">
      <c r="A460" s="35"/>
      <c r="B460" s="35"/>
      <c r="C460" s="35"/>
      <c r="D460" s="35"/>
      <c r="E460" s="35"/>
      <c r="F460" s="35"/>
      <c r="G460" s="35"/>
      <c r="H460" s="234" t="s">
        <v>1133</v>
      </c>
      <c r="I460" s="306" t="s">
        <v>1134</v>
      </c>
      <c r="J460" s="234">
        <f t="shared" si="18"/>
        <v>0.99815328512654278</v>
      </c>
      <c r="K460" s="315">
        <f t="shared" si="19"/>
        <v>-1.8484221535993552E-3</v>
      </c>
      <c r="L460" s="234"/>
      <c r="M460" s="234"/>
      <c r="N460" s="234"/>
      <c r="O460" s="234"/>
      <c r="P460" s="234"/>
      <c r="Q460" s="234"/>
      <c r="R460" s="234"/>
      <c r="S460" s="35"/>
      <c r="T460" s="35"/>
      <c r="U460" s="35"/>
      <c r="V460" s="35"/>
      <c r="W460" s="35"/>
      <c r="X460" s="35"/>
    </row>
    <row r="461" spans="1:24" ht="12.75" customHeight="1" x14ac:dyDescent="0.3">
      <c r="A461" s="35"/>
      <c r="B461" s="35"/>
      <c r="C461" s="35"/>
      <c r="D461" s="35"/>
      <c r="E461" s="35"/>
      <c r="F461" s="35"/>
      <c r="G461" s="35"/>
      <c r="H461" s="234" t="s">
        <v>1135</v>
      </c>
      <c r="I461" s="306" t="s">
        <v>1136</v>
      </c>
      <c r="J461" s="234">
        <f t="shared" si="18"/>
        <v>0.99349724407010587</v>
      </c>
      <c r="K461" s="315">
        <f t="shared" si="19"/>
        <v>-6.5239909547512307E-3</v>
      </c>
      <c r="L461" s="234"/>
      <c r="M461" s="234"/>
      <c r="N461" s="234"/>
      <c r="O461" s="234"/>
      <c r="P461" s="234"/>
      <c r="Q461" s="234"/>
      <c r="R461" s="234"/>
      <c r="S461" s="35"/>
      <c r="T461" s="35"/>
      <c r="U461" s="35"/>
      <c r="V461" s="35"/>
      <c r="W461" s="35"/>
      <c r="X461" s="35"/>
    </row>
    <row r="462" spans="1:24" ht="12.75" customHeight="1" x14ac:dyDescent="0.3">
      <c r="A462" s="35"/>
      <c r="B462" s="35"/>
      <c r="C462" s="35"/>
      <c r="D462" s="35"/>
      <c r="E462" s="35"/>
      <c r="F462" s="35"/>
      <c r="G462" s="35"/>
      <c r="H462" s="234" t="s">
        <v>1137</v>
      </c>
      <c r="I462" s="306" t="s">
        <v>1138</v>
      </c>
      <c r="J462" s="234">
        <f t="shared" si="18"/>
        <v>1.0011625563839845</v>
      </c>
      <c r="K462" s="315">
        <f t="shared" si="19"/>
        <v>1.1618811386014602E-3</v>
      </c>
      <c r="L462" s="234"/>
      <c r="M462" s="234"/>
      <c r="N462" s="234"/>
      <c r="O462" s="234"/>
      <c r="P462" s="234"/>
      <c r="Q462" s="234"/>
      <c r="R462" s="234"/>
      <c r="S462" s="35"/>
      <c r="T462" s="35"/>
      <c r="U462" s="35"/>
      <c r="V462" s="35"/>
      <c r="W462" s="35"/>
      <c r="X462" s="35"/>
    </row>
    <row r="463" spans="1:24" ht="12.75" customHeight="1" x14ac:dyDescent="0.3">
      <c r="A463" s="35"/>
      <c r="B463" s="35"/>
      <c r="C463" s="35"/>
      <c r="D463" s="35"/>
      <c r="E463" s="35"/>
      <c r="F463" s="35"/>
      <c r="G463" s="35"/>
      <c r="H463" s="234" t="s">
        <v>1139</v>
      </c>
      <c r="I463" s="306" t="s">
        <v>1140</v>
      </c>
      <c r="J463" s="234">
        <f t="shared" si="18"/>
        <v>0.99132572701778654</v>
      </c>
      <c r="K463" s="315">
        <f t="shared" si="19"/>
        <v>-8.7121134728442712E-3</v>
      </c>
      <c r="L463" s="234"/>
      <c r="M463" s="234"/>
      <c r="N463" s="234"/>
      <c r="O463" s="234"/>
      <c r="P463" s="234"/>
      <c r="Q463" s="234"/>
      <c r="R463" s="234"/>
      <c r="S463" s="35"/>
      <c r="T463" s="35"/>
      <c r="U463" s="35"/>
      <c r="V463" s="35"/>
      <c r="W463" s="35"/>
      <c r="X463" s="35"/>
    </row>
    <row r="464" spans="1:24" ht="12.75" customHeight="1" x14ac:dyDescent="0.3">
      <c r="A464" s="35"/>
      <c r="B464" s="35"/>
      <c r="C464" s="35"/>
      <c r="D464" s="35"/>
      <c r="E464" s="35"/>
      <c r="F464" s="35"/>
      <c r="G464" s="35"/>
      <c r="H464" s="234" t="s">
        <v>1141</v>
      </c>
      <c r="I464" s="306" t="s">
        <v>1142</v>
      </c>
      <c r="J464" s="234">
        <f t="shared" si="18"/>
        <v>0.98838136462011617</v>
      </c>
      <c r="K464" s="315">
        <f t="shared" si="19"/>
        <v>-1.1686659132719057E-2</v>
      </c>
      <c r="L464" s="234"/>
      <c r="M464" s="234"/>
      <c r="N464" s="234"/>
      <c r="O464" s="234"/>
      <c r="P464" s="234"/>
      <c r="Q464" s="234"/>
      <c r="R464" s="234"/>
      <c r="S464" s="35"/>
      <c r="T464" s="35"/>
      <c r="U464" s="35"/>
      <c r="V464" s="35"/>
      <c r="W464" s="35"/>
      <c r="X464" s="35"/>
    </row>
    <row r="465" spans="1:24" ht="12.75" customHeight="1" x14ac:dyDescent="0.3">
      <c r="A465" s="35"/>
      <c r="B465" s="35"/>
      <c r="C465" s="35"/>
      <c r="D465" s="35"/>
      <c r="E465" s="35"/>
      <c r="F465" s="35"/>
      <c r="G465" s="35"/>
      <c r="H465" s="234" t="s">
        <v>1143</v>
      </c>
      <c r="I465" s="306" t="s">
        <v>1144</v>
      </c>
      <c r="J465" s="234">
        <f t="shared" si="18"/>
        <v>1.0159860507819432</v>
      </c>
      <c r="K465" s="315">
        <f t="shared" si="19"/>
        <v>1.5859619516707533E-2</v>
      </c>
      <c r="L465" s="234"/>
      <c r="M465" s="234"/>
      <c r="N465" s="234"/>
      <c r="O465" s="234"/>
      <c r="P465" s="234"/>
      <c r="Q465" s="234"/>
      <c r="R465" s="234"/>
      <c r="S465" s="35"/>
      <c r="T465" s="35"/>
      <c r="U465" s="35"/>
      <c r="V465" s="35"/>
      <c r="W465" s="35"/>
      <c r="X465" s="35"/>
    </row>
    <row r="466" spans="1:24" ht="12.75" customHeight="1" x14ac:dyDescent="0.3">
      <c r="A466" s="35"/>
      <c r="B466" s="35"/>
      <c r="C466" s="35"/>
      <c r="D466" s="35"/>
      <c r="E466" s="35"/>
      <c r="F466" s="35"/>
      <c r="G466" s="35"/>
      <c r="H466" s="234" t="s">
        <v>1145</v>
      </c>
      <c r="I466" s="306" t="s">
        <v>1146</v>
      </c>
      <c r="J466" s="234">
        <f t="shared" si="18"/>
        <v>1.001514484186776</v>
      </c>
      <c r="K466" s="315">
        <f t="shared" si="19"/>
        <v>1.5133385121915148E-3</v>
      </c>
      <c r="L466" s="234"/>
      <c r="M466" s="234"/>
      <c r="N466" s="234"/>
      <c r="O466" s="234"/>
      <c r="P466" s="234"/>
      <c r="Q466" s="234"/>
      <c r="R466" s="234"/>
      <c r="S466" s="35"/>
      <c r="T466" s="35"/>
      <c r="U466" s="35"/>
      <c r="V466" s="35"/>
      <c r="W466" s="35"/>
      <c r="X466" s="35"/>
    </row>
    <row r="467" spans="1:24" ht="12.75" customHeight="1" x14ac:dyDescent="0.3">
      <c r="A467" s="35"/>
      <c r="B467" s="35"/>
      <c r="C467" s="35"/>
      <c r="D467" s="35"/>
      <c r="E467" s="35"/>
      <c r="F467" s="35"/>
      <c r="G467" s="35"/>
      <c r="H467" s="234" t="s">
        <v>1147</v>
      </c>
      <c r="I467" s="306" t="s">
        <v>1148</v>
      </c>
      <c r="J467" s="234">
        <f t="shared" si="18"/>
        <v>0.99368089680589677</v>
      </c>
      <c r="K467" s="315">
        <f t="shared" si="19"/>
        <v>-6.3391532368475686E-3</v>
      </c>
      <c r="L467" s="234"/>
      <c r="M467" s="234"/>
      <c r="N467" s="234"/>
      <c r="O467" s="234"/>
      <c r="P467" s="234"/>
      <c r="Q467" s="234"/>
      <c r="R467" s="234"/>
      <c r="S467" s="35"/>
      <c r="T467" s="35"/>
      <c r="U467" s="35"/>
      <c r="V467" s="35"/>
      <c r="W467" s="35"/>
      <c r="X467" s="35"/>
    </row>
    <row r="468" spans="1:24" ht="12.75" customHeight="1" x14ac:dyDescent="0.3">
      <c r="A468" s="35"/>
      <c r="B468" s="35"/>
      <c r="C468" s="35"/>
      <c r="D468" s="35"/>
      <c r="E468" s="35"/>
      <c r="F468" s="35"/>
      <c r="G468" s="35"/>
      <c r="H468" s="234" t="s">
        <v>1149</v>
      </c>
      <c r="I468" s="306" t="s">
        <v>1150</v>
      </c>
      <c r="J468" s="234">
        <f t="shared" si="18"/>
        <v>1.0015764986349829</v>
      </c>
      <c r="K468" s="315">
        <f t="shared" si="19"/>
        <v>1.5752572655167512E-3</v>
      </c>
      <c r="L468" s="234"/>
      <c r="M468" s="234"/>
      <c r="N468" s="234"/>
      <c r="O468" s="234"/>
      <c r="P468" s="234"/>
      <c r="Q468" s="234"/>
      <c r="R468" s="234"/>
      <c r="S468" s="35"/>
      <c r="T468" s="35"/>
      <c r="U468" s="35"/>
      <c r="V468" s="35"/>
      <c r="W468" s="35"/>
      <c r="X468" s="35"/>
    </row>
    <row r="469" spans="1:24" ht="12.75" customHeight="1" x14ac:dyDescent="0.3">
      <c r="A469" s="35"/>
      <c r="B469" s="35"/>
      <c r="C469" s="35"/>
      <c r="D469" s="35"/>
      <c r="E469" s="35"/>
      <c r="F469" s="35"/>
      <c r="G469" s="35"/>
      <c r="H469" s="234" t="s">
        <v>1151</v>
      </c>
      <c r="I469" s="306" t="s">
        <v>1152</v>
      </c>
      <c r="J469" s="234">
        <f t="shared" si="18"/>
        <v>1.0009159764771083</v>
      </c>
      <c r="K469" s="315">
        <f t="shared" si="19"/>
        <v>9.1555722665114653E-4</v>
      </c>
      <c r="L469" s="234"/>
      <c r="M469" s="234"/>
      <c r="N469" s="234"/>
      <c r="O469" s="234"/>
      <c r="P469" s="234"/>
      <c r="Q469" s="234"/>
      <c r="R469" s="234"/>
      <c r="S469" s="35"/>
      <c r="T469" s="35"/>
      <c r="U469" s="35"/>
      <c r="V469" s="35"/>
      <c r="W469" s="35"/>
      <c r="X469" s="35"/>
    </row>
    <row r="470" spans="1:24" ht="12.75" customHeight="1" x14ac:dyDescent="0.3">
      <c r="A470" s="35"/>
      <c r="B470" s="35"/>
      <c r="C470" s="35"/>
      <c r="D470" s="35"/>
      <c r="E470" s="35"/>
      <c r="F470" s="35"/>
      <c r="G470" s="35"/>
      <c r="H470" s="234" t="s">
        <v>1153</v>
      </c>
      <c r="I470" s="306" t="s">
        <v>1154</v>
      </c>
      <c r="J470" s="234">
        <f t="shared" si="18"/>
        <v>1.0068432106515388</v>
      </c>
      <c r="K470" s="315">
        <f t="shared" si="19"/>
        <v>6.8199021617120778E-3</v>
      </c>
      <c r="L470" s="234"/>
      <c r="M470" s="234"/>
      <c r="N470" s="234"/>
      <c r="O470" s="234"/>
      <c r="P470" s="234"/>
      <c r="Q470" s="234"/>
      <c r="R470" s="234"/>
      <c r="S470" s="35"/>
      <c r="T470" s="35"/>
      <c r="U470" s="35"/>
      <c r="V470" s="35"/>
      <c r="W470" s="35"/>
      <c r="X470" s="35"/>
    </row>
    <row r="471" spans="1:24" ht="12.75" customHeight="1" x14ac:dyDescent="0.3">
      <c r="A471" s="35"/>
      <c r="B471" s="35"/>
      <c r="C471" s="35"/>
      <c r="D471" s="35"/>
      <c r="E471" s="35"/>
      <c r="F471" s="35"/>
      <c r="G471" s="35"/>
      <c r="H471" s="234" t="s">
        <v>1155</v>
      </c>
      <c r="I471" s="306" t="s">
        <v>1156</v>
      </c>
      <c r="J471" s="234">
        <f t="shared" si="18"/>
        <v>1.0024316345556246</v>
      </c>
      <c r="K471" s="315">
        <f t="shared" si="19"/>
        <v>2.4286829162224197E-3</v>
      </c>
      <c r="L471" s="234"/>
      <c r="M471" s="234"/>
      <c r="N471" s="234"/>
      <c r="O471" s="234"/>
      <c r="P471" s="234"/>
      <c r="Q471" s="234"/>
      <c r="R471" s="234"/>
      <c r="S471" s="35"/>
      <c r="T471" s="35"/>
      <c r="U471" s="35"/>
      <c r="V471" s="35"/>
      <c r="W471" s="35"/>
      <c r="X471" s="35"/>
    </row>
    <row r="472" spans="1:24" ht="12.75" customHeight="1" x14ac:dyDescent="0.3">
      <c r="A472" s="35"/>
      <c r="B472" s="35"/>
      <c r="C472" s="35"/>
      <c r="D472" s="35"/>
      <c r="E472" s="35"/>
      <c r="F472" s="35"/>
      <c r="G472" s="35"/>
      <c r="H472" s="234" t="s">
        <v>1157</v>
      </c>
      <c r="I472" s="306" t="s">
        <v>1158</v>
      </c>
      <c r="J472" s="234">
        <f t="shared" si="18"/>
        <v>1.0071278235492023</v>
      </c>
      <c r="K472" s="315">
        <f t="shared" si="19"/>
        <v>7.1025406850323426E-3</v>
      </c>
      <c r="L472" s="234"/>
      <c r="M472" s="234"/>
      <c r="N472" s="234"/>
      <c r="O472" s="234"/>
      <c r="P472" s="234"/>
      <c r="Q472" s="234"/>
      <c r="R472" s="234"/>
      <c r="S472" s="35"/>
      <c r="T472" s="35"/>
      <c r="U472" s="35"/>
      <c r="V472" s="35"/>
      <c r="W472" s="35"/>
      <c r="X472" s="35"/>
    </row>
    <row r="473" spans="1:24" ht="12.75" customHeight="1" x14ac:dyDescent="0.3">
      <c r="A473" s="35"/>
      <c r="B473" s="35"/>
      <c r="C473" s="35"/>
      <c r="D473" s="35"/>
      <c r="E473" s="35"/>
      <c r="F473" s="35"/>
      <c r="G473" s="35"/>
      <c r="H473" s="234" t="s">
        <v>1159</v>
      </c>
      <c r="I473" s="306" t="s">
        <v>1160</v>
      </c>
      <c r="J473" s="234">
        <f t="shared" si="18"/>
        <v>1.0062274638240249</v>
      </c>
      <c r="K473" s="315">
        <f t="shared" si="19"/>
        <v>6.208153300110689E-3</v>
      </c>
      <c r="L473" s="234"/>
      <c r="M473" s="234"/>
      <c r="N473" s="234"/>
      <c r="O473" s="234"/>
      <c r="P473" s="234"/>
      <c r="Q473" s="234"/>
      <c r="R473" s="234"/>
      <c r="S473" s="35"/>
      <c r="T473" s="35"/>
      <c r="U473" s="35"/>
      <c r="V473" s="35"/>
      <c r="W473" s="35"/>
      <c r="X473" s="35"/>
    </row>
    <row r="474" spans="1:24" ht="12.75" customHeight="1" x14ac:dyDescent="0.3">
      <c r="A474" s="35"/>
      <c r="B474" s="35"/>
      <c r="C474" s="35"/>
      <c r="D474" s="35"/>
      <c r="E474" s="35"/>
      <c r="F474" s="35"/>
      <c r="G474" s="35"/>
      <c r="H474" s="234" t="s">
        <v>1161</v>
      </c>
      <c r="I474" s="306" t="s">
        <v>1162</v>
      </c>
      <c r="J474" s="234">
        <f t="shared" si="18"/>
        <v>0.99212659928452029</v>
      </c>
      <c r="K474" s="315">
        <f t="shared" si="19"/>
        <v>-7.9045595935429043E-3</v>
      </c>
      <c r="L474" s="234"/>
      <c r="M474" s="234"/>
      <c r="N474" s="234"/>
      <c r="O474" s="234"/>
      <c r="P474" s="234"/>
      <c r="Q474" s="234"/>
      <c r="R474" s="234"/>
      <c r="S474" s="35"/>
      <c r="T474" s="35"/>
      <c r="U474" s="35"/>
      <c r="V474" s="35"/>
      <c r="W474" s="35"/>
      <c r="X474" s="35"/>
    </row>
    <row r="475" spans="1:24" ht="12.75" customHeight="1" x14ac:dyDescent="0.3">
      <c r="A475" s="35"/>
      <c r="B475" s="35"/>
      <c r="C475" s="35"/>
      <c r="D475" s="35"/>
      <c r="E475" s="35"/>
      <c r="F475" s="35"/>
      <c r="G475" s="35"/>
      <c r="H475" s="234" t="s">
        <v>1163</v>
      </c>
      <c r="I475" s="306" t="s">
        <v>1164</v>
      </c>
      <c r="J475" s="234">
        <f t="shared" si="18"/>
        <v>0.99851812566294373</v>
      </c>
      <c r="K475" s="315">
        <f t="shared" si="19"/>
        <v>-1.4829733987467436E-3</v>
      </c>
      <c r="L475" s="234"/>
      <c r="M475" s="234"/>
      <c r="N475" s="234"/>
      <c r="O475" s="234"/>
      <c r="P475" s="234"/>
      <c r="Q475" s="234"/>
      <c r="R475" s="234"/>
      <c r="S475" s="35"/>
      <c r="T475" s="35"/>
      <c r="U475" s="35"/>
      <c r="V475" s="35"/>
      <c r="W475" s="35"/>
      <c r="X475" s="35"/>
    </row>
    <row r="476" spans="1:24" ht="12.75" customHeight="1" x14ac:dyDescent="0.3">
      <c r="A476" s="35"/>
      <c r="B476" s="35"/>
      <c r="C476" s="35"/>
      <c r="D476" s="35"/>
      <c r="E476" s="35"/>
      <c r="F476" s="35"/>
      <c r="G476" s="35"/>
      <c r="H476" s="234" t="s">
        <v>1165</v>
      </c>
      <c r="I476" s="306" t="s">
        <v>1166</v>
      </c>
      <c r="J476" s="234">
        <f t="shared" si="18"/>
        <v>0.9866564063101193</v>
      </c>
      <c r="K476" s="315">
        <f t="shared" si="19"/>
        <v>-1.3433419396224984E-2</v>
      </c>
      <c r="L476" s="234"/>
      <c r="M476" s="234"/>
      <c r="N476" s="234"/>
      <c r="O476" s="234"/>
      <c r="P476" s="234"/>
      <c r="Q476" s="234"/>
      <c r="R476" s="234"/>
      <c r="S476" s="35"/>
      <c r="T476" s="35"/>
      <c r="U476" s="35"/>
      <c r="V476" s="35"/>
      <c r="W476" s="35"/>
      <c r="X476" s="35"/>
    </row>
    <row r="477" spans="1:24" ht="12.75" customHeight="1" x14ac:dyDescent="0.3">
      <c r="A477" s="35"/>
      <c r="B477" s="35"/>
      <c r="C477" s="35"/>
      <c r="D477" s="35"/>
      <c r="E477" s="35"/>
      <c r="F477" s="35"/>
      <c r="G477" s="35"/>
      <c r="H477" s="234" t="s">
        <v>1167</v>
      </c>
      <c r="I477" s="306" t="s">
        <v>1168</v>
      </c>
      <c r="J477" s="234">
        <f t="shared" si="18"/>
        <v>0.99645738122258687</v>
      </c>
      <c r="K477" s="315">
        <f t="shared" si="19"/>
        <v>-3.5489087109324053E-3</v>
      </c>
      <c r="L477" s="234"/>
      <c r="M477" s="234"/>
      <c r="N477" s="234"/>
      <c r="O477" s="234"/>
      <c r="P477" s="234"/>
      <c r="Q477" s="234"/>
      <c r="R477" s="234"/>
      <c r="S477" s="35"/>
      <c r="T477" s="35"/>
      <c r="U477" s="35"/>
      <c r="V477" s="35"/>
      <c r="W477" s="35"/>
      <c r="X477" s="35"/>
    </row>
    <row r="478" spans="1:24" ht="12.75" customHeight="1" x14ac:dyDescent="0.3">
      <c r="A478" s="35"/>
      <c r="B478" s="35"/>
      <c r="C478" s="35"/>
      <c r="D478" s="35"/>
      <c r="E478" s="35"/>
      <c r="F478" s="35"/>
      <c r="G478" s="35"/>
      <c r="H478" s="234" t="s">
        <v>1169</v>
      </c>
      <c r="I478" s="306" t="s">
        <v>1170</v>
      </c>
      <c r="J478" s="234">
        <f t="shared" si="18"/>
        <v>1.0220936885252325</v>
      </c>
      <c r="K478" s="315">
        <f t="shared" si="19"/>
        <v>2.1853159326717747E-2</v>
      </c>
      <c r="L478" s="234"/>
      <c r="M478" s="234"/>
      <c r="N478" s="234"/>
      <c r="O478" s="234"/>
      <c r="P478" s="234"/>
      <c r="Q478" s="234"/>
      <c r="R478" s="234"/>
      <c r="S478" s="35"/>
      <c r="T478" s="35"/>
      <c r="U478" s="35"/>
      <c r="V478" s="35"/>
      <c r="W478" s="35"/>
      <c r="X478" s="35"/>
    </row>
    <row r="479" spans="1:24" ht="12.75" customHeight="1" x14ac:dyDescent="0.3">
      <c r="A479" s="35"/>
      <c r="B479" s="35"/>
      <c r="C479" s="35"/>
      <c r="D479" s="35"/>
      <c r="E479" s="35"/>
      <c r="F479" s="35"/>
      <c r="G479" s="35"/>
      <c r="H479" s="234" t="s">
        <v>1171</v>
      </c>
      <c r="I479" s="306" t="s">
        <v>1172</v>
      </c>
      <c r="J479" s="234">
        <f t="shared" si="18"/>
        <v>1.003231589375855</v>
      </c>
      <c r="K479" s="315">
        <f t="shared" si="19"/>
        <v>3.2263790130588987E-3</v>
      </c>
      <c r="L479" s="234"/>
      <c r="M479" s="234"/>
      <c r="N479" s="234"/>
      <c r="O479" s="234"/>
      <c r="P479" s="234"/>
      <c r="Q479" s="234"/>
      <c r="R479" s="234"/>
      <c r="S479" s="35"/>
      <c r="T479" s="35"/>
      <c r="U479" s="35"/>
      <c r="V479" s="35"/>
      <c r="W479" s="35"/>
      <c r="X479" s="35"/>
    </row>
    <row r="480" spans="1:24" ht="12.75" customHeight="1" x14ac:dyDescent="0.3">
      <c r="A480" s="35"/>
      <c r="B480" s="35"/>
      <c r="C480" s="35"/>
      <c r="D480" s="35"/>
      <c r="E480" s="35"/>
      <c r="F480" s="35"/>
      <c r="G480" s="35"/>
      <c r="H480" s="234" t="s">
        <v>1173</v>
      </c>
      <c r="I480" s="306" t="s">
        <v>1174</v>
      </c>
      <c r="J480" s="234">
        <f t="shared" si="18"/>
        <v>0.98996660724988517</v>
      </c>
      <c r="K480" s="315">
        <f t="shared" si="19"/>
        <v>-1.0084066472993435E-2</v>
      </c>
      <c r="L480" s="234"/>
      <c r="M480" s="234"/>
      <c r="N480" s="234"/>
      <c r="O480" s="234"/>
      <c r="P480" s="234"/>
      <c r="Q480" s="234"/>
      <c r="R480" s="234"/>
      <c r="S480" s="35"/>
      <c r="T480" s="35"/>
      <c r="U480" s="35"/>
      <c r="V480" s="35"/>
      <c r="W480" s="35"/>
      <c r="X480" s="35"/>
    </row>
    <row r="481" spans="1:24" ht="12.75" customHeight="1" x14ac:dyDescent="0.3">
      <c r="A481" s="35"/>
      <c r="B481" s="35"/>
      <c r="C481" s="35"/>
      <c r="D481" s="35"/>
      <c r="E481" s="35"/>
      <c r="F481" s="35"/>
      <c r="G481" s="35"/>
      <c r="H481" s="234" t="s">
        <v>1175</v>
      </c>
      <c r="I481" s="306" t="s">
        <v>1176</v>
      </c>
      <c r="J481" s="234">
        <f t="shared" si="18"/>
        <v>1.0056280919281106</v>
      </c>
      <c r="K481" s="315">
        <f t="shared" si="19"/>
        <v>5.6123133930822706E-3</v>
      </c>
      <c r="L481" s="234"/>
      <c r="M481" s="234"/>
      <c r="N481" s="234"/>
      <c r="O481" s="234"/>
      <c r="P481" s="234"/>
      <c r="Q481" s="234"/>
      <c r="R481" s="234"/>
      <c r="S481" s="35"/>
      <c r="T481" s="35"/>
      <c r="U481" s="35"/>
      <c r="V481" s="35"/>
      <c r="W481" s="35"/>
      <c r="X481" s="35"/>
    </row>
    <row r="482" spans="1:24" ht="12.75" customHeight="1" x14ac:dyDescent="0.3">
      <c r="A482" s="35"/>
      <c r="B482" s="35"/>
      <c r="C482" s="35"/>
      <c r="D482" s="35"/>
      <c r="E482" s="35"/>
      <c r="F482" s="35"/>
      <c r="G482" s="35"/>
      <c r="H482" s="234" t="s">
        <v>1177</v>
      </c>
      <c r="I482" s="306" t="s">
        <v>1178</v>
      </c>
      <c r="J482" s="234">
        <f t="shared" si="18"/>
        <v>1.0027472096199432</v>
      </c>
      <c r="K482" s="315">
        <f t="shared" si="19"/>
        <v>2.7434429365974199E-3</v>
      </c>
      <c r="L482" s="234"/>
      <c r="M482" s="234"/>
      <c r="N482" s="234"/>
      <c r="O482" s="234"/>
      <c r="P482" s="234"/>
      <c r="Q482" s="234"/>
      <c r="R482" s="234"/>
      <c r="S482" s="35"/>
      <c r="T482" s="35"/>
      <c r="U482" s="35"/>
      <c r="V482" s="35"/>
      <c r="W482" s="35"/>
      <c r="X482" s="35"/>
    </row>
    <row r="483" spans="1:24" ht="12.75" customHeight="1" x14ac:dyDescent="0.3">
      <c r="A483" s="35"/>
      <c r="B483" s="35"/>
      <c r="C483" s="35"/>
      <c r="D483" s="35"/>
      <c r="E483" s="35"/>
      <c r="F483" s="35"/>
      <c r="G483" s="35"/>
      <c r="H483" s="234" t="s">
        <v>1179</v>
      </c>
      <c r="I483" s="306" t="s">
        <v>1180</v>
      </c>
      <c r="J483" s="234">
        <f t="shared" si="18"/>
        <v>0.99151698160196744</v>
      </c>
      <c r="K483" s="315">
        <f t="shared" si="19"/>
        <v>-8.5192039859317715E-3</v>
      </c>
      <c r="L483" s="234"/>
      <c r="M483" s="234"/>
      <c r="N483" s="234"/>
      <c r="O483" s="234"/>
      <c r="P483" s="234"/>
      <c r="Q483" s="234"/>
      <c r="R483" s="234"/>
      <c r="S483" s="35"/>
      <c r="T483" s="35"/>
      <c r="U483" s="35"/>
      <c r="V483" s="35"/>
      <c r="W483" s="35"/>
      <c r="X483" s="35"/>
    </row>
    <row r="484" spans="1:24" ht="12.75" customHeight="1" x14ac:dyDescent="0.3">
      <c r="A484" s="35"/>
      <c r="B484" s="35"/>
      <c r="C484" s="35"/>
      <c r="D484" s="35"/>
      <c r="E484" s="35"/>
      <c r="F484" s="35"/>
      <c r="G484" s="35"/>
      <c r="H484" s="234" t="s">
        <v>1181</v>
      </c>
      <c r="I484" s="306" t="s">
        <v>1182</v>
      </c>
      <c r="J484" s="234">
        <f t="shared" si="18"/>
        <v>0.99629371171590297</v>
      </c>
      <c r="K484" s="315">
        <f t="shared" si="19"/>
        <v>-3.7131735883994383E-3</v>
      </c>
      <c r="L484" s="234"/>
      <c r="M484" s="234"/>
      <c r="N484" s="234"/>
      <c r="O484" s="234"/>
      <c r="P484" s="234"/>
      <c r="Q484" s="234"/>
      <c r="R484" s="234"/>
      <c r="S484" s="35"/>
      <c r="T484" s="35"/>
      <c r="U484" s="35"/>
      <c r="V484" s="35"/>
      <c r="W484" s="35"/>
      <c r="X484" s="35"/>
    </row>
    <row r="485" spans="1:24" ht="12.75" customHeight="1" x14ac:dyDescent="0.3">
      <c r="A485" s="35"/>
      <c r="B485" s="35"/>
      <c r="C485" s="35"/>
      <c r="D485" s="35"/>
      <c r="E485" s="35"/>
      <c r="F485" s="35"/>
      <c r="G485" s="35"/>
      <c r="H485" s="234" t="s">
        <v>1183</v>
      </c>
      <c r="I485" s="306" t="s">
        <v>1184</v>
      </c>
      <c r="J485" s="234">
        <f t="shared" si="18"/>
        <v>1.0060376298792475</v>
      </c>
      <c r="K485" s="315">
        <f t="shared" si="19"/>
        <v>6.0194764245492804E-3</v>
      </c>
      <c r="L485" s="234"/>
      <c r="M485" s="234"/>
      <c r="N485" s="234"/>
      <c r="O485" s="234"/>
      <c r="P485" s="234"/>
      <c r="Q485" s="234"/>
      <c r="R485" s="234"/>
      <c r="S485" s="35"/>
      <c r="T485" s="35"/>
      <c r="U485" s="35"/>
      <c r="V485" s="35"/>
      <c r="W485" s="35"/>
      <c r="X485" s="35"/>
    </row>
    <row r="486" spans="1:24" ht="12.75" customHeight="1" x14ac:dyDescent="0.3">
      <c r="A486" s="35"/>
      <c r="B486" s="35"/>
      <c r="C486" s="35"/>
      <c r="D486" s="35"/>
      <c r="E486" s="35"/>
      <c r="F486" s="35"/>
      <c r="G486" s="35"/>
      <c r="H486" s="234" t="s">
        <v>1185</v>
      </c>
      <c r="I486" s="306" t="s">
        <v>1186</v>
      </c>
      <c r="J486" s="234">
        <f t="shared" si="18"/>
        <v>1.0029808707898134</v>
      </c>
      <c r="K486" s="315">
        <f t="shared" si="19"/>
        <v>2.9764368037216472E-3</v>
      </c>
      <c r="L486" s="234"/>
      <c r="M486" s="234"/>
      <c r="N486" s="234"/>
      <c r="O486" s="234"/>
      <c r="P486" s="234"/>
      <c r="Q486" s="234"/>
      <c r="R486" s="234"/>
      <c r="S486" s="35"/>
      <c r="T486" s="35"/>
      <c r="U486" s="35"/>
      <c r="V486" s="35"/>
      <c r="W486" s="35"/>
      <c r="X486" s="35"/>
    </row>
    <row r="487" spans="1:24" ht="12.75" customHeight="1" x14ac:dyDescent="0.3">
      <c r="A487" s="35"/>
      <c r="B487" s="35"/>
      <c r="C487" s="35"/>
      <c r="D487" s="35"/>
      <c r="E487" s="35"/>
      <c r="F487" s="35"/>
      <c r="G487" s="35"/>
      <c r="H487" s="234" t="s">
        <v>1187</v>
      </c>
      <c r="I487" s="306" t="s">
        <v>1188</v>
      </c>
      <c r="J487" s="234">
        <f t="shared" si="18"/>
        <v>0.99641395439485481</v>
      </c>
      <c r="K487" s="315">
        <f t="shared" si="19"/>
        <v>-3.5924908799995136E-3</v>
      </c>
      <c r="L487" s="234"/>
      <c r="M487" s="234"/>
      <c r="N487" s="234"/>
      <c r="O487" s="234"/>
      <c r="P487" s="234"/>
      <c r="Q487" s="234"/>
      <c r="R487" s="234"/>
      <c r="S487" s="35"/>
      <c r="T487" s="35"/>
      <c r="U487" s="35"/>
      <c r="V487" s="35"/>
      <c r="W487" s="35"/>
      <c r="X487" s="35"/>
    </row>
    <row r="488" spans="1:24" ht="12.75" customHeight="1" x14ac:dyDescent="0.3">
      <c r="A488" s="35"/>
      <c r="B488" s="35"/>
      <c r="C488" s="35"/>
      <c r="D488" s="35"/>
      <c r="E488" s="35"/>
      <c r="F488" s="35"/>
      <c r="G488" s="35"/>
      <c r="H488" s="234" t="s">
        <v>1189</v>
      </c>
      <c r="I488" s="306" t="s">
        <v>1190</v>
      </c>
      <c r="J488" s="234">
        <f t="shared" si="18"/>
        <v>1.013134615992165</v>
      </c>
      <c r="K488" s="315">
        <f t="shared" si="19"/>
        <v>1.3049104880073083E-2</v>
      </c>
      <c r="L488" s="234"/>
      <c r="M488" s="234"/>
      <c r="N488" s="234"/>
      <c r="O488" s="234"/>
      <c r="P488" s="234"/>
      <c r="Q488" s="234"/>
      <c r="R488" s="234"/>
      <c r="S488" s="35"/>
      <c r="T488" s="35"/>
      <c r="U488" s="35"/>
      <c r="V488" s="35"/>
      <c r="W488" s="35"/>
      <c r="X488" s="35"/>
    </row>
    <row r="489" spans="1:24" ht="12.75" customHeight="1" x14ac:dyDescent="0.3">
      <c r="A489" s="35"/>
      <c r="B489" s="35"/>
      <c r="C489" s="35"/>
      <c r="D489" s="35"/>
      <c r="E489" s="35"/>
      <c r="F489" s="35"/>
      <c r="G489" s="35"/>
      <c r="H489" s="234" t="s">
        <v>1191</v>
      </c>
      <c r="I489" s="306" t="s">
        <v>1192</v>
      </c>
      <c r="J489" s="234">
        <f t="shared" si="18"/>
        <v>0.99197718512018551</v>
      </c>
      <c r="K489" s="315">
        <f t="shared" si="19"/>
        <v>-8.0551708325230769E-3</v>
      </c>
      <c r="L489" s="234"/>
      <c r="M489" s="234"/>
      <c r="N489" s="234"/>
      <c r="O489" s="234"/>
      <c r="P489" s="234"/>
      <c r="Q489" s="234"/>
      <c r="R489" s="234"/>
      <c r="S489" s="35"/>
      <c r="T489" s="35"/>
      <c r="U489" s="35"/>
      <c r="V489" s="35"/>
      <c r="W489" s="35"/>
      <c r="X489" s="35"/>
    </row>
    <row r="490" spans="1:24" ht="12.75" customHeight="1" x14ac:dyDescent="0.3">
      <c r="A490" s="35"/>
      <c r="B490" s="35"/>
      <c r="C490" s="35"/>
      <c r="D490" s="35"/>
      <c r="E490" s="35"/>
      <c r="F490" s="35"/>
      <c r="G490" s="35"/>
      <c r="H490" s="234" t="s">
        <v>1193</v>
      </c>
      <c r="I490" s="306" t="s">
        <v>1194</v>
      </c>
      <c r="J490" s="234">
        <f t="shared" si="18"/>
        <v>1.0024898090622767</v>
      </c>
      <c r="K490" s="315">
        <f t="shared" si="19"/>
        <v>2.4867146230043878E-3</v>
      </c>
      <c r="L490" s="234"/>
      <c r="M490" s="234"/>
      <c r="N490" s="234"/>
      <c r="O490" s="234"/>
      <c r="P490" s="234"/>
      <c r="Q490" s="234"/>
      <c r="R490" s="234"/>
      <c r="S490" s="35"/>
      <c r="T490" s="35"/>
      <c r="U490" s="35"/>
      <c r="V490" s="35"/>
      <c r="W490" s="35"/>
      <c r="X490" s="35"/>
    </row>
    <row r="491" spans="1:24" ht="12.75" customHeight="1" x14ac:dyDescent="0.3">
      <c r="A491" s="35"/>
      <c r="B491" s="35"/>
      <c r="C491" s="35"/>
      <c r="D491" s="35"/>
      <c r="E491" s="35"/>
      <c r="F491" s="35"/>
      <c r="G491" s="35"/>
      <c r="H491" s="234" t="s">
        <v>1195</v>
      </c>
      <c r="I491" s="306" t="s">
        <v>1196</v>
      </c>
      <c r="J491" s="234">
        <f t="shared" si="18"/>
        <v>0.99062431919330241</v>
      </c>
      <c r="K491" s="315">
        <f t="shared" si="19"/>
        <v>-9.4199091663909607E-3</v>
      </c>
      <c r="L491" s="234"/>
      <c r="M491" s="234"/>
      <c r="N491" s="234"/>
      <c r="O491" s="234"/>
      <c r="P491" s="234"/>
      <c r="Q491" s="234"/>
      <c r="R491" s="234"/>
      <c r="S491" s="35"/>
      <c r="T491" s="35"/>
      <c r="U491" s="35"/>
      <c r="V491" s="35"/>
      <c r="W491" s="35"/>
      <c r="X491" s="35"/>
    </row>
    <row r="492" spans="1:24" ht="12.75" customHeight="1" x14ac:dyDescent="0.3">
      <c r="A492" s="35"/>
      <c r="B492" s="35"/>
      <c r="C492" s="35"/>
      <c r="D492" s="35"/>
      <c r="E492" s="35"/>
      <c r="F492" s="35"/>
      <c r="G492" s="35"/>
      <c r="H492" s="234" t="s">
        <v>1197</v>
      </c>
      <c r="I492" s="306" t="s">
        <v>1198</v>
      </c>
      <c r="J492" s="234">
        <f t="shared" si="18"/>
        <v>0.99405226887766551</v>
      </c>
      <c r="K492" s="315">
        <f t="shared" si="19"/>
        <v>-5.9654893241039408E-3</v>
      </c>
      <c r="L492" s="234"/>
      <c r="M492" s="234"/>
      <c r="N492" s="234"/>
      <c r="O492" s="234"/>
      <c r="P492" s="234"/>
      <c r="Q492" s="234"/>
      <c r="R492" s="234"/>
      <c r="S492" s="35"/>
      <c r="T492" s="35"/>
      <c r="U492" s="35"/>
      <c r="V492" s="35"/>
      <c r="W492" s="35"/>
      <c r="X492" s="35"/>
    </row>
    <row r="493" spans="1:24" ht="12.75" customHeight="1" x14ac:dyDescent="0.3">
      <c r="A493" s="35"/>
      <c r="B493" s="35"/>
      <c r="C493" s="35"/>
      <c r="D493" s="35"/>
      <c r="E493" s="35"/>
      <c r="F493" s="35"/>
      <c r="G493" s="35"/>
      <c r="H493" s="234" t="s">
        <v>1199</v>
      </c>
      <c r="I493" s="306" t="s">
        <v>1200</v>
      </c>
      <c r="J493" s="234">
        <f t="shared" si="18"/>
        <v>0.98310458883017149</v>
      </c>
      <c r="K493" s="315">
        <f t="shared" si="19"/>
        <v>-1.7039766905604856E-2</v>
      </c>
      <c r="L493" s="234"/>
      <c r="M493" s="234"/>
      <c r="N493" s="234"/>
      <c r="O493" s="234"/>
      <c r="P493" s="234"/>
      <c r="Q493" s="234"/>
      <c r="R493" s="234"/>
      <c r="S493" s="35"/>
      <c r="T493" s="35"/>
      <c r="U493" s="35"/>
      <c r="V493" s="35"/>
      <c r="W493" s="35"/>
      <c r="X493" s="35"/>
    </row>
    <row r="494" spans="1:24" ht="12.75" customHeight="1" x14ac:dyDescent="0.3">
      <c r="A494" s="35"/>
      <c r="B494" s="35"/>
      <c r="C494" s="35"/>
      <c r="D494" s="35"/>
      <c r="E494" s="35"/>
      <c r="F494" s="35"/>
      <c r="G494" s="35"/>
      <c r="H494" s="234" t="s">
        <v>1201</v>
      </c>
      <c r="I494" s="306" t="s">
        <v>1202</v>
      </c>
      <c r="J494" s="234">
        <f t="shared" si="18"/>
        <v>1.0040232693071121</v>
      </c>
      <c r="K494" s="315">
        <f t="shared" si="19"/>
        <v>4.0151976016734097E-3</v>
      </c>
      <c r="L494" s="234"/>
      <c r="M494" s="234"/>
      <c r="N494" s="234"/>
      <c r="O494" s="234"/>
      <c r="P494" s="234"/>
      <c r="Q494" s="234"/>
      <c r="R494" s="234"/>
      <c r="S494" s="35"/>
      <c r="T494" s="35"/>
      <c r="U494" s="35"/>
      <c r="V494" s="35"/>
      <c r="W494" s="35"/>
      <c r="X494" s="35"/>
    </row>
    <row r="495" spans="1:24" ht="12.75" customHeight="1" x14ac:dyDescent="0.3">
      <c r="A495" s="35"/>
      <c r="B495" s="35"/>
      <c r="C495" s="35"/>
      <c r="D495" s="35"/>
      <c r="E495" s="35"/>
      <c r="F495" s="35"/>
      <c r="G495" s="35"/>
      <c r="H495" s="234" t="s">
        <v>1203</v>
      </c>
      <c r="I495" s="306" t="s">
        <v>1204</v>
      </c>
      <c r="J495" s="234">
        <f t="shared" si="18"/>
        <v>1.0025717172335671</v>
      </c>
      <c r="K495" s="315">
        <f t="shared" si="19"/>
        <v>2.5684160274368688E-3</v>
      </c>
      <c r="L495" s="234"/>
      <c r="M495" s="234"/>
      <c r="N495" s="234"/>
      <c r="O495" s="234"/>
      <c r="P495" s="234"/>
      <c r="Q495" s="234"/>
      <c r="R495" s="234"/>
      <c r="S495" s="35"/>
      <c r="T495" s="35"/>
      <c r="U495" s="35"/>
      <c r="V495" s="35"/>
      <c r="W495" s="35"/>
      <c r="X495" s="35"/>
    </row>
    <row r="496" spans="1:24" ht="12.75" customHeight="1" x14ac:dyDescent="0.3">
      <c r="A496" s="35"/>
      <c r="B496" s="35"/>
      <c r="C496" s="35"/>
      <c r="D496" s="35"/>
      <c r="E496" s="35"/>
      <c r="F496" s="35"/>
      <c r="G496" s="35"/>
      <c r="H496" s="234" t="s">
        <v>1205</v>
      </c>
      <c r="I496" s="306" t="s">
        <v>1206</v>
      </c>
      <c r="J496" s="234">
        <f t="shared" si="18"/>
        <v>0.99855549865867732</v>
      </c>
      <c r="K496" s="315">
        <f t="shared" si="19"/>
        <v>-1.4455456391661277E-3</v>
      </c>
      <c r="L496" s="234"/>
      <c r="M496" s="234"/>
      <c r="N496" s="234"/>
      <c r="O496" s="234"/>
      <c r="P496" s="234"/>
      <c r="Q496" s="234"/>
      <c r="R496" s="234"/>
      <c r="S496" s="35"/>
      <c r="T496" s="35"/>
      <c r="U496" s="35"/>
      <c r="V496" s="35"/>
      <c r="W496" s="35"/>
      <c r="X496" s="35"/>
    </row>
    <row r="497" spans="1:24" ht="12.75" customHeight="1" x14ac:dyDescent="0.3">
      <c r="A497" s="35"/>
      <c r="B497" s="35"/>
      <c r="C497" s="35"/>
      <c r="D497" s="35"/>
      <c r="E497" s="35"/>
      <c r="F497" s="35"/>
      <c r="G497" s="35"/>
      <c r="H497" s="234" t="s">
        <v>1207</v>
      </c>
      <c r="I497" s="306" t="s">
        <v>1208</v>
      </c>
      <c r="J497" s="234">
        <f t="shared" si="18"/>
        <v>0.99538977686824348</v>
      </c>
      <c r="K497" s="315">
        <f t="shared" si="19"/>
        <v>-4.6208829859076565E-3</v>
      </c>
      <c r="L497" s="234"/>
      <c r="M497" s="234"/>
      <c r="N497" s="234"/>
      <c r="O497" s="234"/>
      <c r="P497" s="234"/>
      <c r="Q497" s="234"/>
      <c r="R497" s="234"/>
      <c r="S497" s="35"/>
      <c r="T497" s="35"/>
      <c r="U497" s="35"/>
      <c r="V497" s="35"/>
      <c r="W497" s="35"/>
      <c r="X497" s="35"/>
    </row>
    <row r="498" spans="1:24" ht="12.75" customHeight="1" x14ac:dyDescent="0.3">
      <c r="A498" s="35"/>
      <c r="B498" s="35"/>
      <c r="C498" s="35"/>
      <c r="D498" s="35"/>
      <c r="E498" s="35"/>
      <c r="F498" s="35"/>
      <c r="G498" s="35"/>
      <c r="H498" s="234" t="s">
        <v>1209</v>
      </c>
      <c r="I498" s="306" t="s">
        <v>1210</v>
      </c>
      <c r="J498" s="234">
        <f t="shared" si="18"/>
        <v>0.99262218329003804</v>
      </c>
      <c r="K498" s="315">
        <f t="shared" si="19"/>
        <v>-7.4051674083269294E-3</v>
      </c>
      <c r="L498" s="234"/>
      <c r="M498" s="234"/>
      <c r="N498" s="234"/>
      <c r="O498" s="234"/>
      <c r="P498" s="234"/>
      <c r="Q498" s="234"/>
      <c r="R498" s="234"/>
      <c r="S498" s="35"/>
      <c r="T498" s="35"/>
      <c r="U498" s="35"/>
      <c r="V498" s="35"/>
      <c r="W498" s="35"/>
      <c r="X498" s="35"/>
    </row>
    <row r="499" spans="1:24" ht="12.75" customHeight="1" x14ac:dyDescent="0.3">
      <c r="A499" s="35"/>
      <c r="B499" s="35"/>
      <c r="C499" s="35"/>
      <c r="D499" s="35"/>
      <c r="E499" s="35"/>
      <c r="F499" s="35"/>
      <c r="G499" s="35"/>
      <c r="H499" s="234" t="s">
        <v>1211</v>
      </c>
      <c r="I499" s="306" t="s">
        <v>1212</v>
      </c>
      <c r="J499" s="234">
        <f t="shared" si="18"/>
        <v>1.0030373495527294</v>
      </c>
      <c r="K499" s="315">
        <f t="shared" si="19"/>
        <v>3.0327461256991054E-3</v>
      </c>
      <c r="L499" s="234"/>
      <c r="M499" s="234"/>
      <c r="N499" s="234"/>
      <c r="O499" s="234"/>
      <c r="P499" s="234"/>
      <c r="Q499" s="234"/>
      <c r="R499" s="234"/>
      <c r="S499" s="35"/>
      <c r="T499" s="35"/>
      <c r="U499" s="35"/>
      <c r="V499" s="35"/>
      <c r="W499" s="35"/>
      <c r="X499" s="35"/>
    </row>
    <row r="500" spans="1:24" ht="12.75" customHeight="1" x14ac:dyDescent="0.3">
      <c r="A500" s="35"/>
      <c r="B500" s="35"/>
      <c r="C500" s="35"/>
      <c r="D500" s="35"/>
      <c r="E500" s="35"/>
      <c r="F500" s="35"/>
      <c r="G500" s="35"/>
      <c r="H500" s="234" t="s">
        <v>1213</v>
      </c>
      <c r="I500" s="306" t="s">
        <v>1214</v>
      </c>
      <c r="J500" s="234">
        <f t="shared" si="18"/>
        <v>1.0061348290630858</v>
      </c>
      <c r="K500" s="315">
        <f t="shared" si="19"/>
        <v>6.1160876106153292E-3</v>
      </c>
      <c r="L500" s="234"/>
      <c r="M500" s="234"/>
      <c r="N500" s="234"/>
      <c r="O500" s="234"/>
      <c r="P500" s="234"/>
      <c r="Q500" s="234"/>
      <c r="R500" s="234"/>
      <c r="S500" s="35"/>
      <c r="T500" s="35"/>
      <c r="U500" s="35"/>
      <c r="V500" s="35"/>
      <c r="W500" s="35"/>
      <c r="X500" s="35"/>
    </row>
    <row r="501" spans="1:24" ht="12.75" customHeight="1" x14ac:dyDescent="0.3">
      <c r="A501" s="35"/>
      <c r="B501" s="35"/>
      <c r="C501" s="35"/>
      <c r="D501" s="35"/>
      <c r="E501" s="35"/>
      <c r="F501" s="35"/>
      <c r="G501" s="35"/>
      <c r="H501" s="234" t="s">
        <v>1215</v>
      </c>
      <c r="I501" s="306" t="s">
        <v>1216</v>
      </c>
      <c r="J501" s="234">
        <f t="shared" si="18"/>
        <v>0.98785675030678077</v>
      </c>
      <c r="K501" s="315">
        <f t="shared" si="19"/>
        <v>-1.2217581314308411E-2</v>
      </c>
      <c r="L501" s="234"/>
      <c r="M501" s="234"/>
      <c r="N501" s="234"/>
      <c r="O501" s="234"/>
      <c r="P501" s="234"/>
      <c r="Q501" s="234"/>
      <c r="R501" s="234"/>
      <c r="S501" s="35"/>
      <c r="T501" s="35"/>
      <c r="U501" s="35"/>
      <c r="V501" s="35"/>
      <c r="W501" s="35"/>
      <c r="X501" s="35"/>
    </row>
    <row r="502" spans="1:24" ht="12.75" customHeight="1" x14ac:dyDescent="0.3">
      <c r="A502" s="35"/>
      <c r="B502" s="35"/>
      <c r="C502" s="35"/>
      <c r="D502" s="35"/>
      <c r="E502" s="35"/>
      <c r="F502" s="35"/>
      <c r="G502" s="35"/>
      <c r="H502" s="234" t="s">
        <v>1217</v>
      </c>
      <c r="I502" s="306" t="s">
        <v>1218</v>
      </c>
      <c r="J502" s="234">
        <f t="shared" si="18"/>
        <v>1.0010098193629096</v>
      </c>
      <c r="K502" s="315">
        <f t="shared" si="19"/>
        <v>1.0093098383263817E-3</v>
      </c>
      <c r="L502" s="234"/>
      <c r="M502" s="234"/>
      <c r="N502" s="234"/>
      <c r="O502" s="234"/>
      <c r="P502" s="234"/>
      <c r="Q502" s="234"/>
      <c r="R502" s="234"/>
      <c r="S502" s="35"/>
      <c r="T502" s="35"/>
      <c r="U502" s="35"/>
      <c r="V502" s="35"/>
      <c r="W502" s="35"/>
      <c r="X502" s="35"/>
    </row>
    <row r="503" spans="1:24" ht="12.75" customHeight="1" x14ac:dyDescent="0.3">
      <c r="A503" s="35"/>
      <c r="B503" s="35"/>
      <c r="C503" s="35"/>
      <c r="D503" s="35"/>
      <c r="E503" s="35"/>
      <c r="F503" s="35"/>
      <c r="G503" s="35"/>
      <c r="H503" s="234" t="s">
        <v>1219</v>
      </c>
      <c r="I503" s="306" t="s">
        <v>1220</v>
      </c>
      <c r="J503" s="234">
        <f t="shared" si="18"/>
        <v>0.98890346235821924</v>
      </c>
      <c r="K503" s="315">
        <f t="shared" si="19"/>
        <v>-1.1158563490540169E-2</v>
      </c>
      <c r="L503" s="234"/>
      <c r="M503" s="234"/>
      <c r="N503" s="234"/>
      <c r="O503" s="234"/>
      <c r="P503" s="234"/>
      <c r="Q503" s="234"/>
      <c r="R503" s="234"/>
      <c r="S503" s="35"/>
      <c r="T503" s="35"/>
      <c r="U503" s="35"/>
      <c r="V503" s="35"/>
      <c r="W503" s="35"/>
      <c r="X503" s="35"/>
    </row>
    <row r="504" spans="1:24" ht="12.75" customHeight="1" x14ac:dyDescent="0.3">
      <c r="A504" s="35"/>
      <c r="B504" s="35"/>
      <c r="C504" s="35"/>
      <c r="D504" s="35"/>
      <c r="E504" s="35"/>
      <c r="F504" s="35"/>
      <c r="G504" s="35"/>
      <c r="H504" s="234" t="s">
        <v>1221</v>
      </c>
      <c r="I504" s="306" t="s">
        <v>1222</v>
      </c>
      <c r="J504" s="234">
        <f t="shared" si="18"/>
        <v>0.99994038481601266</v>
      </c>
      <c r="K504" s="315">
        <f t="shared" si="19"/>
        <v>-5.9616961043045837E-5</v>
      </c>
      <c r="L504" s="234"/>
      <c r="M504" s="234"/>
      <c r="N504" s="234"/>
      <c r="O504" s="234"/>
      <c r="P504" s="234"/>
      <c r="Q504" s="234"/>
      <c r="R504" s="234"/>
      <c r="S504" s="35"/>
      <c r="T504" s="35"/>
      <c r="U504" s="35"/>
      <c r="V504" s="35"/>
      <c r="W504" s="35"/>
      <c r="X504" s="35"/>
    </row>
    <row r="505" spans="1:24" ht="12.75" customHeight="1" x14ac:dyDescent="0.3">
      <c r="A505" s="35"/>
      <c r="B505" s="35"/>
      <c r="C505" s="35"/>
      <c r="D505" s="35"/>
      <c r="E505" s="35"/>
      <c r="F505" s="35"/>
      <c r="G505" s="35"/>
      <c r="H505" s="234" t="s">
        <v>1223</v>
      </c>
      <c r="I505" s="306" t="s">
        <v>1224</v>
      </c>
      <c r="J505" s="234">
        <f t="shared" si="18"/>
        <v>1.00502535143758</v>
      </c>
      <c r="K505" s="315">
        <f t="shared" si="19"/>
        <v>5.0127665039111247E-3</v>
      </c>
      <c r="L505" s="234"/>
      <c r="M505" s="234"/>
      <c r="N505" s="234"/>
      <c r="O505" s="234"/>
      <c r="P505" s="234"/>
      <c r="Q505" s="234"/>
      <c r="R505" s="234"/>
      <c r="S505" s="35"/>
      <c r="T505" s="35"/>
      <c r="U505" s="35"/>
      <c r="V505" s="35"/>
      <c r="W505" s="35"/>
      <c r="X505" s="35"/>
    </row>
    <row r="506" spans="1:24" ht="12.75" customHeight="1" x14ac:dyDescent="0.3">
      <c r="A506" s="35"/>
      <c r="B506" s="35"/>
      <c r="C506" s="35"/>
      <c r="D506" s="35"/>
      <c r="E506" s="35"/>
      <c r="F506" s="35"/>
      <c r="G506" s="35"/>
      <c r="H506" s="234" t="s">
        <v>1225</v>
      </c>
      <c r="I506" s="306" t="s">
        <v>1226</v>
      </c>
      <c r="J506" s="234">
        <f t="shared" si="18"/>
        <v>1.0058002455688384</v>
      </c>
      <c r="K506" s="315">
        <f t="shared" si="19"/>
        <v>5.7834889084499661E-3</v>
      </c>
      <c r="L506" s="234"/>
      <c r="M506" s="234"/>
      <c r="N506" s="234"/>
      <c r="O506" s="234"/>
      <c r="P506" s="234"/>
      <c r="Q506" s="234"/>
      <c r="R506" s="234"/>
      <c r="S506" s="35"/>
      <c r="T506" s="35"/>
      <c r="U506" s="35"/>
      <c r="V506" s="35"/>
      <c r="W506" s="35"/>
      <c r="X506" s="35"/>
    </row>
    <row r="507" spans="1:24" ht="12.75" customHeight="1" x14ac:dyDescent="0.3">
      <c r="A507" s="35"/>
      <c r="B507" s="35"/>
      <c r="C507" s="35"/>
      <c r="D507" s="35"/>
      <c r="E507" s="35"/>
      <c r="F507" s="35"/>
      <c r="G507" s="35"/>
      <c r="H507" s="234" t="s">
        <v>1227</v>
      </c>
      <c r="I507" s="306" t="s">
        <v>1228</v>
      </c>
      <c r="J507" s="234">
        <f t="shared" si="18"/>
        <v>1.0043198014858301</v>
      </c>
      <c r="K507" s="315">
        <f t="shared" si="19"/>
        <v>4.3104979267875199E-3</v>
      </c>
      <c r="L507" s="234"/>
      <c r="M507" s="234"/>
      <c r="N507" s="234"/>
      <c r="O507" s="234"/>
      <c r="P507" s="234"/>
      <c r="Q507" s="234"/>
      <c r="R507" s="234"/>
      <c r="S507" s="35"/>
      <c r="T507" s="35"/>
      <c r="U507" s="35"/>
      <c r="V507" s="35"/>
      <c r="W507" s="35"/>
      <c r="X507" s="35"/>
    </row>
    <row r="508" spans="1:24" ht="12.75" customHeight="1" x14ac:dyDescent="0.3">
      <c r="A508" s="35"/>
      <c r="B508" s="35"/>
      <c r="C508" s="35"/>
      <c r="D508" s="35"/>
      <c r="E508" s="35"/>
      <c r="F508" s="35"/>
      <c r="G508" s="35"/>
      <c r="H508" s="234" t="s">
        <v>1229</v>
      </c>
      <c r="I508" s="306" t="s">
        <v>1230</v>
      </c>
      <c r="J508" s="234">
        <f t="shared" si="18"/>
        <v>1.0103649121734213</v>
      </c>
      <c r="K508" s="315">
        <f t="shared" si="19"/>
        <v>1.0311564781940721E-2</v>
      </c>
      <c r="L508" s="234"/>
      <c r="M508" s="234"/>
      <c r="N508" s="234"/>
      <c r="O508" s="234"/>
      <c r="P508" s="234"/>
      <c r="Q508" s="234"/>
      <c r="R508" s="234"/>
      <c r="S508" s="35"/>
      <c r="T508" s="35"/>
      <c r="U508" s="35"/>
      <c r="V508" s="35"/>
      <c r="W508" s="35"/>
      <c r="X508" s="35"/>
    </row>
    <row r="509" spans="1:24" ht="12.75" customHeight="1" x14ac:dyDescent="0.3">
      <c r="A509" s="35"/>
      <c r="B509" s="35"/>
      <c r="C509" s="35"/>
      <c r="D509" s="35"/>
      <c r="E509" s="35"/>
      <c r="F509" s="35"/>
      <c r="G509" s="35"/>
      <c r="H509" s="234" t="s">
        <v>1231</v>
      </c>
      <c r="I509" s="306" t="s">
        <v>1232</v>
      </c>
      <c r="J509" s="234">
        <f t="shared" si="18"/>
        <v>0.99222607337069879</v>
      </c>
      <c r="K509" s="315">
        <f t="shared" si="19"/>
        <v>-7.8043011186935546E-3</v>
      </c>
      <c r="L509" s="234"/>
      <c r="M509" s="234"/>
      <c r="N509" s="234"/>
      <c r="O509" s="234"/>
      <c r="P509" s="234"/>
      <c r="Q509" s="234"/>
      <c r="R509" s="234"/>
      <c r="S509" s="35"/>
      <c r="T509" s="35"/>
      <c r="U509" s="35"/>
      <c r="V509" s="35"/>
      <c r="W509" s="35"/>
      <c r="X509" s="35"/>
    </row>
    <row r="510" spans="1:24" ht="12.75" customHeight="1" x14ac:dyDescent="0.3">
      <c r="A510" s="35"/>
      <c r="B510" s="35"/>
      <c r="C510" s="35"/>
      <c r="D510" s="35"/>
      <c r="E510" s="35"/>
      <c r="F510" s="35"/>
      <c r="G510" s="35"/>
      <c r="H510" s="234" t="s">
        <v>1233</v>
      </c>
      <c r="I510" s="306" t="s">
        <v>1234</v>
      </c>
      <c r="J510" s="234">
        <f t="shared" si="18"/>
        <v>1.0058205175149517</v>
      </c>
      <c r="K510" s="315">
        <f t="shared" si="19"/>
        <v>5.8036437472605631E-3</v>
      </c>
      <c r="L510" s="234"/>
      <c r="M510" s="234"/>
      <c r="N510" s="234"/>
      <c r="O510" s="234"/>
      <c r="P510" s="234"/>
      <c r="Q510" s="234"/>
      <c r="R510" s="234"/>
      <c r="S510" s="35"/>
      <c r="T510" s="35"/>
      <c r="U510" s="35"/>
      <c r="V510" s="35"/>
      <c r="W510" s="35"/>
      <c r="X510" s="35"/>
    </row>
    <row r="511" spans="1:24" ht="12.75" customHeight="1" x14ac:dyDescent="0.3">
      <c r="A511" s="35"/>
      <c r="B511" s="35"/>
      <c r="C511" s="35"/>
      <c r="D511" s="35"/>
      <c r="E511" s="35"/>
      <c r="F511" s="35"/>
      <c r="G511" s="35"/>
      <c r="H511" s="234" t="s">
        <v>1235</v>
      </c>
      <c r="I511" s="306" t="s">
        <v>1236</v>
      </c>
      <c r="J511" s="234">
        <f t="shared" si="18"/>
        <v>1.0068048109860064</v>
      </c>
      <c r="K511" s="315">
        <f t="shared" si="19"/>
        <v>6.7817627598658146E-3</v>
      </c>
      <c r="L511" s="234"/>
      <c r="M511" s="234"/>
      <c r="N511" s="234"/>
      <c r="O511" s="234"/>
      <c r="P511" s="234"/>
      <c r="Q511" s="234"/>
      <c r="R511" s="234"/>
      <c r="S511" s="35"/>
      <c r="T511" s="35"/>
      <c r="U511" s="35"/>
      <c r="V511" s="35"/>
      <c r="W511" s="35"/>
      <c r="X511" s="35"/>
    </row>
    <row r="512" spans="1:24" ht="12.75" customHeight="1" x14ac:dyDescent="0.3">
      <c r="A512" s="35"/>
      <c r="B512" s="35"/>
      <c r="C512" s="35"/>
      <c r="D512" s="35"/>
      <c r="E512" s="35"/>
      <c r="F512" s="35"/>
      <c r="G512" s="35"/>
      <c r="H512" s="234" t="s">
        <v>1237</v>
      </c>
      <c r="I512" s="306" t="s">
        <v>1238</v>
      </c>
      <c r="J512" s="234">
        <f t="shared" si="18"/>
        <v>0.99510860427079995</v>
      </c>
      <c r="K512" s="315">
        <f t="shared" si="19"/>
        <v>-4.9033977590699201E-3</v>
      </c>
      <c r="L512" s="234"/>
      <c r="M512" s="234"/>
      <c r="N512" s="234"/>
      <c r="O512" s="234"/>
      <c r="P512" s="234"/>
      <c r="Q512" s="234"/>
      <c r="R512" s="234"/>
      <c r="S512" s="35"/>
      <c r="T512" s="35"/>
      <c r="U512" s="35"/>
      <c r="V512" s="35"/>
      <c r="W512" s="35"/>
      <c r="X512" s="35"/>
    </row>
    <row r="513" spans="1:24" ht="12.75" customHeight="1" x14ac:dyDescent="0.3">
      <c r="A513" s="35"/>
      <c r="B513" s="35"/>
      <c r="C513" s="35"/>
      <c r="D513" s="35"/>
      <c r="E513" s="35"/>
      <c r="F513" s="35"/>
      <c r="G513" s="35"/>
      <c r="H513" s="234" t="s">
        <v>1239</v>
      </c>
      <c r="I513" s="306" t="s">
        <v>1240</v>
      </c>
      <c r="J513" s="234">
        <f t="shared" si="18"/>
        <v>1.0106048552163065</v>
      </c>
      <c r="K513" s="315">
        <f t="shared" si="19"/>
        <v>1.054901815495435E-2</v>
      </c>
      <c r="L513" s="234"/>
      <c r="M513" s="234"/>
      <c r="N513" s="234"/>
      <c r="O513" s="234"/>
      <c r="P513" s="234"/>
      <c r="Q513" s="234"/>
      <c r="R513" s="234"/>
      <c r="S513" s="35"/>
      <c r="T513" s="35"/>
      <c r="U513" s="35"/>
      <c r="V513" s="35"/>
      <c r="W513" s="35"/>
      <c r="X513" s="35"/>
    </row>
    <row r="514" spans="1:24" ht="12.75" customHeight="1" x14ac:dyDescent="0.3">
      <c r="A514" s="35"/>
      <c r="B514" s="35"/>
      <c r="C514" s="35"/>
      <c r="D514" s="35"/>
      <c r="E514" s="35"/>
      <c r="F514" s="35"/>
      <c r="G514" s="35"/>
      <c r="H514" s="234" t="s">
        <v>1241</v>
      </c>
      <c r="I514" s="306" t="s">
        <v>1242</v>
      </c>
      <c r="J514" s="234">
        <f t="shared" si="18"/>
        <v>1.024231444709903</v>
      </c>
      <c r="K514" s="315">
        <f t="shared" si="19"/>
        <v>2.3942521303107867E-2</v>
      </c>
      <c r="L514" s="234"/>
      <c r="M514" s="234"/>
      <c r="N514" s="234"/>
      <c r="O514" s="234"/>
      <c r="P514" s="234"/>
      <c r="Q514" s="234"/>
      <c r="R514" s="234"/>
      <c r="S514" s="35"/>
      <c r="T514" s="35"/>
      <c r="U514" s="35"/>
      <c r="V514" s="35"/>
      <c r="W514" s="35"/>
      <c r="X514" s="35"/>
    </row>
    <row r="515" spans="1:24" ht="12.75" customHeight="1" x14ac:dyDescent="0.3">
      <c r="A515" s="35"/>
      <c r="B515" s="35"/>
      <c r="C515" s="35"/>
      <c r="D515" s="35"/>
      <c r="E515" s="35"/>
      <c r="F515" s="35"/>
      <c r="G515" s="35"/>
      <c r="H515" s="234" t="s">
        <v>1243</v>
      </c>
      <c r="I515" s="306" t="s">
        <v>1244</v>
      </c>
      <c r="J515" s="234">
        <f t="shared" si="18"/>
        <v>0.99592666419797826</v>
      </c>
      <c r="K515" s="315">
        <f t="shared" si="19"/>
        <v>-4.0816544316991396E-3</v>
      </c>
      <c r="L515" s="234"/>
      <c r="M515" s="234"/>
      <c r="N515" s="234"/>
      <c r="O515" s="234"/>
      <c r="P515" s="234"/>
      <c r="Q515" s="234"/>
      <c r="R515" s="234"/>
      <c r="S515" s="35"/>
      <c r="T515" s="35"/>
      <c r="U515" s="35"/>
      <c r="V515" s="35"/>
      <c r="W515" s="35"/>
      <c r="X515" s="35"/>
    </row>
    <row r="516" spans="1:24" ht="12.75" customHeight="1" x14ac:dyDescent="0.3">
      <c r="A516" s="35"/>
      <c r="B516" s="35"/>
      <c r="C516" s="35"/>
      <c r="D516" s="35"/>
      <c r="E516" s="35"/>
      <c r="F516" s="35"/>
      <c r="G516" s="35"/>
      <c r="H516" s="234" t="s">
        <v>1245</v>
      </c>
      <c r="I516" s="306" t="s">
        <v>1246</v>
      </c>
      <c r="J516" s="234">
        <f t="shared" si="18"/>
        <v>0.99866239682752</v>
      </c>
      <c r="K516" s="315">
        <f t="shared" si="19"/>
        <v>-1.3384985621432768E-3</v>
      </c>
      <c r="L516" s="234"/>
      <c r="M516" s="234"/>
      <c r="N516" s="234"/>
      <c r="O516" s="234"/>
      <c r="P516" s="234"/>
      <c r="Q516" s="234"/>
      <c r="R516" s="234"/>
      <c r="S516" s="35"/>
      <c r="T516" s="35"/>
      <c r="U516" s="35"/>
      <c r="V516" s="35"/>
      <c r="W516" s="35"/>
      <c r="X516" s="35"/>
    </row>
    <row r="517" spans="1:24" ht="12.75" customHeight="1" x14ac:dyDescent="0.3">
      <c r="A517" s="35"/>
      <c r="B517" s="35"/>
      <c r="C517" s="35"/>
      <c r="D517" s="35"/>
      <c r="E517" s="35"/>
      <c r="F517" s="35"/>
      <c r="G517" s="35"/>
      <c r="H517" s="234" t="s">
        <v>1247</v>
      </c>
      <c r="I517" s="306" t="s">
        <v>1248</v>
      </c>
      <c r="J517" s="234">
        <f t="shared" ref="J517:J580" si="20">I517/I518</f>
        <v>1.0085945559876199</v>
      </c>
      <c r="K517" s="315">
        <f t="shared" ref="K517:K580" si="21">LN(J517)</f>
        <v>8.5578330528412322E-3</v>
      </c>
      <c r="L517" s="234"/>
      <c r="M517" s="234"/>
      <c r="N517" s="234"/>
      <c r="O517" s="234"/>
      <c r="P517" s="234"/>
      <c r="Q517" s="234"/>
      <c r="R517" s="234"/>
      <c r="S517" s="35"/>
      <c r="T517" s="35"/>
      <c r="U517" s="35"/>
      <c r="V517" s="35"/>
      <c r="W517" s="35"/>
      <c r="X517" s="35"/>
    </row>
    <row r="518" spans="1:24" ht="12.75" customHeight="1" x14ac:dyDescent="0.3">
      <c r="A518" s="35"/>
      <c r="B518" s="35"/>
      <c r="C518" s="35"/>
      <c r="D518" s="35"/>
      <c r="E518" s="35"/>
      <c r="F518" s="35"/>
      <c r="G518" s="35"/>
      <c r="H518" s="234" t="s">
        <v>1249</v>
      </c>
      <c r="I518" s="306" t="s">
        <v>1250</v>
      </c>
      <c r="J518" s="234">
        <f t="shared" si="20"/>
        <v>1.0030806460600368</v>
      </c>
      <c r="K518" s="315">
        <f t="shared" si="21"/>
        <v>3.0759105930024217E-3</v>
      </c>
      <c r="L518" s="234"/>
      <c r="M518" s="234"/>
      <c r="N518" s="234"/>
      <c r="O518" s="234"/>
      <c r="P518" s="234"/>
      <c r="Q518" s="234"/>
      <c r="R518" s="234"/>
      <c r="S518" s="35"/>
      <c r="T518" s="35"/>
      <c r="U518" s="35"/>
      <c r="V518" s="35"/>
      <c r="W518" s="35"/>
      <c r="X518" s="35"/>
    </row>
    <row r="519" spans="1:24" ht="12.75" customHeight="1" x14ac:dyDescent="0.3">
      <c r="A519" s="35"/>
      <c r="B519" s="35"/>
      <c r="C519" s="35"/>
      <c r="D519" s="35"/>
      <c r="E519" s="35"/>
      <c r="F519" s="35"/>
      <c r="G519" s="35"/>
      <c r="H519" s="234" t="s">
        <v>1251</v>
      </c>
      <c r="I519" s="306" t="s">
        <v>1252</v>
      </c>
      <c r="J519" s="234">
        <f t="shared" si="20"/>
        <v>0.98988235479524378</v>
      </c>
      <c r="K519" s="315">
        <f t="shared" si="21"/>
        <v>-1.0169176454923788E-2</v>
      </c>
      <c r="L519" s="234"/>
      <c r="M519" s="234"/>
      <c r="N519" s="234"/>
      <c r="O519" s="234"/>
      <c r="P519" s="234"/>
      <c r="Q519" s="234"/>
      <c r="R519" s="234"/>
      <c r="S519" s="35"/>
      <c r="T519" s="35"/>
      <c r="U519" s="35"/>
      <c r="V519" s="35"/>
      <c r="W519" s="35"/>
      <c r="X519" s="35"/>
    </row>
    <row r="520" spans="1:24" ht="12.75" customHeight="1" x14ac:dyDescent="0.3">
      <c r="A520" s="35"/>
      <c r="B520" s="35"/>
      <c r="C520" s="35"/>
      <c r="D520" s="35"/>
      <c r="E520" s="35"/>
      <c r="F520" s="35"/>
      <c r="G520" s="35"/>
      <c r="H520" s="234" t="s">
        <v>1253</v>
      </c>
      <c r="I520" s="306" t="s">
        <v>1254</v>
      </c>
      <c r="J520" s="234">
        <f t="shared" si="20"/>
        <v>1.0008280626488542</v>
      </c>
      <c r="K520" s="315">
        <f t="shared" si="21"/>
        <v>8.277199941256159E-4</v>
      </c>
      <c r="L520" s="234"/>
      <c r="M520" s="234"/>
      <c r="N520" s="234"/>
      <c r="O520" s="234"/>
      <c r="P520" s="234"/>
      <c r="Q520" s="234"/>
      <c r="R520" s="234"/>
      <c r="S520" s="35"/>
      <c r="T520" s="35"/>
      <c r="U520" s="35"/>
      <c r="V520" s="35"/>
      <c r="W520" s="35"/>
      <c r="X520" s="35"/>
    </row>
    <row r="521" spans="1:24" ht="12.75" customHeight="1" x14ac:dyDescent="0.3">
      <c r="A521" s="35"/>
      <c r="B521" s="35"/>
      <c r="C521" s="35"/>
      <c r="D521" s="35"/>
      <c r="E521" s="35"/>
      <c r="F521" s="35"/>
      <c r="G521" s="35"/>
      <c r="H521" s="234" t="s">
        <v>1255</v>
      </c>
      <c r="I521" s="306" t="s">
        <v>1256</v>
      </c>
      <c r="J521" s="234">
        <f t="shared" si="20"/>
        <v>0.98922634046636448</v>
      </c>
      <c r="K521" s="315">
        <f t="shared" si="21"/>
        <v>-1.0832115640099232E-2</v>
      </c>
      <c r="L521" s="234"/>
      <c r="M521" s="234"/>
      <c r="N521" s="234"/>
      <c r="O521" s="234"/>
      <c r="P521" s="234"/>
      <c r="Q521" s="234"/>
      <c r="R521" s="234"/>
      <c r="S521" s="35"/>
      <c r="T521" s="35"/>
      <c r="U521" s="35"/>
      <c r="V521" s="35"/>
      <c r="W521" s="35"/>
      <c r="X521" s="35"/>
    </row>
    <row r="522" spans="1:24" ht="12.75" customHeight="1" x14ac:dyDescent="0.3">
      <c r="A522" s="35"/>
      <c r="B522" s="35"/>
      <c r="C522" s="35"/>
      <c r="D522" s="35"/>
      <c r="E522" s="35"/>
      <c r="F522" s="35"/>
      <c r="G522" s="35"/>
      <c r="H522" s="234" t="s">
        <v>1257</v>
      </c>
      <c r="I522" s="306" t="s">
        <v>1258</v>
      </c>
      <c r="J522" s="234">
        <f t="shared" si="20"/>
        <v>1.0066912220904571</v>
      </c>
      <c r="K522" s="315">
        <f t="shared" si="21"/>
        <v>6.6689352262588189E-3</v>
      </c>
      <c r="L522" s="234"/>
      <c r="M522" s="234"/>
      <c r="N522" s="234"/>
      <c r="O522" s="234"/>
      <c r="P522" s="234"/>
      <c r="Q522" s="234"/>
      <c r="R522" s="234"/>
      <c r="S522" s="35"/>
      <c r="T522" s="35"/>
      <c r="U522" s="35"/>
      <c r="V522" s="35"/>
      <c r="W522" s="35"/>
      <c r="X522" s="35"/>
    </row>
    <row r="523" spans="1:24" ht="12.75" customHeight="1" x14ac:dyDescent="0.3">
      <c r="A523" s="35"/>
      <c r="B523" s="35"/>
      <c r="C523" s="35"/>
      <c r="D523" s="35"/>
      <c r="E523" s="35"/>
      <c r="F523" s="35"/>
      <c r="G523" s="35"/>
      <c r="H523" s="234" t="s">
        <v>1259</v>
      </c>
      <c r="I523" s="306" t="s">
        <v>1260</v>
      </c>
      <c r="J523" s="234">
        <f t="shared" si="20"/>
        <v>1.0092178682391733</v>
      </c>
      <c r="K523" s="315">
        <f t="shared" si="21"/>
        <v>9.1756429779814505E-3</v>
      </c>
      <c r="L523" s="234"/>
      <c r="M523" s="234"/>
      <c r="N523" s="234"/>
      <c r="O523" s="234"/>
      <c r="P523" s="234"/>
      <c r="Q523" s="234"/>
      <c r="R523" s="234"/>
      <c r="S523" s="35"/>
      <c r="T523" s="35"/>
      <c r="U523" s="35"/>
      <c r="V523" s="35"/>
      <c r="W523" s="35"/>
      <c r="X523" s="35"/>
    </row>
    <row r="524" spans="1:24" ht="12.75" customHeight="1" x14ac:dyDescent="0.3">
      <c r="A524" s="35"/>
      <c r="B524" s="35"/>
      <c r="C524" s="35"/>
      <c r="D524" s="35"/>
      <c r="E524" s="35"/>
      <c r="F524" s="35"/>
      <c r="G524" s="35"/>
      <c r="H524" s="234" t="s">
        <v>1261</v>
      </c>
      <c r="I524" s="306" t="s">
        <v>1262</v>
      </c>
      <c r="J524" s="234">
        <f t="shared" si="20"/>
        <v>0.99705233876767219</v>
      </c>
      <c r="K524" s="315">
        <f t="shared" si="21"/>
        <v>-2.9520141417374592E-3</v>
      </c>
      <c r="L524" s="234"/>
      <c r="M524" s="234"/>
      <c r="N524" s="234"/>
      <c r="O524" s="234"/>
      <c r="P524" s="234"/>
      <c r="Q524" s="234"/>
      <c r="R524" s="234"/>
      <c r="S524" s="35"/>
      <c r="T524" s="35"/>
      <c r="U524" s="35"/>
      <c r="V524" s="35"/>
      <c r="W524" s="35"/>
      <c r="X524" s="35"/>
    </row>
    <row r="525" spans="1:24" ht="12.75" customHeight="1" x14ac:dyDescent="0.3">
      <c r="A525" s="35"/>
      <c r="B525" s="35"/>
      <c r="C525" s="35"/>
      <c r="D525" s="35"/>
      <c r="E525" s="35"/>
      <c r="F525" s="35"/>
      <c r="G525" s="35"/>
      <c r="H525" s="234" t="s">
        <v>1263</v>
      </c>
      <c r="I525" s="306" t="s">
        <v>1264</v>
      </c>
      <c r="J525" s="234">
        <f t="shared" si="20"/>
        <v>1.0064823505082481</v>
      </c>
      <c r="K525" s="315">
        <f t="shared" si="21"/>
        <v>6.4614304330293847E-3</v>
      </c>
      <c r="L525" s="234"/>
      <c r="M525" s="234"/>
      <c r="N525" s="234"/>
      <c r="O525" s="234"/>
      <c r="P525" s="234"/>
      <c r="Q525" s="234"/>
      <c r="R525" s="234"/>
      <c r="S525" s="35"/>
      <c r="T525" s="35"/>
      <c r="U525" s="35"/>
      <c r="V525" s="35"/>
      <c r="W525" s="35"/>
      <c r="X525" s="35"/>
    </row>
    <row r="526" spans="1:24" ht="12.75" customHeight="1" x14ac:dyDescent="0.3">
      <c r="A526" s="35"/>
      <c r="B526" s="35"/>
      <c r="C526" s="35"/>
      <c r="D526" s="35"/>
      <c r="E526" s="35"/>
      <c r="F526" s="35"/>
      <c r="G526" s="35"/>
      <c r="H526" s="234" t="s">
        <v>1265</v>
      </c>
      <c r="I526" s="306" t="s">
        <v>1266</v>
      </c>
      <c r="J526" s="234">
        <f t="shared" si="20"/>
        <v>1.0016651130922505</v>
      </c>
      <c r="K526" s="315">
        <f t="shared" si="21"/>
        <v>1.663728328424629E-3</v>
      </c>
      <c r="L526" s="234"/>
      <c r="M526" s="234"/>
      <c r="N526" s="234"/>
      <c r="O526" s="234"/>
      <c r="P526" s="234"/>
      <c r="Q526" s="234"/>
      <c r="R526" s="234"/>
      <c r="S526" s="35"/>
      <c r="T526" s="35"/>
      <c r="U526" s="35"/>
      <c r="V526" s="35"/>
      <c r="W526" s="35"/>
      <c r="X526" s="35"/>
    </row>
    <row r="527" spans="1:24" ht="12.75" customHeight="1" x14ac:dyDescent="0.3">
      <c r="A527" s="35"/>
      <c r="B527" s="35"/>
      <c r="C527" s="35"/>
      <c r="D527" s="35"/>
      <c r="E527" s="35"/>
      <c r="F527" s="35"/>
      <c r="G527" s="35"/>
      <c r="H527" s="234" t="s">
        <v>1267</v>
      </c>
      <c r="I527" s="306" t="s">
        <v>1268</v>
      </c>
      <c r="J527" s="234">
        <f t="shared" si="20"/>
        <v>0.99181370651031586</v>
      </c>
      <c r="K527" s="315">
        <f t="shared" si="21"/>
        <v>-8.2199851896505478E-3</v>
      </c>
      <c r="L527" s="234"/>
      <c r="M527" s="234"/>
      <c r="N527" s="234"/>
      <c r="O527" s="234"/>
      <c r="P527" s="234"/>
      <c r="Q527" s="234"/>
      <c r="R527" s="234"/>
      <c r="S527" s="35"/>
      <c r="T527" s="35"/>
      <c r="U527" s="35"/>
      <c r="V527" s="35"/>
      <c r="W527" s="35"/>
      <c r="X527" s="35"/>
    </row>
    <row r="528" spans="1:24" ht="12.75" customHeight="1" x14ac:dyDescent="0.3">
      <c r="A528" s="35"/>
      <c r="B528" s="35"/>
      <c r="C528" s="35"/>
      <c r="D528" s="35"/>
      <c r="E528" s="35"/>
      <c r="F528" s="35"/>
      <c r="G528" s="35"/>
      <c r="H528" s="234" t="s">
        <v>1269</v>
      </c>
      <c r="I528" s="306" t="s">
        <v>1270</v>
      </c>
      <c r="J528" s="234">
        <f t="shared" si="20"/>
        <v>1.0041099694529299</v>
      </c>
      <c r="K528" s="315">
        <f t="shared" si="21"/>
        <v>4.1015465990389454E-3</v>
      </c>
      <c r="L528" s="234"/>
      <c r="M528" s="234"/>
      <c r="N528" s="234"/>
      <c r="O528" s="234"/>
      <c r="P528" s="234"/>
      <c r="Q528" s="234"/>
      <c r="R528" s="234"/>
      <c r="S528" s="35"/>
      <c r="T528" s="35"/>
      <c r="U528" s="35"/>
      <c r="V528" s="35"/>
      <c r="W528" s="35"/>
      <c r="X528" s="35"/>
    </row>
    <row r="529" spans="1:24" ht="12.75" customHeight="1" x14ac:dyDescent="0.3">
      <c r="A529" s="35"/>
      <c r="B529" s="35"/>
      <c r="C529" s="35"/>
      <c r="D529" s="35"/>
      <c r="E529" s="35"/>
      <c r="F529" s="35"/>
      <c r="G529" s="35"/>
      <c r="H529" s="234" t="s">
        <v>1271</v>
      </c>
      <c r="I529" s="306" t="s">
        <v>1272</v>
      </c>
      <c r="J529" s="234">
        <f t="shared" si="20"/>
        <v>1.0032556954770508</v>
      </c>
      <c r="K529" s="315">
        <f t="shared" si="21"/>
        <v>3.2504071754888243E-3</v>
      </c>
      <c r="L529" s="234"/>
      <c r="M529" s="234"/>
      <c r="N529" s="234"/>
      <c r="O529" s="234"/>
      <c r="P529" s="234"/>
      <c r="Q529" s="234"/>
      <c r="R529" s="234"/>
      <c r="S529" s="35"/>
      <c r="T529" s="35"/>
      <c r="U529" s="35"/>
      <c r="V529" s="35"/>
      <c r="W529" s="35"/>
      <c r="X529" s="35"/>
    </row>
    <row r="530" spans="1:24" ht="12.75" customHeight="1" x14ac:dyDescent="0.3">
      <c r="A530" s="35"/>
      <c r="B530" s="35"/>
      <c r="C530" s="35"/>
      <c r="D530" s="35"/>
      <c r="E530" s="35"/>
      <c r="F530" s="35"/>
      <c r="G530" s="35"/>
      <c r="H530" s="234" t="s">
        <v>1273</v>
      </c>
      <c r="I530" s="306" t="s">
        <v>1274</v>
      </c>
      <c r="J530" s="234">
        <f t="shared" si="20"/>
        <v>0.99737211905650336</v>
      </c>
      <c r="K530" s="315">
        <f t="shared" si="21"/>
        <v>-2.6313398837409024E-3</v>
      </c>
      <c r="L530" s="234"/>
      <c r="M530" s="234"/>
      <c r="N530" s="234"/>
      <c r="O530" s="234"/>
      <c r="P530" s="234"/>
      <c r="Q530" s="234"/>
      <c r="R530" s="234"/>
      <c r="S530" s="35"/>
      <c r="T530" s="35"/>
      <c r="U530" s="35"/>
      <c r="V530" s="35"/>
      <c r="W530" s="35"/>
      <c r="X530" s="35"/>
    </row>
    <row r="531" spans="1:24" ht="12.75" customHeight="1" x14ac:dyDescent="0.3">
      <c r="A531" s="35"/>
      <c r="B531" s="35"/>
      <c r="C531" s="35"/>
      <c r="D531" s="35"/>
      <c r="E531" s="35"/>
      <c r="F531" s="35"/>
      <c r="G531" s="35"/>
      <c r="H531" s="234" t="s">
        <v>1275</v>
      </c>
      <c r="I531" s="306" t="s">
        <v>1276</v>
      </c>
      <c r="J531" s="234">
        <f t="shared" si="20"/>
        <v>1.0094892324461222</v>
      </c>
      <c r="K531" s="315">
        <f t="shared" si="21"/>
        <v>9.4444924891278204E-3</v>
      </c>
      <c r="L531" s="234"/>
      <c r="M531" s="234"/>
      <c r="N531" s="234"/>
      <c r="O531" s="234"/>
      <c r="P531" s="234"/>
      <c r="Q531" s="234"/>
      <c r="R531" s="234"/>
      <c r="S531" s="35"/>
      <c r="T531" s="35"/>
      <c r="U531" s="35"/>
      <c r="V531" s="35"/>
      <c r="W531" s="35"/>
      <c r="X531" s="35"/>
    </row>
    <row r="532" spans="1:24" ht="12.75" customHeight="1" x14ac:dyDescent="0.3">
      <c r="A532" s="35"/>
      <c r="B532" s="35"/>
      <c r="C532" s="35"/>
      <c r="D532" s="35"/>
      <c r="E532" s="35"/>
      <c r="F532" s="35"/>
      <c r="G532" s="35"/>
      <c r="H532" s="234" t="s">
        <v>1277</v>
      </c>
      <c r="I532" s="306" t="s">
        <v>1278</v>
      </c>
      <c r="J532" s="234">
        <f t="shared" si="20"/>
        <v>1.0010751049029598</v>
      </c>
      <c r="K532" s="315">
        <f t="shared" si="21"/>
        <v>1.0745273915701153E-3</v>
      </c>
      <c r="L532" s="234"/>
      <c r="M532" s="234"/>
      <c r="N532" s="234"/>
      <c r="O532" s="234"/>
      <c r="P532" s="234"/>
      <c r="Q532" s="234"/>
      <c r="R532" s="234"/>
      <c r="S532" s="35"/>
      <c r="T532" s="35"/>
      <c r="U532" s="35"/>
      <c r="V532" s="35"/>
      <c r="W532" s="35"/>
      <c r="X532" s="35"/>
    </row>
    <row r="533" spans="1:24" ht="12.75" customHeight="1" x14ac:dyDescent="0.3">
      <c r="A533" s="35"/>
      <c r="B533" s="35"/>
      <c r="C533" s="35"/>
      <c r="D533" s="35"/>
      <c r="E533" s="35"/>
      <c r="F533" s="35"/>
      <c r="G533" s="35"/>
      <c r="H533" s="234" t="s">
        <v>1279</v>
      </c>
      <c r="I533" s="306" t="s">
        <v>1280</v>
      </c>
      <c r="J533" s="234">
        <f t="shared" si="20"/>
        <v>1.0119676856249746</v>
      </c>
      <c r="K533" s="315">
        <f t="shared" si="21"/>
        <v>1.1896639154844211E-2</v>
      </c>
      <c r="L533" s="234"/>
      <c r="M533" s="234"/>
      <c r="N533" s="234"/>
      <c r="O533" s="234"/>
      <c r="P533" s="234"/>
      <c r="Q533" s="234"/>
      <c r="R533" s="234"/>
      <c r="S533" s="35"/>
      <c r="T533" s="35"/>
      <c r="U533" s="35"/>
      <c r="V533" s="35"/>
      <c r="W533" s="35"/>
      <c r="X533" s="35"/>
    </row>
    <row r="534" spans="1:24" ht="12.75" customHeight="1" x14ac:dyDescent="0.3">
      <c r="A534" s="35"/>
      <c r="B534" s="35"/>
      <c r="C534" s="35"/>
      <c r="D534" s="35"/>
      <c r="E534" s="35"/>
      <c r="F534" s="35"/>
      <c r="G534" s="35"/>
      <c r="H534" s="234" t="s">
        <v>1281</v>
      </c>
      <c r="I534" s="306" t="s">
        <v>1282</v>
      </c>
      <c r="J534" s="234">
        <f t="shared" si="20"/>
        <v>1.02287166454892</v>
      </c>
      <c r="K534" s="315">
        <f t="shared" si="21"/>
        <v>2.2614029001160173E-2</v>
      </c>
      <c r="L534" s="234"/>
      <c r="M534" s="234"/>
      <c r="N534" s="234"/>
      <c r="O534" s="234"/>
      <c r="P534" s="234"/>
      <c r="Q534" s="234"/>
      <c r="R534" s="234"/>
      <c r="S534" s="35"/>
      <c r="T534" s="35"/>
      <c r="U534" s="35"/>
      <c r="V534" s="35"/>
      <c r="W534" s="35"/>
      <c r="X534" s="35"/>
    </row>
    <row r="535" spans="1:24" ht="12.75" customHeight="1" x14ac:dyDescent="0.3">
      <c r="A535" s="35"/>
      <c r="B535" s="35"/>
      <c r="C535" s="35"/>
      <c r="D535" s="35"/>
      <c r="E535" s="35"/>
      <c r="F535" s="35"/>
      <c r="G535" s="35"/>
      <c r="H535" s="234" t="s">
        <v>1283</v>
      </c>
      <c r="I535" s="306" t="s">
        <v>1284</v>
      </c>
      <c r="J535" s="234">
        <f t="shared" si="20"/>
        <v>0.99875581655759327</v>
      </c>
      <c r="K535" s="315">
        <f t="shared" si="21"/>
        <v>-1.2449580812210991E-3</v>
      </c>
      <c r="L535" s="234"/>
      <c r="M535" s="234"/>
      <c r="N535" s="234"/>
      <c r="O535" s="234"/>
      <c r="P535" s="234"/>
      <c r="Q535" s="234"/>
      <c r="R535" s="234"/>
      <c r="S535" s="35"/>
      <c r="T535" s="35"/>
      <c r="U535" s="35"/>
      <c r="V535" s="35"/>
      <c r="W535" s="35"/>
      <c r="X535" s="35"/>
    </row>
    <row r="536" spans="1:24" ht="12.75" customHeight="1" x14ac:dyDescent="0.3">
      <c r="A536" s="35"/>
      <c r="B536" s="35"/>
      <c r="C536" s="35"/>
      <c r="D536" s="35"/>
      <c r="E536" s="35"/>
      <c r="F536" s="35"/>
      <c r="G536" s="35"/>
      <c r="H536" s="234" t="s">
        <v>1285</v>
      </c>
      <c r="I536" s="306" t="s">
        <v>1286</v>
      </c>
      <c r="J536" s="234">
        <f t="shared" si="20"/>
        <v>1.0128112503780369</v>
      </c>
      <c r="K536" s="315">
        <f t="shared" si="21"/>
        <v>1.2729880539243539E-2</v>
      </c>
      <c r="L536" s="234"/>
      <c r="M536" s="234"/>
      <c r="N536" s="234"/>
      <c r="O536" s="234"/>
      <c r="P536" s="234"/>
      <c r="Q536" s="234"/>
      <c r="R536" s="234"/>
      <c r="S536" s="35"/>
      <c r="T536" s="35"/>
      <c r="U536" s="35"/>
      <c r="V536" s="35"/>
      <c r="W536" s="35"/>
      <c r="X536" s="35"/>
    </row>
    <row r="537" spans="1:24" ht="12.75" customHeight="1" x14ac:dyDescent="0.3">
      <c r="A537" s="35"/>
      <c r="B537" s="35"/>
      <c r="C537" s="35"/>
      <c r="D537" s="35"/>
      <c r="E537" s="35"/>
      <c r="F537" s="35"/>
      <c r="G537" s="35"/>
      <c r="H537" s="234" t="s">
        <v>1287</v>
      </c>
      <c r="I537" s="306" t="s">
        <v>1288</v>
      </c>
      <c r="J537" s="234">
        <f t="shared" si="20"/>
        <v>0.99879174358113776</v>
      </c>
      <c r="K537" s="315">
        <f t="shared" si="21"/>
        <v>-1.2089869491536656E-3</v>
      </c>
      <c r="L537" s="234"/>
      <c r="M537" s="234"/>
      <c r="N537" s="234"/>
      <c r="O537" s="234"/>
      <c r="P537" s="234"/>
      <c r="Q537" s="234"/>
      <c r="R537" s="234"/>
      <c r="S537" s="35"/>
      <c r="T537" s="35"/>
      <c r="U537" s="35"/>
      <c r="V537" s="35"/>
      <c r="W537" s="35"/>
      <c r="X537" s="35"/>
    </row>
    <row r="538" spans="1:24" ht="12.75" customHeight="1" x14ac:dyDescent="0.3">
      <c r="A538" s="35"/>
      <c r="B538" s="35"/>
      <c r="C538" s="35"/>
      <c r="D538" s="35"/>
      <c r="E538" s="35"/>
      <c r="F538" s="35"/>
      <c r="G538" s="35"/>
      <c r="H538" s="234" t="s">
        <v>1289</v>
      </c>
      <c r="I538" s="306" t="s">
        <v>1290</v>
      </c>
      <c r="J538" s="234">
        <f t="shared" si="20"/>
        <v>0.99926216587852568</v>
      </c>
      <c r="K538" s="315">
        <f t="shared" si="21"/>
        <v>-7.3810645503596516E-4</v>
      </c>
      <c r="L538" s="234"/>
      <c r="M538" s="234"/>
      <c r="N538" s="234"/>
      <c r="O538" s="234"/>
      <c r="P538" s="234"/>
      <c r="Q538" s="234"/>
      <c r="R538" s="234"/>
      <c r="S538" s="35"/>
      <c r="T538" s="35"/>
      <c r="U538" s="35"/>
      <c r="V538" s="35"/>
      <c r="W538" s="35"/>
      <c r="X538" s="35"/>
    </row>
    <row r="539" spans="1:24" ht="12.75" customHeight="1" x14ac:dyDescent="0.3">
      <c r="A539" s="35"/>
      <c r="B539" s="35"/>
      <c r="C539" s="35"/>
      <c r="D539" s="35"/>
      <c r="E539" s="35"/>
      <c r="F539" s="35"/>
      <c r="G539" s="35"/>
      <c r="H539" s="234" t="s">
        <v>1291</v>
      </c>
      <c r="I539" s="306" t="s">
        <v>1292</v>
      </c>
      <c r="J539" s="234">
        <f t="shared" si="20"/>
        <v>1.0071439428484572</v>
      </c>
      <c r="K539" s="315">
        <f t="shared" si="21"/>
        <v>7.1185457738432798E-3</v>
      </c>
      <c r="L539" s="234"/>
      <c r="M539" s="234"/>
      <c r="N539" s="234"/>
      <c r="O539" s="234"/>
      <c r="P539" s="234"/>
      <c r="Q539" s="234"/>
      <c r="R539" s="234"/>
      <c r="S539" s="35"/>
      <c r="T539" s="35"/>
      <c r="U539" s="35"/>
      <c r="V539" s="35"/>
      <c r="W539" s="35"/>
      <c r="X539" s="35"/>
    </row>
    <row r="540" spans="1:24" ht="12.75" customHeight="1" x14ac:dyDescent="0.3">
      <c r="A540" s="35"/>
      <c r="B540" s="35"/>
      <c r="C540" s="35"/>
      <c r="D540" s="35"/>
      <c r="E540" s="35"/>
      <c r="F540" s="35"/>
      <c r="G540" s="35"/>
      <c r="H540" s="234" t="s">
        <v>1293</v>
      </c>
      <c r="I540" s="306" t="s">
        <v>1294</v>
      </c>
      <c r="J540" s="234">
        <f t="shared" si="20"/>
        <v>1.0022173324306025</v>
      </c>
      <c r="K540" s="315">
        <f t="shared" si="21"/>
        <v>2.2148777769011073E-3</v>
      </c>
      <c r="L540" s="234"/>
      <c r="M540" s="234"/>
      <c r="N540" s="234"/>
      <c r="O540" s="234"/>
      <c r="P540" s="234"/>
      <c r="Q540" s="234"/>
      <c r="R540" s="234"/>
      <c r="S540" s="35"/>
      <c r="T540" s="35"/>
      <c r="U540" s="35"/>
      <c r="V540" s="35"/>
      <c r="W540" s="35"/>
      <c r="X540" s="35"/>
    </row>
    <row r="541" spans="1:24" ht="12.75" customHeight="1" x14ac:dyDescent="0.3">
      <c r="A541" s="35"/>
      <c r="B541" s="35"/>
      <c r="C541" s="35"/>
      <c r="D541" s="35"/>
      <c r="E541" s="35"/>
      <c r="F541" s="35"/>
      <c r="G541" s="35"/>
      <c r="H541" s="234" t="s">
        <v>1295</v>
      </c>
      <c r="I541" s="306" t="s">
        <v>1296</v>
      </c>
      <c r="J541" s="234">
        <f t="shared" si="20"/>
        <v>1.0269246145556308</v>
      </c>
      <c r="K541" s="315">
        <f t="shared" si="21"/>
        <v>2.6568524703690713E-2</v>
      </c>
      <c r="L541" s="234"/>
      <c r="M541" s="234"/>
      <c r="N541" s="234"/>
      <c r="O541" s="234"/>
      <c r="P541" s="234"/>
      <c r="Q541" s="234"/>
      <c r="R541" s="234"/>
      <c r="S541" s="35"/>
      <c r="T541" s="35"/>
      <c r="U541" s="35"/>
      <c r="V541" s="35"/>
      <c r="W541" s="35"/>
      <c r="X541" s="35"/>
    </row>
    <row r="542" spans="1:24" ht="12.75" customHeight="1" x14ac:dyDescent="0.3">
      <c r="A542" s="35"/>
      <c r="B542" s="35"/>
      <c r="C542" s="35"/>
      <c r="D542" s="35"/>
      <c r="E542" s="35"/>
      <c r="F542" s="35"/>
      <c r="G542" s="35"/>
      <c r="H542" s="234" t="s">
        <v>1297</v>
      </c>
      <c r="I542" s="306" t="s">
        <v>1298</v>
      </c>
      <c r="J542" s="234">
        <f t="shared" si="20"/>
        <v>1.0168350168350169</v>
      </c>
      <c r="K542" s="315">
        <f t="shared" si="21"/>
        <v>1.6694878572170054E-2</v>
      </c>
      <c r="L542" s="234"/>
      <c r="M542" s="234"/>
      <c r="N542" s="234"/>
      <c r="O542" s="234"/>
      <c r="P542" s="234"/>
      <c r="Q542" s="234"/>
      <c r="R542" s="234"/>
      <c r="S542" s="35"/>
      <c r="T542" s="35"/>
      <c r="U542" s="35"/>
      <c r="V542" s="35"/>
      <c r="W542" s="35"/>
      <c r="X542" s="35"/>
    </row>
    <row r="543" spans="1:24" ht="12.75" customHeight="1" x14ac:dyDescent="0.3">
      <c r="A543" s="35"/>
      <c r="B543" s="35"/>
      <c r="C543" s="35"/>
      <c r="D543" s="35"/>
      <c r="E543" s="35"/>
      <c r="F543" s="35"/>
      <c r="G543" s="35"/>
      <c r="H543" s="234" t="s">
        <v>1299</v>
      </c>
      <c r="I543" s="306" t="s">
        <v>1300</v>
      </c>
      <c r="J543" s="234">
        <f t="shared" si="20"/>
        <v>1.0055361046439297</v>
      </c>
      <c r="K543" s="315">
        <f t="shared" si="21"/>
        <v>5.5208367405027835E-3</v>
      </c>
      <c r="L543" s="234"/>
      <c r="M543" s="234"/>
      <c r="N543" s="234"/>
      <c r="O543" s="234"/>
      <c r="P543" s="234"/>
      <c r="Q543" s="234"/>
      <c r="R543" s="234"/>
      <c r="S543" s="35"/>
      <c r="T543" s="35"/>
      <c r="U543" s="35"/>
      <c r="V543" s="35"/>
      <c r="W543" s="35"/>
      <c r="X543" s="35"/>
    </row>
    <row r="544" spans="1:24" ht="12.75" customHeight="1" x14ac:dyDescent="0.3">
      <c r="A544" s="35"/>
      <c r="B544" s="35"/>
      <c r="C544" s="35"/>
      <c r="D544" s="35"/>
      <c r="E544" s="35"/>
      <c r="F544" s="35"/>
      <c r="G544" s="35"/>
      <c r="H544" s="234" t="s">
        <v>1301</v>
      </c>
      <c r="I544" s="306" t="s">
        <v>1302</v>
      </c>
      <c r="J544" s="234">
        <f t="shared" si="20"/>
        <v>0.9932128893321448</v>
      </c>
      <c r="K544" s="315">
        <f t="shared" si="21"/>
        <v>-6.8102478526468986E-3</v>
      </c>
      <c r="L544" s="234"/>
      <c r="M544" s="234"/>
      <c r="N544" s="234"/>
      <c r="O544" s="234"/>
      <c r="P544" s="234"/>
      <c r="Q544" s="234"/>
      <c r="R544" s="234"/>
      <c r="S544" s="35"/>
      <c r="T544" s="35"/>
      <c r="U544" s="35"/>
      <c r="V544" s="35"/>
      <c r="W544" s="35"/>
      <c r="X544" s="35"/>
    </row>
    <row r="545" spans="1:24" ht="12.75" customHeight="1" x14ac:dyDescent="0.3">
      <c r="A545" s="35"/>
      <c r="B545" s="35"/>
      <c r="C545" s="35"/>
      <c r="D545" s="35"/>
      <c r="E545" s="35"/>
      <c r="F545" s="35"/>
      <c r="G545" s="35"/>
      <c r="H545" s="234" t="s">
        <v>1303</v>
      </c>
      <c r="I545" s="306" t="s">
        <v>1304</v>
      </c>
      <c r="J545" s="234">
        <f t="shared" si="20"/>
        <v>0.98715770581214002</v>
      </c>
      <c r="K545" s="315">
        <f t="shared" si="21"/>
        <v>-1.2925469321574635E-2</v>
      </c>
      <c r="L545" s="234"/>
      <c r="M545" s="234"/>
      <c r="N545" s="234"/>
      <c r="O545" s="234"/>
      <c r="P545" s="234"/>
      <c r="Q545" s="234"/>
      <c r="R545" s="234"/>
      <c r="S545" s="35"/>
      <c r="T545" s="35"/>
      <c r="U545" s="35"/>
      <c r="V545" s="35"/>
      <c r="W545" s="35"/>
      <c r="X545" s="35"/>
    </row>
    <row r="546" spans="1:24" ht="12.75" customHeight="1" x14ac:dyDescent="0.3">
      <c r="A546" s="35"/>
      <c r="B546" s="35"/>
      <c r="C546" s="35"/>
      <c r="D546" s="35"/>
      <c r="E546" s="35"/>
      <c r="F546" s="35"/>
      <c r="G546" s="35"/>
      <c r="H546" s="234" t="s">
        <v>1305</v>
      </c>
      <c r="I546" s="306" t="s">
        <v>1306</v>
      </c>
      <c r="J546" s="234">
        <f t="shared" si="20"/>
        <v>1.0171658986175116</v>
      </c>
      <c r="K546" s="315">
        <f t="shared" si="21"/>
        <v>1.7020229247186699E-2</v>
      </c>
      <c r="L546" s="234"/>
      <c r="M546" s="234"/>
      <c r="N546" s="234"/>
      <c r="O546" s="234"/>
      <c r="P546" s="234"/>
      <c r="Q546" s="234"/>
      <c r="R546" s="234"/>
      <c r="S546" s="35"/>
      <c r="T546" s="35"/>
      <c r="U546" s="35"/>
      <c r="V546" s="35"/>
      <c r="W546" s="35"/>
      <c r="X546" s="35"/>
    </row>
    <row r="547" spans="1:24" ht="12.75" customHeight="1" x14ac:dyDescent="0.3">
      <c r="A547" s="35"/>
      <c r="B547" s="35"/>
      <c r="C547" s="35"/>
      <c r="D547" s="35"/>
      <c r="E547" s="35"/>
      <c r="F547" s="35"/>
      <c r="G547" s="35"/>
      <c r="H547" s="234" t="s">
        <v>1307</v>
      </c>
      <c r="I547" s="306" t="s">
        <v>1308</v>
      </c>
      <c r="J547" s="234">
        <f t="shared" si="20"/>
        <v>0.99189536048944282</v>
      </c>
      <c r="K547" s="315">
        <f t="shared" si="21"/>
        <v>-8.1376606386047903E-3</v>
      </c>
      <c r="L547" s="234"/>
      <c r="M547" s="234"/>
      <c r="N547" s="234"/>
      <c r="O547" s="234"/>
      <c r="P547" s="234"/>
      <c r="Q547" s="234"/>
      <c r="R547" s="234"/>
      <c r="S547" s="35"/>
      <c r="T547" s="35"/>
      <c r="U547" s="35"/>
      <c r="V547" s="35"/>
      <c r="W547" s="35"/>
      <c r="X547" s="35"/>
    </row>
    <row r="548" spans="1:24" ht="12.75" customHeight="1" x14ac:dyDescent="0.3">
      <c r="A548" s="35"/>
      <c r="B548" s="35"/>
      <c r="C548" s="35"/>
      <c r="D548" s="35"/>
      <c r="E548" s="35"/>
      <c r="F548" s="35"/>
      <c r="G548" s="35"/>
      <c r="H548" s="234" t="s">
        <v>1309</v>
      </c>
      <c r="I548" s="306" t="s">
        <v>1310</v>
      </c>
      <c r="J548" s="234">
        <f t="shared" si="20"/>
        <v>1.0084032123672593</v>
      </c>
      <c r="K548" s="315">
        <f t="shared" si="21"/>
        <v>8.3681019347044746E-3</v>
      </c>
      <c r="L548" s="234"/>
      <c r="M548" s="234"/>
      <c r="N548" s="234"/>
      <c r="O548" s="234"/>
      <c r="P548" s="234"/>
      <c r="Q548" s="234"/>
      <c r="R548" s="234"/>
      <c r="S548" s="35"/>
      <c r="T548" s="35"/>
      <c r="U548" s="35"/>
      <c r="V548" s="35"/>
      <c r="W548" s="35"/>
      <c r="X548" s="35"/>
    </row>
    <row r="549" spans="1:24" ht="12.75" customHeight="1" x14ac:dyDescent="0.3">
      <c r="A549" s="35"/>
      <c r="B549" s="35"/>
      <c r="C549" s="35"/>
      <c r="D549" s="35"/>
      <c r="E549" s="35"/>
      <c r="F549" s="35"/>
      <c r="G549" s="35"/>
      <c r="H549" s="234" t="s">
        <v>1311</v>
      </c>
      <c r="I549" s="306" t="s">
        <v>1312</v>
      </c>
      <c r="J549" s="234">
        <f t="shared" si="20"/>
        <v>0.99707455035573822</v>
      </c>
      <c r="K549" s="315">
        <f t="shared" si="21"/>
        <v>-2.929737136008183E-3</v>
      </c>
      <c r="L549" s="234"/>
      <c r="M549" s="234"/>
      <c r="N549" s="234"/>
      <c r="O549" s="234"/>
      <c r="P549" s="234"/>
      <c r="Q549" s="234"/>
      <c r="R549" s="234"/>
      <c r="S549" s="35"/>
      <c r="T549" s="35"/>
      <c r="U549" s="35"/>
      <c r="V549" s="35"/>
      <c r="W549" s="35"/>
      <c r="X549" s="35"/>
    </row>
    <row r="550" spans="1:24" ht="12.75" customHeight="1" x14ac:dyDescent="0.3">
      <c r="A550" s="35"/>
      <c r="B550" s="35"/>
      <c r="C550" s="35"/>
      <c r="D550" s="35"/>
      <c r="E550" s="35"/>
      <c r="F550" s="35"/>
      <c r="G550" s="35"/>
      <c r="H550" s="234" t="s">
        <v>1313</v>
      </c>
      <c r="I550" s="306" t="s">
        <v>1314</v>
      </c>
      <c r="J550" s="234">
        <f t="shared" si="20"/>
        <v>0.99253482578336083</v>
      </c>
      <c r="K550" s="315">
        <f t="shared" si="21"/>
        <v>-7.4931780859048948E-3</v>
      </c>
      <c r="L550" s="234"/>
      <c r="M550" s="234"/>
      <c r="N550" s="234"/>
      <c r="O550" s="234"/>
      <c r="P550" s="234"/>
      <c r="Q550" s="234"/>
      <c r="R550" s="234"/>
      <c r="S550" s="35"/>
      <c r="T550" s="35"/>
      <c r="U550" s="35"/>
      <c r="V550" s="35"/>
      <c r="W550" s="35"/>
      <c r="X550" s="35"/>
    </row>
    <row r="551" spans="1:24" ht="12.75" customHeight="1" x14ac:dyDescent="0.3">
      <c r="A551" s="35"/>
      <c r="B551" s="35"/>
      <c r="C551" s="35"/>
      <c r="D551" s="35"/>
      <c r="E551" s="35"/>
      <c r="F551" s="35"/>
      <c r="G551" s="35"/>
      <c r="H551" s="234" t="s">
        <v>1315</v>
      </c>
      <c r="I551" s="306" t="s">
        <v>1316</v>
      </c>
      <c r="J551" s="234">
        <f t="shared" si="20"/>
        <v>0.99944765428418625</v>
      </c>
      <c r="K551" s="315">
        <f t="shared" si="21"/>
        <v>-5.524983149028628E-4</v>
      </c>
      <c r="L551" s="234"/>
      <c r="M551" s="234"/>
      <c r="N551" s="234"/>
      <c r="O551" s="234"/>
      <c r="P551" s="234"/>
      <c r="Q551" s="234"/>
      <c r="R551" s="234"/>
      <c r="S551" s="35"/>
      <c r="T551" s="35"/>
      <c r="U551" s="35"/>
      <c r="V551" s="35"/>
      <c r="W551" s="35"/>
      <c r="X551" s="35"/>
    </row>
    <row r="552" spans="1:24" ht="12.75" customHeight="1" x14ac:dyDescent="0.3">
      <c r="A552" s="35"/>
      <c r="B552" s="35"/>
      <c r="C552" s="35"/>
      <c r="D552" s="35"/>
      <c r="E552" s="35"/>
      <c r="F552" s="35"/>
      <c r="G552" s="35"/>
      <c r="H552" s="234" t="s">
        <v>1317</v>
      </c>
      <c r="I552" s="306" t="s">
        <v>1318</v>
      </c>
      <c r="J552" s="234">
        <f t="shared" si="20"/>
        <v>0.9840561829742811</v>
      </c>
      <c r="K552" s="315">
        <f t="shared" si="21"/>
        <v>-1.6072287041249446E-2</v>
      </c>
      <c r="L552" s="234"/>
      <c r="M552" s="234"/>
      <c r="N552" s="234"/>
      <c r="O552" s="234"/>
      <c r="P552" s="234"/>
      <c r="Q552" s="234"/>
      <c r="R552" s="234"/>
      <c r="S552" s="35"/>
      <c r="T552" s="35"/>
      <c r="U552" s="35"/>
      <c r="V552" s="35"/>
      <c r="W552" s="35"/>
      <c r="X552" s="35"/>
    </row>
    <row r="553" spans="1:24" ht="12.75" customHeight="1" x14ac:dyDescent="0.3">
      <c r="A553" s="35"/>
      <c r="B553" s="35"/>
      <c r="C553" s="35"/>
      <c r="D553" s="35"/>
      <c r="E553" s="35"/>
      <c r="F553" s="35"/>
      <c r="G553" s="35"/>
      <c r="H553" s="234" t="s">
        <v>1319</v>
      </c>
      <c r="I553" s="306" t="s">
        <v>1320</v>
      </c>
      <c r="J553" s="234">
        <f t="shared" si="20"/>
        <v>0.99468788081629855</v>
      </c>
      <c r="K553" s="315">
        <f t="shared" si="21"/>
        <v>-5.3262786556081878E-3</v>
      </c>
      <c r="L553" s="234"/>
      <c r="M553" s="234"/>
      <c r="N553" s="234"/>
      <c r="O553" s="234"/>
      <c r="P553" s="234"/>
      <c r="Q553" s="234"/>
      <c r="R553" s="234"/>
      <c r="S553" s="35"/>
      <c r="T553" s="35"/>
      <c r="U553" s="35"/>
      <c r="V553" s="35"/>
      <c r="W553" s="35"/>
      <c r="X553" s="35"/>
    </row>
    <row r="554" spans="1:24" ht="12.75" customHeight="1" x14ac:dyDescent="0.3">
      <c r="A554" s="35"/>
      <c r="B554" s="35"/>
      <c r="C554" s="35"/>
      <c r="D554" s="35"/>
      <c r="E554" s="35"/>
      <c r="F554" s="35"/>
      <c r="G554" s="35"/>
      <c r="H554" s="234" t="s">
        <v>1321</v>
      </c>
      <c r="I554" s="306" t="s">
        <v>1322</v>
      </c>
      <c r="J554" s="234">
        <f t="shared" si="20"/>
        <v>1.0066171389080858</v>
      </c>
      <c r="K554" s="315">
        <f t="shared" si="21"/>
        <v>6.5953417481410051E-3</v>
      </c>
      <c r="L554" s="234"/>
      <c r="M554" s="234"/>
      <c r="N554" s="234"/>
      <c r="O554" s="234"/>
      <c r="P554" s="234"/>
      <c r="Q554" s="234"/>
      <c r="R554" s="234"/>
      <c r="S554" s="35"/>
      <c r="T554" s="35"/>
      <c r="U554" s="35"/>
      <c r="V554" s="35"/>
      <c r="W554" s="35"/>
      <c r="X554" s="35"/>
    </row>
    <row r="555" spans="1:24" ht="12.75" customHeight="1" x14ac:dyDescent="0.3">
      <c r="A555" s="35"/>
      <c r="B555" s="35"/>
      <c r="C555" s="35"/>
      <c r="D555" s="35"/>
      <c r="E555" s="35"/>
      <c r="F555" s="35"/>
      <c r="G555" s="35"/>
      <c r="H555" s="234" t="s">
        <v>1323</v>
      </c>
      <c r="I555" s="306" t="s">
        <v>1324</v>
      </c>
      <c r="J555" s="234">
        <f t="shared" si="20"/>
        <v>0.98897906877402819</v>
      </c>
      <c r="K555" s="315">
        <f t="shared" si="21"/>
        <v>-1.1082111613691352E-2</v>
      </c>
      <c r="L555" s="234"/>
      <c r="M555" s="234"/>
      <c r="N555" s="234"/>
      <c r="O555" s="234"/>
      <c r="P555" s="234"/>
      <c r="Q555" s="234"/>
      <c r="R555" s="234"/>
      <c r="S555" s="35"/>
      <c r="T555" s="35"/>
      <c r="U555" s="35"/>
      <c r="V555" s="35"/>
      <c r="W555" s="35"/>
      <c r="X555" s="35"/>
    </row>
    <row r="556" spans="1:24" ht="12.75" customHeight="1" x14ac:dyDescent="0.3">
      <c r="A556" s="35"/>
      <c r="B556" s="35"/>
      <c r="C556" s="35"/>
      <c r="D556" s="35"/>
      <c r="E556" s="35"/>
      <c r="F556" s="35"/>
      <c r="G556" s="35"/>
      <c r="H556" s="234" t="s">
        <v>1325</v>
      </c>
      <c r="I556" s="306" t="s">
        <v>1326</v>
      </c>
      <c r="J556" s="234">
        <f t="shared" si="20"/>
        <v>1.0026812407377266</v>
      </c>
      <c r="K556" s="315">
        <f t="shared" si="21"/>
        <v>2.6776526240797236E-3</v>
      </c>
      <c r="L556" s="234"/>
      <c r="M556" s="234"/>
      <c r="N556" s="234"/>
      <c r="O556" s="234"/>
      <c r="P556" s="234"/>
      <c r="Q556" s="234"/>
      <c r="R556" s="234"/>
      <c r="S556" s="35"/>
      <c r="T556" s="35"/>
      <c r="U556" s="35"/>
      <c r="V556" s="35"/>
      <c r="W556" s="35"/>
      <c r="X556" s="35"/>
    </row>
    <row r="557" spans="1:24" ht="12.75" customHeight="1" x14ac:dyDescent="0.3">
      <c r="A557" s="35"/>
      <c r="B557" s="35"/>
      <c r="C557" s="35"/>
      <c r="D557" s="35"/>
      <c r="E557" s="35"/>
      <c r="F557" s="35"/>
      <c r="G557" s="35"/>
      <c r="H557" s="234" t="s">
        <v>1327</v>
      </c>
      <c r="I557" s="306" t="s">
        <v>1328</v>
      </c>
      <c r="J557" s="234">
        <f t="shared" si="20"/>
        <v>1.0137115962416854</v>
      </c>
      <c r="K557" s="315">
        <f t="shared" si="21"/>
        <v>1.3618442861043942E-2</v>
      </c>
      <c r="L557" s="234"/>
      <c r="M557" s="234"/>
      <c r="N557" s="234"/>
      <c r="O557" s="234"/>
      <c r="P557" s="234"/>
      <c r="Q557" s="234"/>
      <c r="R557" s="234"/>
      <c r="S557" s="35"/>
      <c r="T557" s="35"/>
      <c r="U557" s="35"/>
      <c r="V557" s="35"/>
      <c r="W557" s="35"/>
      <c r="X557" s="35"/>
    </row>
    <row r="558" spans="1:24" ht="12.75" customHeight="1" x14ac:dyDescent="0.3">
      <c r="A558" s="35"/>
      <c r="B558" s="35"/>
      <c r="C558" s="35"/>
      <c r="D558" s="35"/>
      <c r="E558" s="35"/>
      <c r="F558" s="35"/>
      <c r="G558" s="35"/>
      <c r="H558" s="234" t="s">
        <v>1329</v>
      </c>
      <c r="I558" s="306" t="s">
        <v>1330</v>
      </c>
      <c r="J558" s="234">
        <f t="shared" si="20"/>
        <v>1.0086625966768563</v>
      </c>
      <c r="K558" s="315">
        <f t="shared" si="21"/>
        <v>8.6252916702736337E-3</v>
      </c>
      <c r="L558" s="234"/>
      <c r="M558" s="234"/>
      <c r="N558" s="234"/>
      <c r="O558" s="234"/>
      <c r="P558" s="234"/>
      <c r="Q558" s="234"/>
      <c r="R558" s="234"/>
      <c r="S558" s="35"/>
      <c r="T558" s="35"/>
      <c r="U558" s="35"/>
      <c r="V558" s="35"/>
      <c r="W558" s="35"/>
      <c r="X558" s="35"/>
    </row>
    <row r="559" spans="1:24" ht="12.75" customHeight="1" x14ac:dyDescent="0.3">
      <c r="A559" s="35"/>
      <c r="B559" s="35"/>
      <c r="C559" s="35"/>
      <c r="D559" s="35"/>
      <c r="E559" s="35"/>
      <c r="F559" s="35"/>
      <c r="G559" s="35"/>
      <c r="H559" s="234" t="s">
        <v>1331</v>
      </c>
      <c r="I559" s="306" t="s">
        <v>1332</v>
      </c>
      <c r="J559" s="234">
        <f t="shared" si="20"/>
        <v>1.0078211205564824</v>
      </c>
      <c r="K559" s="315">
        <f t="shared" si="21"/>
        <v>7.7906941359351918E-3</v>
      </c>
      <c r="L559" s="234"/>
      <c r="M559" s="234"/>
      <c r="N559" s="234"/>
      <c r="O559" s="234"/>
      <c r="P559" s="234"/>
      <c r="Q559" s="234"/>
      <c r="R559" s="234"/>
      <c r="S559" s="35"/>
      <c r="T559" s="35"/>
      <c r="U559" s="35"/>
      <c r="V559" s="35"/>
      <c r="W559" s="35"/>
      <c r="X559" s="35"/>
    </row>
    <row r="560" spans="1:24" ht="12.75" customHeight="1" x14ac:dyDescent="0.3">
      <c r="A560" s="35"/>
      <c r="B560" s="35"/>
      <c r="C560" s="35"/>
      <c r="D560" s="35"/>
      <c r="E560" s="35"/>
      <c r="F560" s="35"/>
      <c r="G560" s="35"/>
      <c r="H560" s="234" t="s">
        <v>1333</v>
      </c>
      <c r="I560" s="306" t="s">
        <v>1334</v>
      </c>
      <c r="J560" s="234">
        <f t="shared" si="20"/>
        <v>0.99713050902657363</v>
      </c>
      <c r="K560" s="315">
        <f t="shared" si="21"/>
        <v>-2.8736158554138694E-3</v>
      </c>
      <c r="L560" s="234"/>
      <c r="M560" s="234"/>
      <c r="N560" s="234"/>
      <c r="O560" s="234"/>
      <c r="P560" s="234"/>
      <c r="Q560" s="234"/>
      <c r="R560" s="234"/>
      <c r="S560" s="35"/>
      <c r="T560" s="35"/>
      <c r="U560" s="35"/>
      <c r="V560" s="35"/>
      <c r="W560" s="35"/>
      <c r="X560" s="35"/>
    </row>
    <row r="561" spans="1:24" ht="12.75" customHeight="1" x14ac:dyDescent="0.3">
      <c r="A561" s="35"/>
      <c r="B561" s="35"/>
      <c r="C561" s="35"/>
      <c r="D561" s="35"/>
      <c r="E561" s="35"/>
      <c r="F561" s="35"/>
      <c r="G561" s="35"/>
      <c r="H561" s="234" t="s">
        <v>1335</v>
      </c>
      <c r="I561" s="306" t="s">
        <v>1336</v>
      </c>
      <c r="J561" s="234">
        <f t="shared" si="20"/>
        <v>1.0015780657674336</v>
      </c>
      <c r="K561" s="315">
        <f t="shared" si="21"/>
        <v>1.5768219300499296E-3</v>
      </c>
      <c r="L561" s="234"/>
      <c r="M561" s="234"/>
      <c r="N561" s="234"/>
      <c r="O561" s="234"/>
      <c r="P561" s="234"/>
      <c r="Q561" s="234"/>
      <c r="R561" s="234"/>
      <c r="S561" s="35"/>
      <c r="T561" s="35"/>
      <c r="U561" s="35"/>
      <c r="V561" s="35"/>
      <c r="W561" s="35"/>
      <c r="X561" s="35"/>
    </row>
    <row r="562" spans="1:24" ht="12.75" customHeight="1" x14ac:dyDescent="0.3">
      <c r="A562" s="35"/>
      <c r="B562" s="35"/>
      <c r="C562" s="35"/>
      <c r="D562" s="35"/>
      <c r="E562" s="35"/>
      <c r="F562" s="35"/>
      <c r="G562" s="35"/>
      <c r="H562" s="234" t="s">
        <v>1337</v>
      </c>
      <c r="I562" s="306" t="s">
        <v>1338</v>
      </c>
      <c r="J562" s="234">
        <f t="shared" si="20"/>
        <v>0.98587632002085956</v>
      </c>
      <c r="K562" s="315">
        <f t="shared" si="21"/>
        <v>-1.4224368331586129E-2</v>
      </c>
      <c r="L562" s="234"/>
      <c r="M562" s="234"/>
      <c r="N562" s="234"/>
      <c r="O562" s="234"/>
      <c r="P562" s="234"/>
      <c r="Q562" s="234"/>
      <c r="R562" s="234"/>
      <c r="S562" s="35"/>
      <c r="T562" s="35"/>
      <c r="U562" s="35"/>
      <c r="V562" s="35"/>
      <c r="W562" s="35"/>
      <c r="X562" s="35"/>
    </row>
    <row r="563" spans="1:24" ht="12.75" customHeight="1" x14ac:dyDescent="0.3">
      <c r="A563" s="35"/>
      <c r="B563" s="35"/>
      <c r="C563" s="35"/>
      <c r="D563" s="35"/>
      <c r="E563" s="35"/>
      <c r="F563" s="35"/>
      <c r="G563" s="35"/>
      <c r="H563" s="234" t="s">
        <v>1339</v>
      </c>
      <c r="I563" s="306" t="s">
        <v>1340</v>
      </c>
      <c r="J563" s="234">
        <f t="shared" si="20"/>
        <v>0.98704585424441293</v>
      </c>
      <c r="K563" s="315">
        <f t="shared" si="21"/>
        <v>-1.303878242677799E-2</v>
      </c>
      <c r="L563" s="234"/>
      <c r="M563" s="234"/>
      <c r="N563" s="234"/>
      <c r="O563" s="234"/>
      <c r="P563" s="234"/>
      <c r="Q563" s="234"/>
      <c r="R563" s="234"/>
      <c r="S563" s="35"/>
      <c r="T563" s="35"/>
      <c r="U563" s="35"/>
      <c r="V563" s="35"/>
      <c r="W563" s="35"/>
      <c r="X563" s="35"/>
    </row>
    <row r="564" spans="1:24" ht="12.75" customHeight="1" x14ac:dyDescent="0.3">
      <c r="A564" s="35"/>
      <c r="B564" s="35"/>
      <c r="C564" s="35"/>
      <c r="D564" s="35"/>
      <c r="E564" s="35"/>
      <c r="F564" s="35"/>
      <c r="G564" s="35"/>
      <c r="H564" s="234" t="s">
        <v>1341</v>
      </c>
      <c r="I564" s="306" t="s">
        <v>1342</v>
      </c>
      <c r="J564" s="234">
        <f t="shared" si="20"/>
        <v>1.0071106426362082</v>
      </c>
      <c r="K564" s="315">
        <f t="shared" si="21"/>
        <v>7.0854812223292707E-3</v>
      </c>
      <c r="L564" s="234"/>
      <c r="M564" s="234"/>
      <c r="N564" s="234"/>
      <c r="O564" s="234"/>
      <c r="P564" s="234"/>
      <c r="Q564" s="234"/>
      <c r="R564" s="234"/>
      <c r="S564" s="35"/>
      <c r="T564" s="35"/>
      <c r="U564" s="35"/>
      <c r="V564" s="35"/>
      <c r="W564" s="35"/>
      <c r="X564" s="35"/>
    </row>
    <row r="565" spans="1:24" ht="12.75" customHeight="1" x14ac:dyDescent="0.3">
      <c r="A565" s="35"/>
      <c r="B565" s="35"/>
      <c r="C565" s="35"/>
      <c r="D565" s="35"/>
      <c r="E565" s="35"/>
      <c r="F565" s="35"/>
      <c r="G565" s="35"/>
      <c r="H565" s="234" t="s">
        <v>1343</v>
      </c>
      <c r="I565" s="306" t="s">
        <v>1344</v>
      </c>
      <c r="J565" s="234">
        <f t="shared" si="20"/>
        <v>1.0123767788886264</v>
      </c>
      <c r="K565" s="315">
        <f t="shared" si="21"/>
        <v>1.2300812729442924E-2</v>
      </c>
      <c r="L565" s="234"/>
      <c r="M565" s="234"/>
      <c r="N565" s="234"/>
      <c r="O565" s="234"/>
      <c r="P565" s="234"/>
      <c r="Q565" s="234"/>
      <c r="R565" s="234"/>
      <c r="S565" s="35"/>
      <c r="T565" s="35"/>
      <c r="U565" s="35"/>
      <c r="V565" s="35"/>
      <c r="W565" s="35"/>
      <c r="X565" s="35"/>
    </row>
    <row r="566" spans="1:24" ht="12.75" customHeight="1" x14ac:dyDescent="0.3">
      <c r="A566" s="35"/>
      <c r="B566" s="35"/>
      <c r="C566" s="35"/>
      <c r="D566" s="35"/>
      <c r="E566" s="35"/>
      <c r="F566" s="35"/>
      <c r="G566" s="35"/>
      <c r="H566" s="234" t="s">
        <v>1345</v>
      </c>
      <c r="I566" s="306" t="s">
        <v>1346</v>
      </c>
      <c r="J566" s="234">
        <f t="shared" si="20"/>
        <v>1.001173451962905</v>
      </c>
      <c r="K566" s="315">
        <f t="shared" si="21"/>
        <v>1.1727640062871142E-3</v>
      </c>
      <c r="L566" s="234"/>
      <c r="M566" s="234"/>
      <c r="N566" s="234"/>
      <c r="O566" s="234"/>
      <c r="P566" s="234"/>
      <c r="Q566" s="234"/>
      <c r="R566" s="234"/>
      <c r="S566" s="35"/>
      <c r="T566" s="35"/>
      <c r="U566" s="35"/>
      <c r="V566" s="35"/>
      <c r="W566" s="35"/>
      <c r="X566" s="35"/>
    </row>
    <row r="567" spans="1:24" ht="12.75" customHeight="1" x14ac:dyDescent="0.3">
      <c r="A567" s="35"/>
      <c r="B567" s="35"/>
      <c r="C567" s="35"/>
      <c r="D567" s="35"/>
      <c r="E567" s="35"/>
      <c r="F567" s="35"/>
      <c r="G567" s="35"/>
      <c r="H567" s="234" t="s">
        <v>1347</v>
      </c>
      <c r="I567" s="306" t="s">
        <v>1348</v>
      </c>
      <c r="J567" s="234">
        <f t="shared" si="20"/>
        <v>0.98508479839892338</v>
      </c>
      <c r="K567" s="315">
        <f t="shared" si="21"/>
        <v>-1.5027551770457731E-2</v>
      </c>
      <c r="L567" s="234"/>
      <c r="M567" s="234"/>
      <c r="N567" s="234"/>
      <c r="O567" s="234"/>
      <c r="P567" s="234"/>
      <c r="Q567" s="234"/>
      <c r="R567" s="234"/>
      <c r="S567" s="35"/>
      <c r="T567" s="35"/>
      <c r="U567" s="35"/>
      <c r="V567" s="35"/>
      <c r="W567" s="35"/>
      <c r="X567" s="35"/>
    </row>
    <row r="568" spans="1:24" ht="12.75" customHeight="1" x14ac:dyDescent="0.3">
      <c r="A568" s="35"/>
      <c r="B568" s="35"/>
      <c r="C568" s="35"/>
      <c r="D568" s="35"/>
      <c r="E568" s="35"/>
      <c r="F568" s="35"/>
      <c r="G568" s="35"/>
      <c r="H568" s="234" t="s">
        <v>1349</v>
      </c>
      <c r="I568" s="306" t="s">
        <v>1350</v>
      </c>
      <c r="J568" s="234">
        <f t="shared" si="20"/>
        <v>0.99925005818514079</v>
      </c>
      <c r="K568" s="315">
        <f t="shared" si="21"/>
        <v>-7.5022316189344695E-4</v>
      </c>
      <c r="L568" s="234"/>
      <c r="M568" s="234"/>
      <c r="N568" s="234"/>
      <c r="O568" s="234"/>
      <c r="P568" s="234"/>
      <c r="Q568" s="234"/>
      <c r="R568" s="234"/>
      <c r="S568" s="35"/>
      <c r="T568" s="35"/>
      <c r="U568" s="35"/>
      <c r="V568" s="35"/>
      <c r="W568" s="35"/>
      <c r="X568" s="35"/>
    </row>
    <row r="569" spans="1:24" ht="12.75" customHeight="1" x14ac:dyDescent="0.3">
      <c r="A569" s="35"/>
      <c r="B569" s="35"/>
      <c r="C569" s="35"/>
      <c r="D569" s="35"/>
      <c r="E569" s="35"/>
      <c r="F569" s="35"/>
      <c r="G569" s="35"/>
      <c r="H569" s="234" t="s">
        <v>1351</v>
      </c>
      <c r="I569" s="306" t="s">
        <v>1352</v>
      </c>
      <c r="J569" s="234">
        <f t="shared" si="20"/>
        <v>0.9988118504997977</v>
      </c>
      <c r="K569" s="315">
        <f t="shared" si="21"/>
        <v>-1.1888559094216558E-3</v>
      </c>
      <c r="L569" s="234"/>
      <c r="M569" s="234"/>
      <c r="N569" s="234"/>
      <c r="O569" s="234"/>
      <c r="P569" s="234"/>
      <c r="Q569" s="234"/>
      <c r="R569" s="234"/>
      <c r="S569" s="35"/>
      <c r="T569" s="35"/>
      <c r="U569" s="35"/>
      <c r="V569" s="35"/>
      <c r="W569" s="35"/>
      <c r="X569" s="35"/>
    </row>
    <row r="570" spans="1:24" ht="12.75" customHeight="1" x14ac:dyDescent="0.3">
      <c r="A570" s="35"/>
      <c r="B570" s="35"/>
      <c r="C570" s="35"/>
      <c r="D570" s="35"/>
      <c r="E570" s="35"/>
      <c r="F570" s="35"/>
      <c r="G570" s="35"/>
      <c r="H570" s="234" t="s">
        <v>1353</v>
      </c>
      <c r="I570" s="306" t="s">
        <v>1354</v>
      </c>
      <c r="J570" s="234">
        <f t="shared" si="20"/>
        <v>0.97853321538396731</v>
      </c>
      <c r="K570" s="315">
        <f t="shared" si="21"/>
        <v>-2.170054751623756E-2</v>
      </c>
      <c r="L570" s="234"/>
      <c r="M570" s="234"/>
      <c r="N570" s="234"/>
      <c r="O570" s="234"/>
      <c r="P570" s="234"/>
      <c r="Q570" s="234"/>
      <c r="R570" s="234"/>
      <c r="S570" s="35"/>
      <c r="T570" s="35"/>
      <c r="U570" s="35"/>
      <c r="V570" s="35"/>
      <c r="W570" s="35"/>
      <c r="X570" s="35"/>
    </row>
    <row r="571" spans="1:24" ht="12.75" customHeight="1" x14ac:dyDescent="0.3">
      <c r="A571" s="35"/>
      <c r="B571" s="35"/>
      <c r="C571" s="35"/>
      <c r="D571" s="35"/>
      <c r="E571" s="35"/>
      <c r="F571" s="35"/>
      <c r="G571" s="35"/>
      <c r="H571" s="234" t="s">
        <v>1355</v>
      </c>
      <c r="I571" s="306" t="s">
        <v>1356</v>
      </c>
      <c r="J571" s="234">
        <f t="shared" si="20"/>
        <v>1.0070504988800653</v>
      </c>
      <c r="K571" s="315">
        <f t="shared" si="21"/>
        <v>7.0257603242133062E-3</v>
      </c>
      <c r="L571" s="234"/>
      <c r="M571" s="234"/>
      <c r="N571" s="234"/>
      <c r="O571" s="234"/>
      <c r="P571" s="234"/>
      <c r="Q571" s="234"/>
      <c r="R571" s="234"/>
      <c r="S571" s="35"/>
      <c r="T571" s="35"/>
      <c r="U571" s="35"/>
      <c r="V571" s="35"/>
      <c r="W571" s="35"/>
      <c r="X571" s="35"/>
    </row>
    <row r="572" spans="1:24" ht="12.75" customHeight="1" x14ac:dyDescent="0.3">
      <c r="A572" s="35"/>
      <c r="B572" s="35"/>
      <c r="C572" s="35"/>
      <c r="D572" s="35"/>
      <c r="E572" s="35"/>
      <c r="F572" s="35"/>
      <c r="G572" s="35"/>
      <c r="H572" s="234" t="s">
        <v>1357</v>
      </c>
      <c r="I572" s="306" t="s">
        <v>1358</v>
      </c>
      <c r="J572" s="234">
        <f t="shared" si="20"/>
        <v>0.99641552820235357</v>
      </c>
      <c r="K572" s="315">
        <f t="shared" si="21"/>
        <v>-3.5909114096910793E-3</v>
      </c>
      <c r="L572" s="234"/>
      <c r="M572" s="234"/>
      <c r="N572" s="234"/>
      <c r="O572" s="234"/>
      <c r="P572" s="234"/>
      <c r="Q572" s="234"/>
      <c r="R572" s="234"/>
      <c r="S572" s="35"/>
      <c r="T572" s="35"/>
      <c r="U572" s="35"/>
      <c r="V572" s="35"/>
      <c r="W572" s="35"/>
      <c r="X572" s="35"/>
    </row>
    <row r="573" spans="1:24" ht="12.75" customHeight="1" x14ac:dyDescent="0.3">
      <c r="A573" s="35"/>
      <c r="B573" s="35"/>
      <c r="C573" s="35"/>
      <c r="D573" s="35"/>
      <c r="E573" s="35"/>
      <c r="F573" s="35"/>
      <c r="G573" s="35"/>
      <c r="H573" s="234" t="s">
        <v>1359</v>
      </c>
      <c r="I573" s="306" t="s">
        <v>1360</v>
      </c>
      <c r="J573" s="234">
        <f t="shared" si="20"/>
        <v>0.99603398479273153</v>
      </c>
      <c r="K573" s="315">
        <f t="shared" si="21"/>
        <v>-3.9739007018134752E-3</v>
      </c>
      <c r="L573" s="234"/>
      <c r="M573" s="234"/>
      <c r="N573" s="234"/>
      <c r="O573" s="234"/>
      <c r="P573" s="234"/>
      <c r="Q573" s="234"/>
      <c r="R573" s="234"/>
      <c r="S573" s="35"/>
      <c r="T573" s="35"/>
      <c r="U573" s="35"/>
      <c r="V573" s="35"/>
      <c r="W573" s="35"/>
      <c r="X573" s="35"/>
    </row>
    <row r="574" spans="1:24" ht="12.75" customHeight="1" x14ac:dyDescent="0.3">
      <c r="A574" s="35"/>
      <c r="B574" s="35"/>
      <c r="C574" s="35"/>
      <c r="D574" s="35"/>
      <c r="E574" s="35"/>
      <c r="F574" s="35"/>
      <c r="G574" s="35"/>
      <c r="H574" s="234" t="s">
        <v>1361</v>
      </c>
      <c r="I574" s="306" t="s">
        <v>1362</v>
      </c>
      <c r="J574" s="234">
        <f t="shared" si="20"/>
        <v>0.99468980593502132</v>
      </c>
      <c r="K574" s="315">
        <f t="shared" si="21"/>
        <v>-5.3243432576839129E-3</v>
      </c>
      <c r="L574" s="234"/>
      <c r="M574" s="234"/>
      <c r="N574" s="234"/>
      <c r="O574" s="234"/>
      <c r="P574" s="234"/>
      <c r="Q574" s="234"/>
      <c r="R574" s="234"/>
      <c r="S574" s="35"/>
      <c r="T574" s="35"/>
      <c r="U574" s="35"/>
      <c r="V574" s="35"/>
      <c r="W574" s="35"/>
      <c r="X574" s="35"/>
    </row>
    <row r="575" spans="1:24" ht="12.75" customHeight="1" x14ac:dyDescent="0.3">
      <c r="A575" s="35"/>
      <c r="B575" s="35"/>
      <c r="C575" s="35"/>
      <c r="D575" s="35"/>
      <c r="E575" s="35"/>
      <c r="F575" s="35"/>
      <c r="G575" s="35"/>
      <c r="H575" s="234" t="s">
        <v>1363</v>
      </c>
      <c r="I575" s="306" t="s">
        <v>1364</v>
      </c>
      <c r="J575" s="234">
        <f t="shared" si="20"/>
        <v>1.0102554556146928</v>
      </c>
      <c r="K575" s="315">
        <f t="shared" si="21"/>
        <v>1.0203225223871834E-2</v>
      </c>
      <c r="L575" s="234"/>
      <c r="M575" s="234"/>
      <c r="N575" s="234"/>
      <c r="O575" s="234"/>
      <c r="P575" s="234"/>
      <c r="Q575" s="234"/>
      <c r="R575" s="234"/>
      <c r="S575" s="35"/>
      <c r="T575" s="35"/>
      <c r="U575" s="35"/>
      <c r="V575" s="35"/>
      <c r="W575" s="35"/>
      <c r="X575" s="35"/>
    </row>
    <row r="576" spans="1:24" ht="12.75" customHeight="1" x14ac:dyDescent="0.3">
      <c r="A576" s="35"/>
      <c r="B576" s="35"/>
      <c r="C576" s="35"/>
      <c r="D576" s="35"/>
      <c r="E576" s="35"/>
      <c r="F576" s="35"/>
      <c r="G576" s="35"/>
      <c r="H576" s="234" t="s">
        <v>1365</v>
      </c>
      <c r="I576" s="306" t="s">
        <v>1366</v>
      </c>
      <c r="J576" s="234">
        <f t="shared" si="20"/>
        <v>1.0018055743930558</v>
      </c>
      <c r="K576" s="315">
        <f t="shared" si="21"/>
        <v>1.8039463030752078E-3</v>
      </c>
      <c r="L576" s="234"/>
      <c r="M576" s="234"/>
      <c r="N576" s="234"/>
      <c r="O576" s="234"/>
      <c r="P576" s="234"/>
      <c r="Q576" s="234"/>
      <c r="R576" s="234"/>
      <c r="S576" s="35"/>
      <c r="T576" s="35"/>
      <c r="U576" s="35"/>
      <c r="V576" s="35"/>
      <c r="W576" s="35"/>
      <c r="X576" s="35"/>
    </row>
    <row r="577" spans="1:24" ht="12.75" customHeight="1" x14ac:dyDescent="0.3">
      <c r="A577" s="35"/>
      <c r="B577" s="35"/>
      <c r="C577" s="35"/>
      <c r="D577" s="35"/>
      <c r="E577" s="35"/>
      <c r="F577" s="35"/>
      <c r="G577" s="35"/>
      <c r="H577" s="234" t="s">
        <v>1367</v>
      </c>
      <c r="I577" s="306" t="s">
        <v>1368</v>
      </c>
      <c r="J577" s="234">
        <f t="shared" si="20"/>
        <v>1.0092655173888865</v>
      </c>
      <c r="K577" s="315">
        <f t="shared" si="21"/>
        <v>9.2228558012935925E-3</v>
      </c>
      <c r="L577" s="234"/>
      <c r="M577" s="234"/>
      <c r="N577" s="234"/>
      <c r="O577" s="234"/>
      <c r="P577" s="234"/>
      <c r="Q577" s="234"/>
      <c r="R577" s="234"/>
      <c r="S577" s="35"/>
      <c r="T577" s="35"/>
      <c r="U577" s="35"/>
      <c r="V577" s="35"/>
      <c r="W577" s="35"/>
      <c r="X577" s="35"/>
    </row>
    <row r="578" spans="1:24" ht="12.75" customHeight="1" x14ac:dyDescent="0.3">
      <c r="A578" s="35"/>
      <c r="B578" s="35"/>
      <c r="C578" s="35"/>
      <c r="D578" s="35"/>
      <c r="E578" s="35"/>
      <c r="F578" s="35"/>
      <c r="G578" s="35"/>
      <c r="H578" s="234" t="s">
        <v>1369</v>
      </c>
      <c r="I578" s="306" t="s">
        <v>1370</v>
      </c>
      <c r="J578" s="234">
        <f t="shared" si="20"/>
        <v>1.0136060910888343</v>
      </c>
      <c r="K578" s="315">
        <f t="shared" si="21"/>
        <v>1.3514359368253724E-2</v>
      </c>
      <c r="L578" s="234"/>
      <c r="M578" s="234"/>
      <c r="N578" s="234"/>
      <c r="O578" s="234"/>
      <c r="P578" s="234"/>
      <c r="Q578" s="234"/>
      <c r="R578" s="234"/>
      <c r="S578" s="35"/>
      <c r="T578" s="35"/>
      <c r="U578" s="35"/>
      <c r="V578" s="35"/>
      <c r="W578" s="35"/>
      <c r="X578" s="35"/>
    </row>
    <row r="579" spans="1:24" ht="12.75" customHeight="1" x14ac:dyDescent="0.3">
      <c r="A579" s="35"/>
      <c r="B579" s="35"/>
      <c r="C579" s="35"/>
      <c r="D579" s="35"/>
      <c r="E579" s="35"/>
      <c r="F579" s="35"/>
      <c r="G579" s="35"/>
      <c r="H579" s="234" t="s">
        <v>1371</v>
      </c>
      <c r="I579" s="306" t="s">
        <v>1372</v>
      </c>
      <c r="J579" s="234">
        <f t="shared" si="20"/>
        <v>0.99428344786556189</v>
      </c>
      <c r="K579" s="315">
        <f t="shared" si="21"/>
        <v>-5.7329541571385402E-3</v>
      </c>
      <c r="L579" s="234"/>
      <c r="M579" s="234"/>
      <c r="N579" s="234"/>
      <c r="O579" s="234"/>
      <c r="P579" s="234"/>
      <c r="Q579" s="234"/>
      <c r="R579" s="234"/>
      <c r="S579" s="35"/>
      <c r="T579" s="35"/>
      <c r="U579" s="35"/>
      <c r="V579" s="35"/>
      <c r="W579" s="35"/>
      <c r="X579" s="35"/>
    </row>
    <row r="580" spans="1:24" ht="12.75" customHeight="1" x14ac:dyDescent="0.3">
      <c r="A580" s="35"/>
      <c r="B580" s="35"/>
      <c r="C580" s="35"/>
      <c r="D580" s="35"/>
      <c r="E580" s="35"/>
      <c r="F580" s="35"/>
      <c r="G580" s="35"/>
      <c r="H580" s="234" t="s">
        <v>1373</v>
      </c>
      <c r="I580" s="306" t="s">
        <v>1374</v>
      </c>
      <c r="J580" s="234">
        <f t="shared" si="20"/>
        <v>0.98847704357757116</v>
      </c>
      <c r="K580" s="315">
        <f t="shared" si="21"/>
        <v>-1.15898601337286E-2</v>
      </c>
      <c r="L580" s="234"/>
      <c r="M580" s="234"/>
      <c r="N580" s="234"/>
      <c r="O580" s="234"/>
      <c r="P580" s="234"/>
      <c r="Q580" s="234"/>
      <c r="R580" s="234"/>
      <c r="S580" s="35"/>
      <c r="T580" s="35"/>
      <c r="U580" s="35"/>
      <c r="V580" s="35"/>
      <c r="W580" s="35"/>
      <c r="X580" s="35"/>
    </row>
    <row r="581" spans="1:24" ht="12.75" customHeight="1" x14ac:dyDescent="0.3">
      <c r="A581" s="35"/>
      <c r="B581" s="35"/>
      <c r="C581" s="35"/>
      <c r="D581" s="35"/>
      <c r="E581" s="35"/>
      <c r="F581" s="35"/>
      <c r="G581" s="35"/>
      <c r="H581" s="234" t="s">
        <v>1375</v>
      </c>
      <c r="I581" s="306" t="s">
        <v>1376</v>
      </c>
      <c r="J581" s="234">
        <f t="shared" ref="J581:J644" si="22">I581/I582</f>
        <v>0.99622164108137479</v>
      </c>
      <c r="K581" s="315">
        <f t="shared" ref="K581:K644" si="23">LN(J581)</f>
        <v>-3.7855149477354537E-3</v>
      </c>
      <c r="L581" s="234"/>
      <c r="M581" s="234"/>
      <c r="N581" s="234"/>
      <c r="O581" s="234"/>
      <c r="P581" s="234"/>
      <c r="Q581" s="234"/>
      <c r="R581" s="234"/>
      <c r="S581" s="35"/>
      <c r="T581" s="35"/>
      <c r="U581" s="35"/>
      <c r="V581" s="35"/>
      <c r="W581" s="35"/>
      <c r="X581" s="35"/>
    </row>
    <row r="582" spans="1:24" ht="12.75" customHeight="1" x14ac:dyDescent="0.3">
      <c r="A582" s="35"/>
      <c r="B582" s="35"/>
      <c r="C582" s="35"/>
      <c r="D582" s="35"/>
      <c r="E582" s="35"/>
      <c r="F582" s="35"/>
      <c r="G582" s="35"/>
      <c r="H582" s="234" t="s">
        <v>1377</v>
      </c>
      <c r="I582" s="306" t="s">
        <v>1378</v>
      </c>
      <c r="J582" s="234">
        <f t="shared" si="22"/>
        <v>0.99900757466516243</v>
      </c>
      <c r="K582" s="315">
        <f t="shared" si="23"/>
        <v>-9.9291811491878171E-4</v>
      </c>
      <c r="L582" s="234"/>
      <c r="M582" s="234"/>
      <c r="N582" s="234"/>
      <c r="O582" s="234"/>
      <c r="P582" s="234"/>
      <c r="Q582" s="234"/>
      <c r="R582" s="234"/>
      <c r="S582" s="35"/>
      <c r="T582" s="35"/>
      <c r="U582" s="35"/>
      <c r="V582" s="35"/>
      <c r="W582" s="35"/>
      <c r="X582" s="35"/>
    </row>
    <row r="583" spans="1:24" ht="12.75" customHeight="1" x14ac:dyDescent="0.3">
      <c r="A583" s="35"/>
      <c r="B583" s="35"/>
      <c r="C583" s="35"/>
      <c r="D583" s="35"/>
      <c r="E583" s="35"/>
      <c r="F583" s="35"/>
      <c r="G583" s="35"/>
      <c r="H583" s="234" t="s">
        <v>1379</v>
      </c>
      <c r="I583" s="306" t="s">
        <v>1380</v>
      </c>
      <c r="J583" s="234">
        <f t="shared" si="22"/>
        <v>1.0185668371578656</v>
      </c>
      <c r="K583" s="315">
        <f t="shared" si="23"/>
        <v>1.8396577661581332E-2</v>
      </c>
      <c r="L583" s="234"/>
      <c r="M583" s="234"/>
      <c r="N583" s="234"/>
      <c r="O583" s="234"/>
      <c r="P583" s="234"/>
      <c r="Q583" s="234"/>
      <c r="R583" s="234"/>
      <c r="S583" s="35"/>
      <c r="T583" s="35"/>
      <c r="U583" s="35"/>
      <c r="V583" s="35"/>
      <c r="W583" s="35"/>
      <c r="X583" s="35"/>
    </row>
    <row r="584" spans="1:24" ht="12.75" customHeight="1" x14ac:dyDescent="0.3">
      <c r="A584" s="35"/>
      <c r="B584" s="35"/>
      <c r="C584" s="35"/>
      <c r="D584" s="35"/>
      <c r="E584" s="35"/>
      <c r="F584" s="35"/>
      <c r="G584" s="35"/>
      <c r="H584" s="234" t="s">
        <v>1381</v>
      </c>
      <c r="I584" s="306" t="s">
        <v>1382</v>
      </c>
      <c r="J584" s="234">
        <f t="shared" si="22"/>
        <v>0.9847452291618809</v>
      </c>
      <c r="K584" s="315">
        <f t="shared" si="23"/>
        <v>-1.5372321862958125E-2</v>
      </c>
      <c r="L584" s="234"/>
      <c r="M584" s="234"/>
      <c r="N584" s="234"/>
      <c r="O584" s="234"/>
      <c r="P584" s="234"/>
      <c r="Q584" s="234"/>
      <c r="R584" s="234"/>
      <c r="S584" s="35"/>
      <c r="T584" s="35"/>
      <c r="U584" s="35"/>
      <c r="V584" s="35"/>
      <c r="W584" s="35"/>
      <c r="X584" s="35"/>
    </row>
    <row r="585" spans="1:24" ht="12.75" customHeight="1" x14ac:dyDescent="0.3">
      <c r="A585" s="35"/>
      <c r="B585" s="35"/>
      <c r="C585" s="35"/>
      <c r="D585" s="35"/>
      <c r="E585" s="35"/>
      <c r="F585" s="35"/>
      <c r="G585" s="35"/>
      <c r="H585" s="234" t="s">
        <v>1383</v>
      </c>
      <c r="I585" s="306" t="s">
        <v>1384</v>
      </c>
      <c r="J585" s="234">
        <f t="shared" si="22"/>
        <v>0.99267761224282969</v>
      </c>
      <c r="K585" s="315">
        <f t="shared" si="23"/>
        <v>-7.3493280303843431E-3</v>
      </c>
      <c r="L585" s="234"/>
      <c r="M585" s="234"/>
      <c r="N585" s="234"/>
      <c r="O585" s="234"/>
      <c r="P585" s="234"/>
      <c r="Q585" s="234"/>
      <c r="R585" s="234"/>
      <c r="S585" s="35"/>
      <c r="T585" s="35"/>
      <c r="U585" s="35"/>
      <c r="V585" s="35"/>
      <c r="W585" s="35"/>
      <c r="X585" s="35"/>
    </row>
    <row r="586" spans="1:24" ht="12.75" customHeight="1" x14ac:dyDescent="0.3">
      <c r="A586" s="35"/>
      <c r="B586" s="35"/>
      <c r="C586" s="35"/>
      <c r="D586" s="35"/>
      <c r="E586" s="35"/>
      <c r="F586" s="35"/>
      <c r="G586" s="35"/>
      <c r="H586" s="234" t="s">
        <v>1385</v>
      </c>
      <c r="I586" s="306" t="s">
        <v>1386</v>
      </c>
      <c r="J586" s="234">
        <f t="shared" si="22"/>
        <v>1.010928588504491</v>
      </c>
      <c r="K586" s="315">
        <f t="shared" si="23"/>
        <v>1.0869303027764622E-2</v>
      </c>
      <c r="L586" s="234"/>
      <c r="M586" s="234"/>
      <c r="N586" s="234"/>
      <c r="O586" s="234"/>
      <c r="P586" s="234"/>
      <c r="Q586" s="234"/>
      <c r="R586" s="234"/>
      <c r="S586" s="35"/>
      <c r="T586" s="35"/>
      <c r="U586" s="35"/>
      <c r="V586" s="35"/>
      <c r="W586" s="35"/>
      <c r="X586" s="35"/>
    </row>
    <row r="587" spans="1:24" ht="12.75" customHeight="1" x14ac:dyDescent="0.3">
      <c r="A587" s="35"/>
      <c r="B587" s="35"/>
      <c r="C587" s="35"/>
      <c r="D587" s="35"/>
      <c r="E587" s="35"/>
      <c r="F587" s="35"/>
      <c r="G587" s="35"/>
      <c r="H587" s="234" t="s">
        <v>1387</v>
      </c>
      <c r="I587" s="306" t="s">
        <v>1388</v>
      </c>
      <c r="J587" s="234">
        <f t="shared" si="22"/>
        <v>1.0111017110102039</v>
      </c>
      <c r="K587" s="315">
        <f t="shared" si="23"/>
        <v>1.104053934027434E-2</v>
      </c>
      <c r="L587" s="234"/>
      <c r="M587" s="234"/>
      <c r="N587" s="234"/>
      <c r="O587" s="234"/>
      <c r="P587" s="234"/>
      <c r="Q587" s="234"/>
      <c r="R587" s="234"/>
      <c r="S587" s="35"/>
      <c r="T587" s="35"/>
      <c r="U587" s="35"/>
      <c r="V587" s="35"/>
      <c r="W587" s="35"/>
      <c r="X587" s="35"/>
    </row>
    <row r="588" spans="1:24" ht="12.75" customHeight="1" x14ac:dyDescent="0.3">
      <c r="A588" s="35"/>
      <c r="B588" s="35"/>
      <c r="C588" s="35"/>
      <c r="D588" s="35"/>
      <c r="E588" s="35"/>
      <c r="F588" s="35"/>
      <c r="G588" s="35"/>
      <c r="H588" s="234" t="s">
        <v>1389</v>
      </c>
      <c r="I588" s="306" t="s">
        <v>1390</v>
      </c>
      <c r="J588" s="234">
        <f t="shared" si="22"/>
        <v>0.98985686819055763</v>
      </c>
      <c r="K588" s="315">
        <f t="shared" si="23"/>
        <v>-1.0194923891143315E-2</v>
      </c>
      <c r="L588" s="234"/>
      <c r="M588" s="234"/>
      <c r="N588" s="234"/>
      <c r="O588" s="234"/>
      <c r="P588" s="234"/>
      <c r="Q588" s="234"/>
      <c r="R588" s="234"/>
      <c r="S588" s="35"/>
      <c r="T588" s="35"/>
      <c r="U588" s="35"/>
      <c r="V588" s="35"/>
      <c r="W588" s="35"/>
      <c r="X588" s="35"/>
    </row>
    <row r="589" spans="1:24" ht="12.75" customHeight="1" x14ac:dyDescent="0.3">
      <c r="A589" s="35"/>
      <c r="B589" s="35"/>
      <c r="C589" s="35"/>
      <c r="D589" s="35"/>
      <c r="E589" s="35"/>
      <c r="F589" s="35"/>
      <c r="G589" s="35"/>
      <c r="H589" s="234" t="s">
        <v>1391</v>
      </c>
      <c r="I589" s="306" t="s">
        <v>1392</v>
      </c>
      <c r="J589" s="234">
        <f t="shared" si="22"/>
        <v>0.9906039700342828</v>
      </c>
      <c r="K589" s="315">
        <f t="shared" si="23"/>
        <v>-9.4404511293045383E-3</v>
      </c>
      <c r="L589" s="234"/>
      <c r="M589" s="234"/>
      <c r="N589" s="234"/>
      <c r="O589" s="234"/>
      <c r="P589" s="234"/>
      <c r="Q589" s="234"/>
      <c r="R589" s="234"/>
      <c r="S589" s="35"/>
      <c r="T589" s="35"/>
      <c r="U589" s="35"/>
      <c r="V589" s="35"/>
      <c r="W589" s="35"/>
      <c r="X589" s="35"/>
    </row>
    <row r="590" spans="1:24" ht="12.75" customHeight="1" x14ac:dyDescent="0.3">
      <c r="A590" s="35"/>
      <c r="B590" s="35"/>
      <c r="C590" s="35"/>
      <c r="D590" s="35"/>
      <c r="E590" s="35"/>
      <c r="F590" s="35"/>
      <c r="G590" s="35"/>
      <c r="H590" s="234" t="s">
        <v>1393</v>
      </c>
      <c r="I590" s="306" t="s">
        <v>1394</v>
      </c>
      <c r="J590" s="234">
        <f t="shared" si="22"/>
        <v>1.0170024104683195</v>
      </c>
      <c r="K590" s="315">
        <f t="shared" si="23"/>
        <v>1.6859487238952798E-2</v>
      </c>
      <c r="L590" s="234"/>
      <c r="M590" s="234"/>
      <c r="N590" s="234"/>
      <c r="O590" s="234"/>
      <c r="P590" s="234"/>
      <c r="Q590" s="234"/>
      <c r="R590" s="234"/>
      <c r="S590" s="35"/>
      <c r="T590" s="35"/>
      <c r="U590" s="35"/>
      <c r="V590" s="35"/>
      <c r="W590" s="35"/>
      <c r="X590" s="35"/>
    </row>
    <row r="591" spans="1:24" ht="12.75" customHeight="1" x14ac:dyDescent="0.3">
      <c r="A591" s="35"/>
      <c r="B591" s="35"/>
      <c r="C591" s="35"/>
      <c r="D591" s="35"/>
      <c r="E591" s="35"/>
      <c r="F591" s="35"/>
      <c r="G591" s="35"/>
      <c r="H591" s="234" t="s">
        <v>1395</v>
      </c>
      <c r="I591" s="306" t="s">
        <v>1396</v>
      </c>
      <c r="J591" s="234">
        <f t="shared" si="22"/>
        <v>1.0150918004421801</v>
      </c>
      <c r="K591" s="315">
        <f t="shared" si="23"/>
        <v>1.4979052189357165E-2</v>
      </c>
      <c r="L591" s="234"/>
      <c r="M591" s="234"/>
      <c r="N591" s="234"/>
      <c r="O591" s="234"/>
      <c r="P591" s="234"/>
      <c r="Q591" s="234"/>
      <c r="R591" s="234"/>
      <c r="S591" s="35"/>
      <c r="T591" s="35"/>
      <c r="U591" s="35"/>
      <c r="V591" s="35"/>
      <c r="W591" s="35"/>
      <c r="X591" s="35"/>
    </row>
    <row r="592" spans="1:24" ht="12.75" customHeight="1" x14ac:dyDescent="0.3">
      <c r="A592" s="35"/>
      <c r="B592" s="35"/>
      <c r="C592" s="35"/>
      <c r="D592" s="35"/>
      <c r="E592" s="35"/>
      <c r="F592" s="35"/>
      <c r="G592" s="35"/>
      <c r="H592" s="234" t="s">
        <v>1397</v>
      </c>
      <c r="I592" s="306" t="s">
        <v>1398</v>
      </c>
      <c r="J592" s="234">
        <f t="shared" si="22"/>
        <v>0.99158608020519223</v>
      </c>
      <c r="K592" s="315">
        <f t="shared" si="23"/>
        <v>-8.44951663121629E-3</v>
      </c>
      <c r="L592" s="234"/>
      <c r="M592" s="234"/>
      <c r="N592" s="234"/>
      <c r="O592" s="234"/>
      <c r="P592" s="234"/>
      <c r="Q592" s="234"/>
      <c r="R592" s="234"/>
      <c r="S592" s="35"/>
      <c r="T592" s="35"/>
      <c r="U592" s="35"/>
      <c r="V592" s="35"/>
      <c r="W592" s="35"/>
      <c r="X592" s="35"/>
    </row>
    <row r="593" spans="1:24" ht="12.75" customHeight="1" x14ac:dyDescent="0.3">
      <c r="A593" s="35"/>
      <c r="B593" s="35"/>
      <c r="C593" s="35"/>
      <c r="D593" s="35"/>
      <c r="E593" s="35"/>
      <c r="F593" s="35"/>
      <c r="G593" s="35"/>
      <c r="H593" s="234" t="s">
        <v>1399</v>
      </c>
      <c r="I593" s="306" t="s">
        <v>1400</v>
      </c>
      <c r="J593" s="234">
        <f t="shared" si="22"/>
        <v>1.0037487062179815</v>
      </c>
      <c r="K593" s="315">
        <f t="shared" si="23"/>
        <v>3.7416973295419259E-3</v>
      </c>
      <c r="L593" s="234"/>
      <c r="M593" s="234"/>
      <c r="N593" s="234"/>
      <c r="O593" s="234"/>
      <c r="P593" s="234"/>
      <c r="Q593" s="234"/>
      <c r="R593" s="234"/>
      <c r="S593" s="35"/>
      <c r="T593" s="35"/>
      <c r="U593" s="35"/>
      <c r="V593" s="35"/>
      <c r="W593" s="35"/>
      <c r="X593" s="35"/>
    </row>
    <row r="594" spans="1:24" ht="12.75" customHeight="1" x14ac:dyDescent="0.3">
      <c r="A594" s="35"/>
      <c r="B594" s="35"/>
      <c r="C594" s="35"/>
      <c r="D594" s="35"/>
      <c r="E594" s="35"/>
      <c r="F594" s="35"/>
      <c r="G594" s="35"/>
      <c r="H594" s="234" t="s">
        <v>1401</v>
      </c>
      <c r="I594" s="306" t="s">
        <v>1402</v>
      </c>
      <c r="J594" s="234">
        <f t="shared" si="22"/>
        <v>0.99464495812859022</v>
      </c>
      <c r="K594" s="315">
        <f t="shared" si="23"/>
        <v>-5.3694315025071123E-3</v>
      </c>
      <c r="L594" s="234"/>
      <c r="M594" s="234"/>
      <c r="N594" s="234"/>
      <c r="O594" s="234"/>
      <c r="P594" s="234"/>
      <c r="Q594" s="234"/>
      <c r="R594" s="234"/>
      <c r="S594" s="35"/>
      <c r="T594" s="35"/>
      <c r="U594" s="35"/>
      <c r="V594" s="35"/>
      <c r="W594" s="35"/>
      <c r="X594" s="35"/>
    </row>
    <row r="595" spans="1:24" ht="12.75" customHeight="1" x14ac:dyDescent="0.3">
      <c r="A595" s="35"/>
      <c r="B595" s="35"/>
      <c r="C595" s="35"/>
      <c r="D595" s="35"/>
      <c r="E595" s="35"/>
      <c r="F595" s="35"/>
      <c r="G595" s="35"/>
      <c r="H595" s="234" t="s">
        <v>1403</v>
      </c>
      <c r="I595" s="306" t="s">
        <v>1404</v>
      </c>
      <c r="J595" s="234">
        <f t="shared" si="22"/>
        <v>0.99501596784051094</v>
      </c>
      <c r="K595" s="315">
        <f t="shared" si="23"/>
        <v>-4.9964938713978379E-3</v>
      </c>
      <c r="L595" s="234"/>
      <c r="M595" s="234"/>
      <c r="N595" s="234"/>
      <c r="O595" s="234"/>
      <c r="P595" s="234"/>
      <c r="Q595" s="234"/>
      <c r="R595" s="234"/>
      <c r="S595" s="35"/>
      <c r="T595" s="35"/>
      <c r="U595" s="35"/>
      <c r="V595" s="35"/>
      <c r="W595" s="35"/>
      <c r="X595" s="35"/>
    </row>
    <row r="596" spans="1:24" ht="12.75" customHeight="1" x14ac:dyDescent="0.3">
      <c r="A596" s="35"/>
      <c r="B596" s="35"/>
      <c r="C596" s="35"/>
      <c r="D596" s="35"/>
      <c r="E596" s="35"/>
      <c r="F596" s="35"/>
      <c r="G596" s="35"/>
      <c r="H596" s="234" t="s">
        <v>1405</v>
      </c>
      <c r="I596" s="306" t="s">
        <v>1406</v>
      </c>
      <c r="J596" s="234">
        <f t="shared" si="22"/>
        <v>0.99453809209906774</v>
      </c>
      <c r="K596" s="315">
        <f t="shared" si="23"/>
        <v>-5.4768786573710761E-3</v>
      </c>
      <c r="L596" s="234"/>
      <c r="M596" s="234"/>
      <c r="N596" s="234"/>
      <c r="O596" s="234"/>
      <c r="P596" s="234"/>
      <c r="Q596" s="234"/>
      <c r="R596" s="234"/>
      <c r="S596" s="35"/>
      <c r="T596" s="35"/>
      <c r="U596" s="35"/>
      <c r="V596" s="35"/>
      <c r="W596" s="35"/>
      <c r="X596" s="35"/>
    </row>
    <row r="597" spans="1:24" ht="12.75" customHeight="1" x14ac:dyDescent="0.3">
      <c r="A597" s="35"/>
      <c r="B597" s="35"/>
      <c r="C597" s="35"/>
      <c r="D597" s="35"/>
      <c r="E597" s="35"/>
      <c r="F597" s="35"/>
      <c r="G597" s="35"/>
      <c r="H597" s="234" t="s">
        <v>1407</v>
      </c>
      <c r="I597" s="306" t="s">
        <v>1408</v>
      </c>
      <c r="J597" s="234">
        <f t="shared" si="22"/>
        <v>0.98934503290504539</v>
      </c>
      <c r="K597" s="315">
        <f t="shared" si="23"/>
        <v>-1.0712137720251912E-2</v>
      </c>
      <c r="L597" s="234"/>
      <c r="M597" s="234"/>
      <c r="N597" s="234"/>
      <c r="O597" s="234"/>
      <c r="P597" s="234"/>
      <c r="Q597" s="234"/>
      <c r="R597" s="234"/>
      <c r="S597" s="35"/>
      <c r="T597" s="35"/>
      <c r="U597" s="35"/>
      <c r="V597" s="35"/>
      <c r="W597" s="35"/>
      <c r="X597" s="35"/>
    </row>
    <row r="598" spans="1:24" ht="12.75" customHeight="1" x14ac:dyDescent="0.3">
      <c r="A598" s="35"/>
      <c r="B598" s="35"/>
      <c r="C598" s="35"/>
      <c r="D598" s="35"/>
      <c r="E598" s="35"/>
      <c r="F598" s="35"/>
      <c r="G598" s="35"/>
      <c r="H598" s="234" t="s">
        <v>1409</v>
      </c>
      <c r="I598" s="306" t="s">
        <v>1410</v>
      </c>
      <c r="J598" s="234">
        <f t="shared" si="22"/>
        <v>0.99760878749471904</v>
      </c>
      <c r="K598" s="315">
        <f t="shared" si="23"/>
        <v>-2.3940760196620521E-3</v>
      </c>
      <c r="L598" s="234"/>
      <c r="M598" s="234"/>
      <c r="N598" s="234"/>
      <c r="O598" s="234"/>
      <c r="P598" s="234"/>
      <c r="Q598" s="234"/>
      <c r="R598" s="234"/>
      <c r="S598" s="35"/>
      <c r="T598" s="35"/>
      <c r="U598" s="35"/>
      <c r="V598" s="35"/>
      <c r="W598" s="35"/>
      <c r="X598" s="35"/>
    </row>
    <row r="599" spans="1:24" ht="12.75" customHeight="1" x14ac:dyDescent="0.3">
      <c r="A599" s="35"/>
      <c r="B599" s="35"/>
      <c r="C599" s="35"/>
      <c r="D599" s="35"/>
      <c r="E599" s="35"/>
      <c r="F599" s="35"/>
      <c r="G599" s="35"/>
      <c r="H599" s="234" t="s">
        <v>1411</v>
      </c>
      <c r="I599" s="306" t="s">
        <v>1412</v>
      </c>
      <c r="J599" s="234">
        <f t="shared" si="22"/>
        <v>0.99947640441847108</v>
      </c>
      <c r="K599" s="315">
        <f t="shared" si="23"/>
        <v>-5.2373270556253673E-4</v>
      </c>
      <c r="L599" s="234"/>
      <c r="M599" s="234"/>
      <c r="N599" s="234"/>
      <c r="O599" s="234"/>
      <c r="P599" s="234"/>
      <c r="Q599" s="234"/>
      <c r="R599" s="234"/>
      <c r="S599" s="35"/>
      <c r="T599" s="35"/>
      <c r="U599" s="35"/>
      <c r="V599" s="35"/>
      <c r="W599" s="35"/>
      <c r="X599" s="35"/>
    </row>
    <row r="600" spans="1:24" ht="12.75" customHeight="1" x14ac:dyDescent="0.3">
      <c r="A600" s="35"/>
      <c r="B600" s="35"/>
      <c r="C600" s="35"/>
      <c r="D600" s="35"/>
      <c r="E600" s="35"/>
      <c r="F600" s="35"/>
      <c r="G600" s="35"/>
      <c r="H600" s="234" t="s">
        <v>1413</v>
      </c>
      <c r="I600" s="306" t="s">
        <v>1414</v>
      </c>
      <c r="J600" s="234">
        <f t="shared" si="22"/>
        <v>0.99430682676966997</v>
      </c>
      <c r="K600" s="315">
        <f t="shared" si="23"/>
        <v>-5.709441114349019E-3</v>
      </c>
      <c r="L600" s="234"/>
      <c r="M600" s="234"/>
      <c r="N600" s="234"/>
      <c r="O600" s="234"/>
      <c r="P600" s="234"/>
      <c r="Q600" s="234"/>
      <c r="R600" s="234"/>
      <c r="S600" s="35"/>
      <c r="T600" s="35"/>
      <c r="U600" s="35"/>
      <c r="V600" s="35"/>
      <c r="W600" s="35"/>
      <c r="X600" s="35"/>
    </row>
    <row r="601" spans="1:24" ht="12.75" customHeight="1" x14ac:dyDescent="0.3">
      <c r="A601" s="35"/>
      <c r="B601" s="35"/>
      <c r="C601" s="35"/>
      <c r="D601" s="35"/>
      <c r="E601" s="35"/>
      <c r="F601" s="35"/>
      <c r="G601" s="35"/>
      <c r="H601" s="234" t="s">
        <v>1415</v>
      </c>
      <c r="I601" s="306" t="s">
        <v>1416</v>
      </c>
      <c r="J601" s="234">
        <f t="shared" si="22"/>
        <v>0.99758749518336709</v>
      </c>
      <c r="K601" s="315">
        <f t="shared" si="23"/>
        <v>-2.4154195952667329E-3</v>
      </c>
      <c r="L601" s="234"/>
      <c r="M601" s="234"/>
      <c r="N601" s="234"/>
      <c r="O601" s="234"/>
      <c r="P601" s="234"/>
      <c r="Q601" s="234"/>
      <c r="R601" s="234"/>
      <c r="S601" s="35"/>
      <c r="T601" s="35"/>
      <c r="U601" s="35"/>
      <c r="V601" s="35"/>
      <c r="W601" s="35"/>
      <c r="X601" s="35"/>
    </row>
    <row r="602" spans="1:24" ht="12.75" customHeight="1" x14ac:dyDescent="0.3">
      <c r="A602" s="35"/>
      <c r="B602" s="35"/>
      <c r="C602" s="35"/>
      <c r="D602" s="35"/>
      <c r="E602" s="35"/>
      <c r="F602" s="35"/>
      <c r="G602" s="35"/>
      <c r="H602" s="234" t="s">
        <v>1417</v>
      </c>
      <c r="I602" s="306" t="s">
        <v>1418</v>
      </c>
      <c r="J602" s="234">
        <f t="shared" si="22"/>
        <v>0.99890384824573886</v>
      </c>
      <c r="K602" s="315">
        <f t="shared" si="23"/>
        <v>-1.0967529679831349E-3</v>
      </c>
      <c r="L602" s="234"/>
      <c r="M602" s="234"/>
      <c r="N602" s="234"/>
      <c r="O602" s="234"/>
      <c r="P602" s="234"/>
      <c r="Q602" s="234"/>
      <c r="R602" s="234"/>
      <c r="S602" s="35"/>
      <c r="T602" s="35"/>
      <c r="U602" s="35"/>
      <c r="V602" s="35"/>
      <c r="W602" s="35"/>
      <c r="X602" s="35"/>
    </row>
    <row r="603" spans="1:24" ht="12.75" customHeight="1" x14ac:dyDescent="0.3">
      <c r="A603" s="35"/>
      <c r="B603" s="35"/>
      <c r="C603" s="35"/>
      <c r="D603" s="35"/>
      <c r="E603" s="35"/>
      <c r="F603" s="35"/>
      <c r="G603" s="35"/>
      <c r="H603" s="234" t="s">
        <v>1419</v>
      </c>
      <c r="I603" s="306" t="s">
        <v>1420</v>
      </c>
      <c r="J603" s="234">
        <f t="shared" si="22"/>
        <v>0.99106861493042309</v>
      </c>
      <c r="K603" s="315">
        <f t="shared" si="23"/>
        <v>-8.9715089759129958E-3</v>
      </c>
      <c r="L603" s="234"/>
      <c r="M603" s="234"/>
      <c r="N603" s="234"/>
      <c r="O603" s="234"/>
      <c r="P603" s="234"/>
      <c r="Q603" s="234"/>
      <c r="R603" s="234"/>
      <c r="S603" s="35"/>
      <c r="T603" s="35"/>
      <c r="U603" s="35"/>
      <c r="V603" s="35"/>
      <c r="W603" s="35"/>
      <c r="X603" s="35"/>
    </row>
    <row r="604" spans="1:24" ht="12.75" customHeight="1" x14ac:dyDescent="0.3">
      <c r="A604" s="35"/>
      <c r="B604" s="35"/>
      <c r="C604" s="35"/>
      <c r="D604" s="35"/>
      <c r="E604" s="35"/>
      <c r="F604" s="35"/>
      <c r="G604" s="35"/>
      <c r="H604" s="234" t="s">
        <v>1421</v>
      </c>
      <c r="I604" s="306" t="s">
        <v>1422</v>
      </c>
      <c r="J604" s="234">
        <f t="shared" si="22"/>
        <v>0.99774116946193503</v>
      </c>
      <c r="K604" s="315">
        <f t="shared" si="23"/>
        <v>-2.2613855440402871E-3</v>
      </c>
      <c r="L604" s="234"/>
      <c r="M604" s="234"/>
      <c r="N604" s="234"/>
      <c r="O604" s="234"/>
      <c r="P604" s="234"/>
      <c r="Q604" s="234"/>
      <c r="R604" s="234"/>
      <c r="S604" s="35"/>
      <c r="T604" s="35"/>
      <c r="U604" s="35"/>
      <c r="V604" s="35"/>
      <c r="W604" s="35"/>
      <c r="X604" s="35"/>
    </row>
    <row r="605" spans="1:24" ht="12.75" customHeight="1" x14ac:dyDescent="0.3">
      <c r="A605" s="35"/>
      <c r="B605" s="35"/>
      <c r="C605" s="35"/>
      <c r="D605" s="35"/>
      <c r="E605" s="35"/>
      <c r="F605" s="35"/>
      <c r="G605" s="35"/>
      <c r="H605" s="234" t="s">
        <v>1423</v>
      </c>
      <c r="I605" s="306" t="s">
        <v>1424</v>
      </c>
      <c r="J605" s="234">
        <f t="shared" si="22"/>
        <v>0.99678347862662786</v>
      </c>
      <c r="K605" s="315">
        <f t="shared" si="23"/>
        <v>-3.221705497794334E-3</v>
      </c>
      <c r="L605" s="234"/>
      <c r="M605" s="234"/>
      <c r="N605" s="234"/>
      <c r="O605" s="234"/>
      <c r="P605" s="234"/>
      <c r="Q605" s="234"/>
      <c r="R605" s="234"/>
      <c r="S605" s="35"/>
      <c r="T605" s="35"/>
      <c r="U605" s="35"/>
      <c r="V605" s="35"/>
      <c r="W605" s="35"/>
      <c r="X605" s="35"/>
    </row>
    <row r="606" spans="1:24" ht="12.75" customHeight="1" x14ac:dyDescent="0.3">
      <c r="A606" s="35"/>
      <c r="B606" s="35"/>
      <c r="C606" s="35"/>
      <c r="D606" s="35"/>
      <c r="E606" s="35"/>
      <c r="F606" s="35"/>
      <c r="G606" s="35"/>
      <c r="H606" s="234" t="s">
        <v>1425</v>
      </c>
      <c r="I606" s="306" t="s">
        <v>1426</v>
      </c>
      <c r="J606" s="234">
        <f t="shared" si="22"/>
        <v>0.99429250891795484</v>
      </c>
      <c r="K606" s="315">
        <f t="shared" si="23"/>
        <v>-5.7238410504833886E-3</v>
      </c>
      <c r="L606" s="234"/>
      <c r="M606" s="234"/>
      <c r="N606" s="234"/>
      <c r="O606" s="234"/>
      <c r="P606" s="234"/>
      <c r="Q606" s="234"/>
      <c r="R606" s="234"/>
      <c r="S606" s="35"/>
      <c r="T606" s="35"/>
      <c r="U606" s="35"/>
      <c r="V606" s="35"/>
      <c r="W606" s="35"/>
      <c r="X606" s="35"/>
    </row>
    <row r="607" spans="1:24" ht="12.75" customHeight="1" x14ac:dyDescent="0.3">
      <c r="A607" s="35"/>
      <c r="B607" s="35"/>
      <c r="C607" s="35"/>
      <c r="D607" s="35"/>
      <c r="E607" s="35"/>
      <c r="F607" s="35"/>
      <c r="G607" s="35"/>
      <c r="H607" s="234" t="s">
        <v>1427</v>
      </c>
      <c r="I607" s="306" t="s">
        <v>1428</v>
      </c>
      <c r="J607" s="234">
        <f t="shared" si="22"/>
        <v>1.0146187639364994</v>
      </c>
      <c r="K607" s="315">
        <f t="shared" si="23"/>
        <v>1.4512939904633652E-2</v>
      </c>
      <c r="L607" s="234"/>
      <c r="M607" s="234"/>
      <c r="N607" s="234"/>
      <c r="O607" s="234"/>
      <c r="P607" s="234"/>
      <c r="Q607" s="234"/>
      <c r="R607" s="234"/>
      <c r="S607" s="35"/>
      <c r="T607" s="35"/>
      <c r="U607" s="35"/>
      <c r="V607" s="35"/>
      <c r="W607" s="35"/>
      <c r="X607" s="35"/>
    </row>
    <row r="608" spans="1:24" ht="12.75" customHeight="1" x14ac:dyDescent="0.3">
      <c r="A608" s="35"/>
      <c r="B608" s="35"/>
      <c r="C608" s="35"/>
      <c r="D608" s="35"/>
      <c r="E608" s="35"/>
      <c r="F608" s="35"/>
      <c r="G608" s="35"/>
      <c r="H608" s="234" t="s">
        <v>1429</v>
      </c>
      <c r="I608" s="306" t="s">
        <v>1430</v>
      </c>
      <c r="J608" s="234">
        <f t="shared" si="22"/>
        <v>1.0015499741670972</v>
      </c>
      <c r="K608" s="315">
        <f t="shared" si="23"/>
        <v>1.5487741969263857E-3</v>
      </c>
      <c r="L608" s="234"/>
      <c r="M608" s="234"/>
      <c r="N608" s="234"/>
      <c r="O608" s="234"/>
      <c r="P608" s="234"/>
      <c r="Q608" s="234"/>
      <c r="R608" s="234"/>
      <c r="S608" s="35"/>
      <c r="T608" s="35"/>
      <c r="U608" s="35"/>
      <c r="V608" s="35"/>
      <c r="W608" s="35"/>
      <c r="X608" s="35"/>
    </row>
    <row r="609" spans="1:24" ht="12.75" customHeight="1" x14ac:dyDescent="0.3">
      <c r="A609" s="35"/>
      <c r="B609" s="35"/>
      <c r="C609" s="35"/>
      <c r="D609" s="35"/>
      <c r="E609" s="35"/>
      <c r="F609" s="35"/>
      <c r="G609" s="35"/>
      <c r="H609" s="234" t="s">
        <v>1431</v>
      </c>
      <c r="I609" s="306" t="s">
        <v>1432</v>
      </c>
      <c r="J609" s="234">
        <f t="shared" si="22"/>
        <v>0.97912859007832898</v>
      </c>
      <c r="K609" s="315">
        <f t="shared" si="23"/>
        <v>-2.1092296682455859E-2</v>
      </c>
      <c r="L609" s="234"/>
      <c r="M609" s="234"/>
      <c r="N609" s="234"/>
      <c r="O609" s="234"/>
      <c r="P609" s="234"/>
      <c r="Q609" s="234"/>
      <c r="R609" s="234"/>
      <c r="S609" s="35"/>
      <c r="T609" s="35"/>
      <c r="U609" s="35"/>
      <c r="V609" s="35"/>
      <c r="W609" s="35"/>
      <c r="X609" s="35"/>
    </row>
    <row r="610" spans="1:24" ht="12.75" customHeight="1" x14ac:dyDescent="0.3">
      <c r="A610" s="35"/>
      <c r="B610" s="35"/>
      <c r="C610" s="35"/>
      <c r="D610" s="35"/>
      <c r="E610" s="35"/>
      <c r="F610" s="35"/>
      <c r="G610" s="35"/>
      <c r="H610" s="234" t="s">
        <v>1433</v>
      </c>
      <c r="I610" s="306" t="s">
        <v>1434</v>
      </c>
      <c r="J610" s="234">
        <f t="shared" si="22"/>
        <v>1.004565461505045</v>
      </c>
      <c r="K610" s="315">
        <f t="shared" si="23"/>
        <v>4.5550713974233503E-3</v>
      </c>
      <c r="L610" s="234"/>
      <c r="M610" s="234"/>
      <c r="N610" s="234"/>
      <c r="O610" s="234"/>
      <c r="P610" s="234"/>
      <c r="Q610" s="234"/>
      <c r="R610" s="234"/>
      <c r="S610" s="35"/>
      <c r="T610" s="35"/>
      <c r="U610" s="35"/>
      <c r="V610" s="35"/>
      <c r="W610" s="35"/>
      <c r="X610" s="35"/>
    </row>
    <row r="611" spans="1:24" ht="12.75" customHeight="1" x14ac:dyDescent="0.3">
      <c r="A611" s="35"/>
      <c r="B611" s="35"/>
      <c r="C611" s="35"/>
      <c r="D611" s="35"/>
      <c r="E611" s="35"/>
      <c r="F611" s="35"/>
      <c r="G611" s="35"/>
      <c r="H611" s="234" t="s">
        <v>1435</v>
      </c>
      <c r="I611" s="306" t="s">
        <v>1436</v>
      </c>
      <c r="J611" s="234">
        <f t="shared" si="22"/>
        <v>1.0054308412447257</v>
      </c>
      <c r="K611" s="315">
        <f t="shared" si="23"/>
        <v>5.4161474023559069E-3</v>
      </c>
      <c r="L611" s="234"/>
      <c r="M611" s="234"/>
      <c r="N611" s="234"/>
      <c r="O611" s="234"/>
      <c r="P611" s="234"/>
      <c r="Q611" s="234"/>
      <c r="R611" s="234"/>
      <c r="S611" s="35"/>
      <c r="T611" s="35"/>
      <c r="U611" s="35"/>
      <c r="V611" s="35"/>
      <c r="W611" s="35"/>
      <c r="X611" s="35"/>
    </row>
    <row r="612" spans="1:24" ht="12.75" customHeight="1" x14ac:dyDescent="0.3">
      <c r="A612" s="35"/>
      <c r="B612" s="35"/>
      <c r="C612" s="35"/>
      <c r="D612" s="35"/>
      <c r="E612" s="35"/>
      <c r="F612" s="35"/>
      <c r="G612" s="35"/>
      <c r="H612" s="234" t="s">
        <v>1437</v>
      </c>
      <c r="I612" s="306" t="s">
        <v>1438</v>
      </c>
      <c r="J612" s="234">
        <f t="shared" si="22"/>
        <v>1.0093495258692398</v>
      </c>
      <c r="K612" s="315">
        <f t="shared" si="23"/>
        <v>9.3060895814859653E-3</v>
      </c>
      <c r="L612" s="234"/>
      <c r="M612" s="234"/>
      <c r="N612" s="234"/>
      <c r="O612" s="234"/>
      <c r="P612" s="234"/>
      <c r="Q612" s="234"/>
      <c r="R612" s="234"/>
      <c r="S612" s="35"/>
      <c r="T612" s="35"/>
      <c r="U612" s="35"/>
      <c r="V612" s="35"/>
      <c r="W612" s="35"/>
      <c r="X612" s="35"/>
    </row>
    <row r="613" spans="1:24" ht="12.75" customHeight="1" x14ac:dyDescent="0.3">
      <c r="A613" s="35"/>
      <c r="B613" s="35"/>
      <c r="C613" s="35"/>
      <c r="D613" s="35"/>
      <c r="E613" s="35"/>
      <c r="F613" s="35"/>
      <c r="G613" s="35"/>
      <c r="H613" s="234" t="s">
        <v>1439</v>
      </c>
      <c r="I613" s="306" t="s">
        <v>1440</v>
      </c>
      <c r="J613" s="234">
        <f t="shared" si="22"/>
        <v>1.0180370903548142</v>
      </c>
      <c r="K613" s="315">
        <f t="shared" si="23"/>
        <v>1.7876351997825779E-2</v>
      </c>
      <c r="L613" s="234"/>
      <c r="M613" s="234"/>
      <c r="N613" s="234"/>
      <c r="O613" s="234"/>
      <c r="P613" s="234"/>
      <c r="Q613" s="234"/>
      <c r="R613" s="234"/>
      <c r="S613" s="35"/>
      <c r="T613" s="35"/>
      <c r="U613" s="35"/>
      <c r="V613" s="35"/>
      <c r="W613" s="35"/>
      <c r="X613" s="35"/>
    </row>
    <row r="614" spans="1:24" ht="12.75" customHeight="1" x14ac:dyDescent="0.3">
      <c r="A614" s="35"/>
      <c r="B614" s="35"/>
      <c r="C614" s="35"/>
      <c r="D614" s="35"/>
      <c r="E614" s="35"/>
      <c r="F614" s="35"/>
      <c r="G614" s="35"/>
      <c r="H614" s="234" t="s">
        <v>1441</v>
      </c>
      <c r="I614" s="306" t="s">
        <v>1442</v>
      </c>
      <c r="J614" s="234">
        <f t="shared" si="22"/>
        <v>1.0045254257472906</v>
      </c>
      <c r="K614" s="315">
        <f t="shared" si="23"/>
        <v>4.5152167965054136E-3</v>
      </c>
      <c r="L614" s="234"/>
      <c r="M614" s="234"/>
      <c r="N614" s="234"/>
      <c r="O614" s="234"/>
      <c r="P614" s="234"/>
      <c r="Q614" s="234"/>
      <c r="R614" s="234"/>
      <c r="S614" s="35"/>
      <c r="T614" s="35"/>
      <c r="U614" s="35"/>
      <c r="V614" s="35"/>
      <c r="W614" s="35"/>
      <c r="X614" s="35"/>
    </row>
    <row r="615" spans="1:24" ht="12.75" customHeight="1" x14ac:dyDescent="0.3">
      <c r="A615" s="35"/>
      <c r="B615" s="35"/>
      <c r="C615" s="35"/>
      <c r="D615" s="35"/>
      <c r="E615" s="35"/>
      <c r="F615" s="35"/>
      <c r="G615" s="35"/>
      <c r="H615" s="234" t="s">
        <v>1443</v>
      </c>
      <c r="I615" s="306" t="s">
        <v>1444</v>
      </c>
      <c r="J615" s="234">
        <f t="shared" si="22"/>
        <v>0.99758999338096777</v>
      </c>
      <c r="K615" s="315">
        <f t="shared" si="23"/>
        <v>-2.4129153593127933E-3</v>
      </c>
      <c r="L615" s="234"/>
      <c r="M615" s="234"/>
      <c r="N615" s="234"/>
      <c r="O615" s="234"/>
      <c r="P615" s="234"/>
      <c r="Q615" s="234"/>
      <c r="R615" s="234"/>
      <c r="S615" s="35"/>
      <c r="T615" s="35"/>
      <c r="U615" s="35"/>
      <c r="V615" s="35"/>
      <c r="W615" s="35"/>
      <c r="X615" s="35"/>
    </row>
    <row r="616" spans="1:24" ht="12.75" customHeight="1" x14ac:dyDescent="0.3">
      <c r="A616" s="35"/>
      <c r="B616" s="35"/>
      <c r="C616" s="35"/>
      <c r="D616" s="35"/>
      <c r="E616" s="35"/>
      <c r="F616" s="35"/>
      <c r="G616" s="35"/>
      <c r="H616" s="234" t="s">
        <v>1445</v>
      </c>
      <c r="I616" s="306" t="s">
        <v>1446</v>
      </c>
      <c r="J616" s="234">
        <f t="shared" si="22"/>
        <v>0.99681943528058337</v>
      </c>
      <c r="K616" s="315">
        <f t="shared" si="23"/>
        <v>-3.1856334658881078E-3</v>
      </c>
      <c r="L616" s="234"/>
      <c r="M616" s="234"/>
      <c r="N616" s="234"/>
      <c r="O616" s="234"/>
      <c r="P616" s="234"/>
      <c r="Q616" s="234"/>
      <c r="R616" s="234"/>
      <c r="S616" s="35"/>
      <c r="T616" s="35"/>
      <c r="U616" s="35"/>
      <c r="V616" s="35"/>
      <c r="W616" s="35"/>
      <c r="X616" s="35"/>
    </row>
    <row r="617" spans="1:24" ht="12.75" customHeight="1" x14ac:dyDescent="0.3">
      <c r="A617" s="35"/>
      <c r="B617" s="35"/>
      <c r="C617" s="35"/>
      <c r="D617" s="35"/>
      <c r="E617" s="35"/>
      <c r="F617" s="35"/>
      <c r="G617" s="35"/>
      <c r="H617" s="234" t="s">
        <v>1447</v>
      </c>
      <c r="I617" s="306" t="s">
        <v>1448</v>
      </c>
      <c r="J617" s="234">
        <f t="shared" si="22"/>
        <v>1.0043071590590513</v>
      </c>
      <c r="K617" s="315">
        <f t="shared" si="23"/>
        <v>4.2979097986509509E-3</v>
      </c>
      <c r="L617" s="234"/>
      <c r="M617" s="234"/>
      <c r="N617" s="234"/>
      <c r="O617" s="234"/>
      <c r="P617" s="234"/>
      <c r="Q617" s="234"/>
      <c r="R617" s="234"/>
      <c r="S617" s="35"/>
      <c r="T617" s="35"/>
      <c r="U617" s="35"/>
      <c r="V617" s="35"/>
      <c r="W617" s="35"/>
      <c r="X617" s="35"/>
    </row>
    <row r="618" spans="1:24" ht="12.75" customHeight="1" x14ac:dyDescent="0.3">
      <c r="A618" s="35"/>
      <c r="B618" s="35"/>
      <c r="C618" s="35"/>
      <c r="D618" s="35"/>
      <c r="E618" s="35"/>
      <c r="F618" s="35"/>
      <c r="G618" s="35"/>
      <c r="H618" s="234" t="s">
        <v>1449</v>
      </c>
      <c r="I618" s="306" t="s">
        <v>1450</v>
      </c>
      <c r="J618" s="234">
        <f t="shared" si="22"/>
        <v>0.98694536673709632</v>
      </c>
      <c r="K618" s="315">
        <f t="shared" si="23"/>
        <v>-1.3140593930634074E-2</v>
      </c>
      <c r="L618" s="234"/>
      <c r="M618" s="234"/>
      <c r="N618" s="234"/>
      <c r="O618" s="234"/>
      <c r="P618" s="234"/>
      <c r="Q618" s="234"/>
      <c r="R618" s="234"/>
      <c r="S618" s="35"/>
      <c r="T618" s="35"/>
      <c r="U618" s="35"/>
      <c r="V618" s="35"/>
      <c r="W618" s="35"/>
      <c r="X618" s="35"/>
    </row>
    <row r="619" spans="1:24" ht="12.75" customHeight="1" x14ac:dyDescent="0.3">
      <c r="A619" s="35"/>
      <c r="B619" s="35"/>
      <c r="C619" s="35"/>
      <c r="D619" s="35"/>
      <c r="E619" s="35"/>
      <c r="F619" s="35"/>
      <c r="G619" s="35"/>
      <c r="H619" s="234" t="s">
        <v>1451</v>
      </c>
      <c r="I619" s="306" t="s">
        <v>1292</v>
      </c>
      <c r="J619" s="234">
        <f t="shared" si="22"/>
        <v>1.0135717381512863</v>
      </c>
      <c r="K619" s="315">
        <f t="shared" si="23"/>
        <v>1.348046699131893E-2</v>
      </c>
      <c r="L619" s="234"/>
      <c r="M619" s="234"/>
      <c r="N619" s="234"/>
      <c r="O619" s="234"/>
      <c r="P619" s="234"/>
      <c r="Q619" s="234"/>
      <c r="R619" s="234"/>
      <c r="S619" s="35"/>
      <c r="T619" s="35"/>
      <c r="U619" s="35"/>
      <c r="V619" s="35"/>
      <c r="W619" s="35"/>
      <c r="X619" s="35"/>
    </row>
    <row r="620" spans="1:24" ht="12.75" customHeight="1" x14ac:dyDescent="0.3">
      <c r="A620" s="35"/>
      <c r="B620" s="35"/>
      <c r="C620" s="35"/>
      <c r="D620" s="35"/>
      <c r="E620" s="35"/>
      <c r="F620" s="35"/>
      <c r="G620" s="35"/>
      <c r="H620" s="234" t="s">
        <v>1452</v>
      </c>
      <c r="I620" s="306" t="s">
        <v>1453</v>
      </c>
      <c r="J620" s="234">
        <f t="shared" si="22"/>
        <v>1.0009697423377595</v>
      </c>
      <c r="K620" s="315">
        <f t="shared" si="23"/>
        <v>9.6927244141970762E-4</v>
      </c>
      <c r="L620" s="234"/>
      <c r="M620" s="234"/>
      <c r="N620" s="234"/>
      <c r="O620" s="234"/>
      <c r="P620" s="234"/>
      <c r="Q620" s="234"/>
      <c r="R620" s="234"/>
      <c r="S620" s="35"/>
      <c r="T620" s="35"/>
      <c r="U620" s="35"/>
      <c r="V620" s="35"/>
      <c r="W620" s="35"/>
      <c r="X620" s="35"/>
    </row>
    <row r="621" spans="1:24" ht="12.75" customHeight="1" x14ac:dyDescent="0.3">
      <c r="A621" s="35"/>
      <c r="B621" s="35"/>
      <c r="C621" s="35"/>
      <c r="D621" s="35"/>
      <c r="E621" s="35"/>
      <c r="F621" s="35"/>
      <c r="G621" s="35"/>
      <c r="H621" s="234" t="s">
        <v>1454</v>
      </c>
      <c r="I621" s="306" t="s">
        <v>1455</v>
      </c>
      <c r="J621" s="234">
        <f t="shared" si="22"/>
        <v>0.99673568364111176</v>
      </c>
      <c r="K621" s="315">
        <f t="shared" si="23"/>
        <v>-3.2696558625863047E-3</v>
      </c>
      <c r="L621" s="234"/>
      <c r="M621" s="234"/>
      <c r="N621" s="234"/>
      <c r="O621" s="234"/>
      <c r="P621" s="234"/>
      <c r="Q621" s="234"/>
      <c r="R621" s="234"/>
      <c r="S621" s="35"/>
      <c r="T621" s="35"/>
      <c r="U621" s="35"/>
      <c r="V621" s="35"/>
      <c r="W621" s="35"/>
      <c r="X621" s="35"/>
    </row>
    <row r="622" spans="1:24" ht="12.75" customHeight="1" x14ac:dyDescent="0.3">
      <c r="A622" s="35"/>
      <c r="B622" s="35"/>
      <c r="C622" s="35"/>
      <c r="D622" s="35"/>
      <c r="E622" s="35"/>
      <c r="F622" s="35"/>
      <c r="G622" s="35"/>
      <c r="H622" s="234" t="s">
        <v>1456</v>
      </c>
      <c r="I622" s="306" t="s">
        <v>1457</v>
      </c>
      <c r="J622" s="234">
        <f t="shared" si="22"/>
        <v>0.99196783770826846</v>
      </c>
      <c r="K622" s="315">
        <f t="shared" si="23"/>
        <v>-8.0645938879097545E-3</v>
      </c>
      <c r="L622" s="234"/>
      <c r="M622" s="234"/>
      <c r="N622" s="234"/>
      <c r="O622" s="234"/>
      <c r="P622" s="234"/>
      <c r="Q622" s="234"/>
      <c r="R622" s="234"/>
      <c r="S622" s="35"/>
      <c r="T622" s="35"/>
      <c r="U622" s="35"/>
      <c r="V622" s="35"/>
      <c r="W622" s="35"/>
      <c r="X622" s="35"/>
    </row>
    <row r="623" spans="1:24" ht="12.75" customHeight="1" x14ac:dyDescent="0.3">
      <c r="A623" s="35"/>
      <c r="B623" s="35"/>
      <c r="C623" s="35"/>
      <c r="D623" s="35"/>
      <c r="E623" s="35"/>
      <c r="F623" s="35"/>
      <c r="G623" s="35"/>
      <c r="H623" s="234" t="s">
        <v>1458</v>
      </c>
      <c r="I623" s="306" t="s">
        <v>1459</v>
      </c>
      <c r="J623" s="234">
        <f t="shared" si="22"/>
        <v>1.0125184156965603</v>
      </c>
      <c r="K623" s="315">
        <f t="shared" si="23"/>
        <v>1.2440708175433053E-2</v>
      </c>
      <c r="L623" s="234"/>
      <c r="M623" s="234"/>
      <c r="N623" s="234"/>
      <c r="O623" s="234"/>
      <c r="P623" s="234"/>
      <c r="Q623" s="234"/>
      <c r="R623" s="234"/>
      <c r="S623" s="35"/>
      <c r="T623" s="35"/>
      <c r="U623" s="35"/>
      <c r="V623" s="35"/>
      <c r="W623" s="35"/>
      <c r="X623" s="35"/>
    </row>
    <row r="624" spans="1:24" ht="12.75" customHeight="1" x14ac:dyDescent="0.3">
      <c r="A624" s="35"/>
      <c r="B624" s="35"/>
      <c r="C624" s="35"/>
      <c r="D624" s="35"/>
      <c r="E624" s="35"/>
      <c r="F624" s="35"/>
      <c r="G624" s="35"/>
      <c r="H624" s="234" t="s">
        <v>1460</v>
      </c>
      <c r="I624" s="306" t="s">
        <v>1461</v>
      </c>
      <c r="J624" s="234">
        <f t="shared" si="22"/>
        <v>0.98225817244956004</v>
      </c>
      <c r="K624" s="315">
        <f t="shared" si="23"/>
        <v>-1.7901100446278722E-2</v>
      </c>
      <c r="L624" s="234"/>
      <c r="M624" s="234"/>
      <c r="N624" s="234"/>
      <c r="O624" s="234"/>
      <c r="P624" s="234"/>
      <c r="Q624" s="234"/>
      <c r="R624" s="234"/>
      <c r="S624" s="35"/>
      <c r="T624" s="35"/>
      <c r="U624" s="35"/>
      <c r="V624" s="35"/>
      <c r="W624" s="35"/>
      <c r="X624" s="35"/>
    </row>
    <row r="625" spans="1:24" ht="12.75" customHeight="1" x14ac:dyDescent="0.3">
      <c r="A625" s="35"/>
      <c r="B625" s="35"/>
      <c r="C625" s="35"/>
      <c r="D625" s="35"/>
      <c r="E625" s="35"/>
      <c r="F625" s="35"/>
      <c r="G625" s="35"/>
      <c r="H625" s="234" t="s">
        <v>1462</v>
      </c>
      <c r="I625" s="306" t="s">
        <v>1463</v>
      </c>
      <c r="J625" s="234">
        <f t="shared" si="22"/>
        <v>1.0039975812953508</v>
      </c>
      <c r="K625" s="315">
        <f t="shared" si="23"/>
        <v>3.9896121982599181E-3</v>
      </c>
      <c r="L625" s="234"/>
      <c r="M625" s="234"/>
      <c r="N625" s="234"/>
      <c r="O625" s="234"/>
      <c r="P625" s="234"/>
      <c r="Q625" s="234"/>
      <c r="R625" s="234"/>
      <c r="S625" s="35"/>
      <c r="T625" s="35"/>
      <c r="U625" s="35"/>
      <c r="V625" s="35"/>
      <c r="W625" s="35"/>
      <c r="X625" s="35"/>
    </row>
    <row r="626" spans="1:24" ht="12.75" customHeight="1" x14ac:dyDescent="0.3">
      <c r="A626" s="35"/>
      <c r="B626" s="35"/>
      <c r="C626" s="35"/>
      <c r="D626" s="35"/>
      <c r="E626" s="35"/>
      <c r="F626" s="35"/>
      <c r="G626" s="35"/>
      <c r="H626" s="234" t="s">
        <v>1464</v>
      </c>
      <c r="I626" s="306" t="s">
        <v>1465</v>
      </c>
      <c r="J626" s="234">
        <f t="shared" si="22"/>
        <v>0.99497798166670848</v>
      </c>
      <c r="K626" s="315">
        <f t="shared" si="23"/>
        <v>-5.0346710465761666E-3</v>
      </c>
      <c r="L626" s="234"/>
      <c r="M626" s="234"/>
      <c r="N626" s="234"/>
      <c r="O626" s="234"/>
      <c r="P626" s="234"/>
      <c r="Q626" s="234"/>
      <c r="R626" s="234"/>
      <c r="S626" s="35"/>
      <c r="T626" s="35"/>
      <c r="U626" s="35"/>
      <c r="V626" s="35"/>
      <c r="W626" s="35"/>
      <c r="X626" s="35"/>
    </row>
    <row r="627" spans="1:24" ht="12.75" customHeight="1" x14ac:dyDescent="0.3">
      <c r="A627" s="35"/>
      <c r="B627" s="35"/>
      <c r="C627" s="35"/>
      <c r="D627" s="35"/>
      <c r="E627" s="35"/>
      <c r="F627" s="35"/>
      <c r="G627" s="35"/>
      <c r="H627" s="234" t="s">
        <v>1466</v>
      </c>
      <c r="I627" s="306" t="s">
        <v>1467</v>
      </c>
      <c r="J627" s="234">
        <f t="shared" si="22"/>
        <v>1.0133878670866783</v>
      </c>
      <c r="K627" s="315">
        <f t="shared" si="23"/>
        <v>1.3299041505939508E-2</v>
      </c>
      <c r="L627" s="234"/>
      <c r="M627" s="234"/>
      <c r="N627" s="234"/>
      <c r="O627" s="234"/>
      <c r="P627" s="234"/>
      <c r="Q627" s="234"/>
      <c r="R627" s="234"/>
      <c r="S627" s="35"/>
      <c r="T627" s="35"/>
      <c r="U627" s="35"/>
      <c r="V627" s="35"/>
      <c r="W627" s="35"/>
      <c r="X627" s="35"/>
    </row>
    <row r="628" spans="1:24" ht="12.75" customHeight="1" x14ac:dyDescent="0.3">
      <c r="A628" s="35"/>
      <c r="B628" s="35"/>
      <c r="C628" s="35"/>
      <c r="D628" s="35"/>
      <c r="E628" s="35"/>
      <c r="F628" s="35"/>
      <c r="G628" s="35"/>
      <c r="H628" s="234" t="s">
        <v>1468</v>
      </c>
      <c r="I628" s="306" t="s">
        <v>1469</v>
      </c>
      <c r="J628" s="234">
        <f t="shared" si="22"/>
        <v>0.99749974659593876</v>
      </c>
      <c r="K628" s="315">
        <f t="shared" si="23"/>
        <v>-2.5033842573099329E-3</v>
      </c>
      <c r="L628" s="234"/>
      <c r="M628" s="234"/>
      <c r="N628" s="234"/>
      <c r="O628" s="234"/>
      <c r="P628" s="234"/>
      <c r="Q628" s="234"/>
      <c r="R628" s="234"/>
      <c r="S628" s="35"/>
      <c r="T628" s="35"/>
      <c r="U628" s="35"/>
      <c r="V628" s="35"/>
      <c r="W628" s="35"/>
      <c r="X628" s="35"/>
    </row>
    <row r="629" spans="1:24" ht="12.75" customHeight="1" x14ac:dyDescent="0.3">
      <c r="A629" s="35"/>
      <c r="B629" s="35"/>
      <c r="C629" s="35"/>
      <c r="D629" s="35"/>
      <c r="E629" s="35"/>
      <c r="F629" s="35"/>
      <c r="G629" s="35"/>
      <c r="H629" s="234" t="s">
        <v>1470</v>
      </c>
      <c r="I629" s="306" t="s">
        <v>1471</v>
      </c>
      <c r="J629" s="234">
        <f t="shared" si="22"/>
        <v>1.0146122400006856</v>
      </c>
      <c r="K629" s="315">
        <f t="shared" si="23"/>
        <v>1.4506509945894445E-2</v>
      </c>
      <c r="L629" s="234"/>
      <c r="M629" s="234"/>
      <c r="N629" s="234"/>
      <c r="O629" s="234"/>
      <c r="P629" s="234"/>
      <c r="Q629" s="234"/>
      <c r="R629" s="234"/>
      <c r="S629" s="35"/>
      <c r="T629" s="35"/>
      <c r="U629" s="35"/>
      <c r="V629" s="35"/>
      <c r="W629" s="35"/>
      <c r="X629" s="35"/>
    </row>
    <row r="630" spans="1:24" ht="12.75" customHeight="1" x14ac:dyDescent="0.3">
      <c r="A630" s="35"/>
      <c r="B630" s="35"/>
      <c r="C630" s="35"/>
      <c r="D630" s="35"/>
      <c r="E630" s="35"/>
      <c r="F630" s="35"/>
      <c r="G630" s="35"/>
      <c r="H630" s="234" t="s">
        <v>1472</v>
      </c>
      <c r="I630" s="306" t="s">
        <v>1473</v>
      </c>
      <c r="J630" s="234">
        <f t="shared" si="22"/>
        <v>0.99284401483952212</v>
      </c>
      <c r="K630" s="315">
        <f t="shared" si="23"/>
        <v>-7.1817120298207611E-3</v>
      </c>
      <c r="L630" s="234"/>
      <c r="M630" s="234"/>
      <c r="N630" s="234"/>
      <c r="O630" s="234"/>
      <c r="P630" s="234"/>
      <c r="Q630" s="234"/>
      <c r="R630" s="234"/>
      <c r="S630" s="35"/>
      <c r="T630" s="35"/>
      <c r="U630" s="35"/>
      <c r="V630" s="35"/>
      <c r="W630" s="35"/>
      <c r="X630" s="35"/>
    </row>
    <row r="631" spans="1:24" ht="12.75" customHeight="1" x14ac:dyDescent="0.3">
      <c r="A631" s="35"/>
      <c r="B631" s="35"/>
      <c r="C631" s="35"/>
      <c r="D631" s="35"/>
      <c r="E631" s="35"/>
      <c r="F631" s="35"/>
      <c r="G631" s="35"/>
      <c r="H631" s="234" t="s">
        <v>1474</v>
      </c>
      <c r="I631" s="306" t="s">
        <v>1475</v>
      </c>
      <c r="J631" s="234">
        <f t="shared" si="22"/>
        <v>0.99389408521218481</v>
      </c>
      <c r="K631" s="315">
        <f t="shared" si="23"/>
        <v>-6.1246321153458896E-3</v>
      </c>
      <c r="L631" s="234"/>
      <c r="M631" s="234"/>
      <c r="N631" s="234"/>
      <c r="O631" s="234"/>
      <c r="P631" s="234"/>
      <c r="Q631" s="234"/>
      <c r="R631" s="234"/>
      <c r="S631" s="35"/>
      <c r="T631" s="35"/>
      <c r="U631" s="35"/>
      <c r="V631" s="35"/>
      <c r="W631" s="35"/>
      <c r="X631" s="35"/>
    </row>
    <row r="632" spans="1:24" ht="12.75" customHeight="1" x14ac:dyDescent="0.3">
      <c r="A632" s="35"/>
      <c r="B632" s="35"/>
      <c r="C632" s="35"/>
      <c r="D632" s="35"/>
      <c r="E632" s="35"/>
      <c r="F632" s="35"/>
      <c r="G632" s="35"/>
      <c r="H632" s="234" t="s">
        <v>1476</v>
      </c>
      <c r="I632" s="306" t="s">
        <v>1477</v>
      </c>
      <c r="J632" s="234">
        <f t="shared" si="22"/>
        <v>0.9938559553527152</v>
      </c>
      <c r="K632" s="315">
        <f t="shared" si="23"/>
        <v>-6.1629969587076285E-3</v>
      </c>
      <c r="L632" s="234"/>
      <c r="M632" s="234"/>
      <c r="N632" s="234"/>
      <c r="O632" s="234"/>
      <c r="P632" s="234"/>
      <c r="Q632" s="234"/>
      <c r="R632" s="234"/>
      <c r="S632" s="35"/>
      <c r="T632" s="35"/>
      <c r="U632" s="35"/>
      <c r="V632" s="35"/>
      <c r="W632" s="35"/>
      <c r="X632" s="35"/>
    </row>
    <row r="633" spans="1:24" ht="12.75" customHeight="1" x14ac:dyDescent="0.3">
      <c r="A633" s="35"/>
      <c r="B633" s="35"/>
      <c r="C633" s="35"/>
      <c r="D633" s="35"/>
      <c r="E633" s="35"/>
      <c r="F633" s="35"/>
      <c r="G633" s="35"/>
      <c r="H633" s="234" t="s">
        <v>1478</v>
      </c>
      <c r="I633" s="306" t="s">
        <v>1479</v>
      </c>
      <c r="J633" s="234">
        <f t="shared" si="22"/>
        <v>1.0001513126371271</v>
      </c>
      <c r="K633" s="315">
        <f t="shared" si="23"/>
        <v>1.5130119052467319E-4</v>
      </c>
      <c r="L633" s="234"/>
      <c r="M633" s="234"/>
      <c r="N633" s="234"/>
      <c r="O633" s="234"/>
      <c r="P633" s="234"/>
      <c r="Q633" s="234"/>
      <c r="R633" s="234"/>
      <c r="S633" s="35"/>
      <c r="T633" s="35"/>
      <c r="U633" s="35"/>
      <c r="V633" s="35"/>
      <c r="W633" s="35"/>
      <c r="X633" s="35"/>
    </row>
    <row r="634" spans="1:24" ht="12.75" customHeight="1" x14ac:dyDescent="0.3">
      <c r="A634" s="35"/>
      <c r="B634" s="35"/>
      <c r="C634" s="35"/>
      <c r="D634" s="35"/>
      <c r="E634" s="35"/>
      <c r="F634" s="35"/>
      <c r="G634" s="35"/>
      <c r="H634" s="234" t="s">
        <v>1480</v>
      </c>
      <c r="I634" s="306" t="s">
        <v>1481</v>
      </c>
      <c r="J634" s="234">
        <f t="shared" si="22"/>
        <v>0.98786746387643254</v>
      </c>
      <c r="K634" s="315">
        <f t="shared" si="23"/>
        <v>-1.2206736106687873E-2</v>
      </c>
      <c r="L634" s="234"/>
      <c r="M634" s="234"/>
      <c r="N634" s="234"/>
      <c r="O634" s="234"/>
      <c r="P634" s="234"/>
      <c r="Q634" s="234"/>
      <c r="R634" s="234"/>
      <c r="S634" s="35"/>
      <c r="T634" s="35"/>
      <c r="U634" s="35"/>
      <c r="V634" s="35"/>
      <c r="W634" s="35"/>
      <c r="X634" s="35"/>
    </row>
    <row r="635" spans="1:24" ht="12.75" customHeight="1" x14ac:dyDescent="0.3">
      <c r="A635" s="35"/>
      <c r="B635" s="35"/>
      <c r="C635" s="35"/>
      <c r="D635" s="35"/>
      <c r="E635" s="35"/>
      <c r="F635" s="35"/>
      <c r="G635" s="35"/>
      <c r="H635" s="234" t="s">
        <v>1482</v>
      </c>
      <c r="I635" s="306" t="s">
        <v>1483</v>
      </c>
      <c r="J635" s="234">
        <f t="shared" si="22"/>
        <v>1.0066625983297526</v>
      </c>
      <c r="K635" s="315">
        <f t="shared" si="23"/>
        <v>6.6405013162166042E-3</v>
      </c>
      <c r="L635" s="234"/>
      <c r="M635" s="234"/>
      <c r="N635" s="234"/>
      <c r="O635" s="234"/>
      <c r="P635" s="234"/>
      <c r="Q635" s="234"/>
      <c r="R635" s="234"/>
      <c r="S635" s="35"/>
      <c r="T635" s="35"/>
      <c r="U635" s="35"/>
      <c r="V635" s="35"/>
      <c r="W635" s="35"/>
      <c r="X635" s="35"/>
    </row>
    <row r="636" spans="1:24" ht="12.75" customHeight="1" x14ac:dyDescent="0.3">
      <c r="A636" s="35"/>
      <c r="B636" s="35"/>
      <c r="C636" s="35"/>
      <c r="D636" s="35"/>
      <c r="E636" s="35"/>
      <c r="F636" s="35"/>
      <c r="G636" s="35"/>
      <c r="H636" s="234" t="s">
        <v>1484</v>
      </c>
      <c r="I636" s="306" t="s">
        <v>1485</v>
      </c>
      <c r="J636" s="234">
        <f t="shared" si="22"/>
        <v>0.99803934656009607</v>
      </c>
      <c r="K636" s="315">
        <f t="shared" si="23"/>
        <v>-1.9625780369162535E-3</v>
      </c>
      <c r="L636" s="234"/>
      <c r="M636" s="234"/>
      <c r="N636" s="234"/>
      <c r="O636" s="234"/>
      <c r="P636" s="234"/>
      <c r="Q636" s="234"/>
      <c r="R636" s="234"/>
      <c r="S636" s="35"/>
      <c r="T636" s="35"/>
      <c r="U636" s="35"/>
      <c r="V636" s="35"/>
      <c r="W636" s="35"/>
      <c r="X636" s="35"/>
    </row>
    <row r="637" spans="1:24" ht="12.75" customHeight="1" x14ac:dyDescent="0.3">
      <c r="A637" s="35"/>
      <c r="B637" s="35"/>
      <c r="C637" s="35"/>
      <c r="D637" s="35"/>
      <c r="E637" s="35"/>
      <c r="F637" s="35"/>
      <c r="G637" s="35"/>
      <c r="H637" s="234" t="s">
        <v>1486</v>
      </c>
      <c r="I637" s="306" t="s">
        <v>1487</v>
      </c>
      <c r="J637" s="234">
        <f t="shared" si="22"/>
        <v>1.0092710324444032</v>
      </c>
      <c r="K637" s="315">
        <f t="shared" si="23"/>
        <v>9.2283202111574456E-3</v>
      </c>
      <c r="L637" s="234"/>
      <c r="M637" s="234"/>
      <c r="N637" s="234"/>
      <c r="O637" s="234"/>
      <c r="P637" s="234"/>
      <c r="Q637" s="234"/>
      <c r="R637" s="234"/>
      <c r="S637" s="35"/>
      <c r="T637" s="35"/>
      <c r="U637" s="35"/>
      <c r="V637" s="35"/>
      <c r="W637" s="35"/>
      <c r="X637" s="35"/>
    </row>
    <row r="638" spans="1:24" ht="12.75" customHeight="1" x14ac:dyDescent="0.3">
      <c r="A638" s="35"/>
      <c r="B638" s="35"/>
      <c r="C638" s="35"/>
      <c r="D638" s="35"/>
      <c r="E638" s="35"/>
      <c r="F638" s="35"/>
      <c r="G638" s="35"/>
      <c r="H638" s="234" t="s">
        <v>1488</v>
      </c>
      <c r="I638" s="306" t="s">
        <v>1489</v>
      </c>
      <c r="J638" s="234">
        <f t="shared" si="22"/>
        <v>0.99621669686598213</v>
      </c>
      <c r="K638" s="315">
        <f t="shared" si="23"/>
        <v>-3.790477927315297E-3</v>
      </c>
      <c r="L638" s="234"/>
      <c r="M638" s="234"/>
      <c r="N638" s="234"/>
      <c r="O638" s="234"/>
      <c r="P638" s="234"/>
      <c r="Q638" s="234"/>
      <c r="R638" s="234"/>
      <c r="S638" s="35"/>
      <c r="T638" s="35"/>
      <c r="U638" s="35"/>
      <c r="V638" s="35"/>
      <c r="W638" s="35"/>
      <c r="X638" s="35"/>
    </row>
    <row r="639" spans="1:24" ht="12.75" customHeight="1" x14ac:dyDescent="0.3">
      <c r="A639" s="35"/>
      <c r="B639" s="35"/>
      <c r="C639" s="35"/>
      <c r="D639" s="35"/>
      <c r="E639" s="35"/>
      <c r="F639" s="35"/>
      <c r="G639" s="35"/>
      <c r="H639" s="234" t="s">
        <v>1490</v>
      </c>
      <c r="I639" s="306" t="s">
        <v>1491</v>
      </c>
      <c r="J639" s="234">
        <f t="shared" si="22"/>
        <v>1.0011757987032619</v>
      </c>
      <c r="K639" s="315">
        <f t="shared" si="23"/>
        <v>1.1751079933374744E-3</v>
      </c>
      <c r="L639" s="234"/>
      <c r="M639" s="234"/>
      <c r="N639" s="234"/>
      <c r="O639" s="234"/>
      <c r="P639" s="234"/>
      <c r="Q639" s="234"/>
      <c r="R639" s="234"/>
      <c r="S639" s="35"/>
      <c r="T639" s="35"/>
      <c r="U639" s="35"/>
      <c r="V639" s="35"/>
      <c r="W639" s="35"/>
      <c r="X639" s="35"/>
    </row>
    <row r="640" spans="1:24" ht="12.75" customHeight="1" x14ac:dyDescent="0.3">
      <c r="A640" s="35"/>
      <c r="B640" s="35"/>
      <c r="C640" s="35"/>
      <c r="D640" s="35"/>
      <c r="E640" s="35"/>
      <c r="F640" s="35"/>
      <c r="G640" s="35"/>
      <c r="H640" s="234" t="s">
        <v>1492</v>
      </c>
      <c r="I640" s="306" t="s">
        <v>1493</v>
      </c>
      <c r="J640" s="234">
        <f t="shared" si="22"/>
        <v>1.0198281842864851</v>
      </c>
      <c r="K640" s="315">
        <f t="shared" si="23"/>
        <v>1.9634166329472076E-2</v>
      </c>
      <c r="L640" s="234"/>
      <c r="M640" s="234"/>
      <c r="N640" s="234"/>
      <c r="O640" s="234"/>
      <c r="P640" s="234"/>
      <c r="Q640" s="234"/>
      <c r="R640" s="234"/>
      <c r="S640" s="35"/>
      <c r="T640" s="35"/>
      <c r="U640" s="35"/>
      <c r="V640" s="35"/>
      <c r="W640" s="35"/>
      <c r="X640" s="35"/>
    </row>
    <row r="641" spans="1:24" ht="12.75" customHeight="1" x14ac:dyDescent="0.3">
      <c r="A641" s="35"/>
      <c r="B641" s="35"/>
      <c r="C641" s="35"/>
      <c r="D641" s="35"/>
      <c r="E641" s="35"/>
      <c r="F641" s="35"/>
      <c r="G641" s="35"/>
      <c r="H641" s="234" t="s">
        <v>1494</v>
      </c>
      <c r="I641" s="306" t="s">
        <v>1495</v>
      </c>
      <c r="J641" s="234">
        <f t="shared" si="22"/>
        <v>0.99502288280763951</v>
      </c>
      <c r="K641" s="315">
        <f t="shared" si="23"/>
        <v>-4.9895442913669309E-3</v>
      </c>
      <c r="L641" s="234"/>
      <c r="M641" s="234"/>
      <c r="N641" s="234"/>
      <c r="O641" s="234"/>
      <c r="P641" s="234"/>
      <c r="Q641" s="234"/>
      <c r="R641" s="234"/>
      <c r="S641" s="35"/>
      <c r="T641" s="35"/>
      <c r="U641" s="35"/>
      <c r="V641" s="35"/>
      <c r="W641" s="35"/>
      <c r="X641" s="35"/>
    </row>
    <row r="642" spans="1:24" ht="12.75" customHeight="1" x14ac:dyDescent="0.3">
      <c r="A642" s="35"/>
      <c r="B642" s="35"/>
      <c r="C642" s="35"/>
      <c r="D642" s="35"/>
      <c r="E642" s="35"/>
      <c r="F642" s="35"/>
      <c r="G642" s="35"/>
      <c r="H642" s="234" t="s">
        <v>1496</v>
      </c>
      <c r="I642" s="306" t="s">
        <v>1497</v>
      </c>
      <c r="J642" s="234">
        <f t="shared" si="22"/>
        <v>1.0026918015415904</v>
      </c>
      <c r="K642" s="315">
        <f t="shared" si="23"/>
        <v>2.688185132138126E-3</v>
      </c>
      <c r="L642" s="234"/>
      <c r="M642" s="234"/>
      <c r="N642" s="234"/>
      <c r="O642" s="234"/>
      <c r="P642" s="234"/>
      <c r="Q642" s="234"/>
      <c r="R642" s="234"/>
      <c r="S642" s="35"/>
      <c r="T642" s="35"/>
      <c r="U642" s="35"/>
      <c r="V642" s="35"/>
      <c r="W642" s="35"/>
      <c r="X642" s="35"/>
    </row>
    <row r="643" spans="1:24" ht="12.75" customHeight="1" x14ac:dyDescent="0.3">
      <c r="A643" s="35"/>
      <c r="B643" s="35"/>
      <c r="C643" s="35"/>
      <c r="D643" s="35"/>
      <c r="E643" s="35"/>
      <c r="F643" s="35"/>
      <c r="G643" s="35"/>
      <c r="H643" s="234" t="s">
        <v>1498</v>
      </c>
      <c r="I643" s="306" t="s">
        <v>1499</v>
      </c>
      <c r="J643" s="234">
        <f t="shared" si="22"/>
        <v>1.0132739914623903</v>
      </c>
      <c r="K643" s="315">
        <f t="shared" si="23"/>
        <v>1.3186663978403302E-2</v>
      </c>
      <c r="L643" s="234"/>
      <c r="M643" s="234"/>
      <c r="N643" s="234"/>
      <c r="O643" s="234"/>
      <c r="P643" s="234"/>
      <c r="Q643" s="234"/>
      <c r="R643" s="234"/>
      <c r="S643" s="35"/>
      <c r="T643" s="35"/>
      <c r="U643" s="35"/>
      <c r="V643" s="35"/>
      <c r="W643" s="35"/>
      <c r="X643" s="35"/>
    </row>
    <row r="644" spans="1:24" ht="12.75" customHeight="1" x14ac:dyDescent="0.3">
      <c r="A644" s="35"/>
      <c r="B644" s="35"/>
      <c r="C644" s="35"/>
      <c r="D644" s="35"/>
      <c r="E644" s="35"/>
      <c r="F644" s="35"/>
      <c r="G644" s="35"/>
      <c r="H644" s="234" t="s">
        <v>1500</v>
      </c>
      <c r="I644" s="306" t="s">
        <v>1501</v>
      </c>
      <c r="J644" s="234">
        <f t="shared" si="22"/>
        <v>1.0076694878282872</v>
      </c>
      <c r="K644" s="315">
        <f t="shared" si="23"/>
        <v>7.6402268225669702E-3</v>
      </c>
      <c r="L644" s="234"/>
      <c r="M644" s="234"/>
      <c r="N644" s="234"/>
      <c r="O644" s="234"/>
      <c r="P644" s="234"/>
      <c r="Q644" s="234"/>
      <c r="R644" s="234"/>
      <c r="S644" s="35"/>
      <c r="T644" s="35"/>
      <c r="U644" s="35"/>
      <c r="V644" s="35"/>
      <c r="W644" s="35"/>
      <c r="X644" s="35"/>
    </row>
    <row r="645" spans="1:24" ht="12.75" customHeight="1" x14ac:dyDescent="0.3">
      <c r="A645" s="35"/>
      <c r="B645" s="35"/>
      <c r="C645" s="35"/>
      <c r="D645" s="35"/>
      <c r="E645" s="35"/>
      <c r="F645" s="35"/>
      <c r="G645" s="35"/>
      <c r="H645" s="234" t="s">
        <v>1502</v>
      </c>
      <c r="I645" s="306" t="s">
        <v>1503</v>
      </c>
      <c r="J645" s="234">
        <f t="shared" ref="J645:J708" si="24">I645/I646</f>
        <v>1.0169747198239527</v>
      </c>
      <c r="K645" s="315">
        <f t="shared" ref="K645:K708" si="25">LN(J645)</f>
        <v>1.6832259160567728E-2</v>
      </c>
      <c r="L645" s="234"/>
      <c r="M645" s="234"/>
      <c r="N645" s="234"/>
      <c r="O645" s="234"/>
      <c r="P645" s="234"/>
      <c r="Q645" s="234"/>
      <c r="R645" s="234"/>
      <c r="S645" s="35"/>
      <c r="T645" s="35"/>
      <c r="U645" s="35"/>
      <c r="V645" s="35"/>
      <c r="W645" s="35"/>
      <c r="X645" s="35"/>
    </row>
    <row r="646" spans="1:24" ht="12.75" customHeight="1" x14ac:dyDescent="0.3">
      <c r="A646" s="35"/>
      <c r="B646" s="35"/>
      <c r="C646" s="35"/>
      <c r="D646" s="35"/>
      <c r="E646" s="35"/>
      <c r="F646" s="35"/>
      <c r="G646" s="35"/>
      <c r="H646" s="234" t="s">
        <v>1504</v>
      </c>
      <c r="I646" s="306" t="s">
        <v>1505</v>
      </c>
      <c r="J646" s="234">
        <f t="shared" si="24"/>
        <v>1.001234918886263</v>
      </c>
      <c r="K646" s="315">
        <f t="shared" si="25"/>
        <v>1.2341570011149439E-3</v>
      </c>
      <c r="L646" s="234"/>
      <c r="M646" s="234"/>
      <c r="N646" s="234"/>
      <c r="O646" s="234"/>
      <c r="P646" s="234"/>
      <c r="Q646" s="234"/>
      <c r="R646" s="234"/>
      <c r="S646" s="35"/>
      <c r="T646" s="35"/>
      <c r="U646" s="35"/>
      <c r="V646" s="35"/>
      <c r="W646" s="35"/>
      <c r="X646" s="35"/>
    </row>
    <row r="647" spans="1:24" ht="12.75" customHeight="1" x14ac:dyDescent="0.3">
      <c r="A647" s="35"/>
      <c r="B647" s="35"/>
      <c r="C647" s="35"/>
      <c r="D647" s="35"/>
      <c r="E647" s="35"/>
      <c r="F647" s="35"/>
      <c r="G647" s="35"/>
      <c r="H647" s="234" t="s">
        <v>1506</v>
      </c>
      <c r="I647" s="306" t="s">
        <v>1507</v>
      </c>
      <c r="J647" s="234">
        <f t="shared" si="24"/>
        <v>1.0179979740973881</v>
      </c>
      <c r="K647" s="315">
        <f t="shared" si="25"/>
        <v>1.7837928045199632E-2</v>
      </c>
      <c r="L647" s="234"/>
      <c r="M647" s="234"/>
      <c r="N647" s="234"/>
      <c r="O647" s="234"/>
      <c r="P647" s="234"/>
      <c r="Q647" s="234"/>
      <c r="R647" s="234"/>
      <c r="S647" s="35"/>
      <c r="T647" s="35"/>
      <c r="U647" s="35"/>
      <c r="V647" s="35"/>
      <c r="W647" s="35"/>
      <c r="X647" s="35"/>
    </row>
    <row r="648" spans="1:24" ht="12.75" customHeight="1" x14ac:dyDescent="0.3">
      <c r="A648" s="35"/>
      <c r="B648" s="35"/>
      <c r="C648" s="35"/>
      <c r="D648" s="35"/>
      <c r="E648" s="35"/>
      <c r="F648" s="35"/>
      <c r="G648" s="35"/>
      <c r="H648" s="234" t="s">
        <v>1508</v>
      </c>
      <c r="I648" s="306" t="s">
        <v>1509</v>
      </c>
      <c r="J648" s="234">
        <f t="shared" si="24"/>
        <v>1.0205743084207903</v>
      </c>
      <c r="K648" s="315">
        <f t="shared" si="25"/>
        <v>2.0365516315789728E-2</v>
      </c>
      <c r="L648" s="234"/>
      <c r="M648" s="234"/>
      <c r="N648" s="234"/>
      <c r="O648" s="234"/>
      <c r="P648" s="234"/>
      <c r="Q648" s="234"/>
      <c r="R648" s="234"/>
      <c r="S648" s="35"/>
      <c r="T648" s="35"/>
      <c r="U648" s="35"/>
      <c r="V648" s="35"/>
      <c r="W648" s="35"/>
      <c r="X648" s="35"/>
    </row>
    <row r="649" spans="1:24" ht="12.75" customHeight="1" x14ac:dyDescent="0.3">
      <c r="A649" s="35"/>
      <c r="B649" s="35"/>
      <c r="C649" s="35"/>
      <c r="D649" s="35"/>
      <c r="E649" s="35"/>
      <c r="F649" s="35"/>
      <c r="G649" s="35"/>
      <c r="H649" s="234" t="s">
        <v>1510</v>
      </c>
      <c r="I649" s="306" t="s">
        <v>1511</v>
      </c>
      <c r="J649" s="234">
        <f t="shared" si="24"/>
        <v>0.99423678728422371</v>
      </c>
      <c r="K649" s="315">
        <f t="shared" si="25"/>
        <v>-5.7798841109020982E-3</v>
      </c>
      <c r="L649" s="234"/>
      <c r="M649" s="234"/>
      <c r="N649" s="234"/>
      <c r="O649" s="234"/>
      <c r="P649" s="234"/>
      <c r="Q649" s="234"/>
      <c r="R649" s="234"/>
      <c r="S649" s="35"/>
      <c r="T649" s="35"/>
      <c r="U649" s="35"/>
      <c r="V649" s="35"/>
      <c r="W649" s="35"/>
      <c r="X649" s="35"/>
    </row>
    <row r="650" spans="1:24" ht="12.75" customHeight="1" x14ac:dyDescent="0.3">
      <c r="A650" s="35"/>
      <c r="B650" s="35"/>
      <c r="C650" s="35"/>
      <c r="D650" s="35"/>
      <c r="E650" s="35"/>
      <c r="F650" s="35"/>
      <c r="G650" s="35"/>
      <c r="H650" s="234" t="s">
        <v>1512</v>
      </c>
      <c r="I650" s="306" t="s">
        <v>1513</v>
      </c>
      <c r="J650" s="234">
        <f t="shared" si="24"/>
        <v>0.98761929794349834</v>
      </c>
      <c r="K650" s="315">
        <f t="shared" si="25"/>
        <v>-1.2457981459515256E-2</v>
      </c>
      <c r="L650" s="234"/>
      <c r="M650" s="234"/>
      <c r="N650" s="234"/>
      <c r="O650" s="234"/>
      <c r="P650" s="234"/>
      <c r="Q650" s="234"/>
      <c r="R650" s="234"/>
      <c r="S650" s="35"/>
      <c r="T650" s="35"/>
      <c r="U650" s="35"/>
      <c r="V650" s="35"/>
      <c r="W650" s="35"/>
      <c r="X650" s="35"/>
    </row>
    <row r="651" spans="1:24" ht="12.75" customHeight="1" x14ac:dyDescent="0.3">
      <c r="A651" s="35"/>
      <c r="B651" s="35"/>
      <c r="C651" s="35"/>
      <c r="D651" s="35"/>
      <c r="E651" s="35"/>
      <c r="F651" s="35"/>
      <c r="G651" s="35"/>
      <c r="H651" s="234" t="s">
        <v>1514</v>
      </c>
      <c r="I651" s="306" t="s">
        <v>1515</v>
      </c>
      <c r="J651" s="234">
        <f t="shared" si="24"/>
        <v>0.99483346257190775</v>
      </c>
      <c r="K651" s="315">
        <f t="shared" si="25"/>
        <v>-5.1799301317757155E-3</v>
      </c>
      <c r="L651" s="234"/>
      <c r="M651" s="234"/>
      <c r="N651" s="234"/>
      <c r="O651" s="234"/>
      <c r="P651" s="234"/>
      <c r="Q651" s="234"/>
      <c r="R651" s="234"/>
      <c r="S651" s="35"/>
      <c r="T651" s="35"/>
      <c r="U651" s="35"/>
      <c r="V651" s="35"/>
      <c r="W651" s="35"/>
      <c r="X651" s="35"/>
    </row>
    <row r="652" spans="1:24" ht="12.75" customHeight="1" x14ac:dyDescent="0.3">
      <c r="A652" s="35"/>
      <c r="B652" s="35"/>
      <c r="C652" s="35"/>
      <c r="D652" s="35"/>
      <c r="E652" s="35"/>
      <c r="F652" s="35"/>
      <c r="G652" s="35"/>
      <c r="H652" s="234" t="s">
        <v>1516</v>
      </c>
      <c r="I652" s="306" t="s">
        <v>1517</v>
      </c>
      <c r="J652" s="234">
        <f t="shared" si="24"/>
        <v>1.0077050282578277</v>
      </c>
      <c r="K652" s="315">
        <f t="shared" si="25"/>
        <v>7.6754961278603243E-3</v>
      </c>
      <c r="L652" s="234"/>
      <c r="M652" s="234"/>
      <c r="N652" s="234"/>
      <c r="O652" s="234"/>
      <c r="P652" s="234"/>
      <c r="Q652" s="234"/>
      <c r="R652" s="234"/>
      <c r="S652" s="35"/>
      <c r="T652" s="35"/>
      <c r="U652" s="35"/>
      <c r="V652" s="35"/>
      <c r="W652" s="35"/>
      <c r="X652" s="35"/>
    </row>
    <row r="653" spans="1:24" ht="12.75" customHeight="1" x14ac:dyDescent="0.3">
      <c r="A653" s="35"/>
      <c r="B653" s="35"/>
      <c r="C653" s="35"/>
      <c r="D653" s="35"/>
      <c r="E653" s="35"/>
      <c r="F653" s="35"/>
      <c r="G653" s="35"/>
      <c r="H653" s="234" t="s">
        <v>1518</v>
      </c>
      <c r="I653" s="306" t="s">
        <v>1519</v>
      </c>
      <c r="J653" s="234">
        <f t="shared" si="24"/>
        <v>1.0115624999999999</v>
      </c>
      <c r="K653" s="315">
        <f t="shared" si="25"/>
        <v>1.1496165138426356E-2</v>
      </c>
      <c r="L653" s="234"/>
      <c r="M653" s="234"/>
      <c r="N653" s="234"/>
      <c r="O653" s="234"/>
      <c r="P653" s="234"/>
      <c r="Q653" s="234"/>
      <c r="R653" s="234"/>
      <c r="S653" s="35"/>
      <c r="T653" s="35"/>
      <c r="U653" s="35"/>
      <c r="V653" s="35"/>
      <c r="W653" s="35"/>
      <c r="X653" s="35"/>
    </row>
    <row r="654" spans="1:24" ht="12.75" customHeight="1" x14ac:dyDescent="0.3">
      <c r="A654" s="35"/>
      <c r="B654" s="35"/>
      <c r="C654" s="35"/>
      <c r="D654" s="35"/>
      <c r="E654" s="35"/>
      <c r="F654" s="35"/>
      <c r="G654" s="35"/>
      <c r="H654" s="234" t="s">
        <v>1520</v>
      </c>
      <c r="I654" s="306" t="s">
        <v>1521</v>
      </c>
      <c r="J654" s="234">
        <f t="shared" si="24"/>
        <v>0.98981077147016017</v>
      </c>
      <c r="K654" s="315">
        <f t="shared" si="25"/>
        <v>-1.0241494052196907E-2</v>
      </c>
      <c r="L654" s="234"/>
      <c r="M654" s="234"/>
      <c r="N654" s="234"/>
      <c r="O654" s="234"/>
      <c r="P654" s="234"/>
      <c r="Q654" s="234"/>
      <c r="R654" s="234"/>
      <c r="S654" s="35"/>
      <c r="T654" s="35"/>
      <c r="U654" s="35"/>
      <c r="V654" s="35"/>
      <c r="W654" s="35"/>
      <c r="X654" s="35"/>
    </row>
    <row r="655" spans="1:24" ht="12.75" customHeight="1" x14ac:dyDescent="0.3">
      <c r="A655" s="35"/>
      <c r="B655" s="35"/>
      <c r="C655" s="35"/>
      <c r="D655" s="35"/>
      <c r="E655" s="35"/>
      <c r="F655" s="35"/>
      <c r="G655" s="35"/>
      <c r="H655" s="234" t="s">
        <v>1522</v>
      </c>
      <c r="I655" s="306" t="s">
        <v>1523</v>
      </c>
      <c r="J655" s="234">
        <f t="shared" si="24"/>
        <v>0.99734151143694483</v>
      </c>
      <c r="K655" s="315">
        <f t="shared" si="25"/>
        <v>-2.6620286192997624E-3</v>
      </c>
      <c r="L655" s="234"/>
      <c r="M655" s="234"/>
      <c r="N655" s="234"/>
      <c r="O655" s="234"/>
      <c r="P655" s="234"/>
      <c r="Q655" s="234"/>
      <c r="R655" s="234"/>
      <c r="S655" s="35"/>
      <c r="T655" s="35"/>
      <c r="U655" s="35"/>
      <c r="V655" s="35"/>
      <c r="W655" s="35"/>
      <c r="X655" s="35"/>
    </row>
    <row r="656" spans="1:24" ht="12.75" customHeight="1" x14ac:dyDescent="0.3">
      <c r="A656" s="35"/>
      <c r="B656" s="35"/>
      <c r="C656" s="35"/>
      <c r="D656" s="35"/>
      <c r="E656" s="35"/>
      <c r="F656" s="35"/>
      <c r="G656" s="35"/>
      <c r="H656" s="234" t="s">
        <v>1524</v>
      </c>
      <c r="I656" s="306" t="s">
        <v>1525</v>
      </c>
      <c r="J656" s="234">
        <f t="shared" si="24"/>
        <v>0.99519617138471261</v>
      </c>
      <c r="K656" s="315">
        <f t="shared" si="25"/>
        <v>-4.81540408589961E-3</v>
      </c>
      <c r="L656" s="234"/>
      <c r="M656" s="234"/>
      <c r="N656" s="234"/>
      <c r="O656" s="234"/>
      <c r="P656" s="234"/>
      <c r="Q656" s="234"/>
      <c r="R656" s="234"/>
      <c r="S656" s="35"/>
      <c r="T656" s="35"/>
      <c r="U656" s="35"/>
      <c r="V656" s="35"/>
      <c r="W656" s="35"/>
      <c r="X656" s="35"/>
    </row>
    <row r="657" spans="1:24" ht="12.75" customHeight="1" x14ac:dyDescent="0.3">
      <c r="A657" s="35"/>
      <c r="B657" s="35"/>
      <c r="C657" s="35"/>
      <c r="D657" s="35"/>
      <c r="E657" s="35"/>
      <c r="F657" s="35"/>
      <c r="G657" s="35"/>
      <c r="H657" s="234" t="s">
        <v>1526</v>
      </c>
      <c r="I657" s="306" t="s">
        <v>1527</v>
      </c>
      <c r="J657" s="234">
        <f t="shared" si="24"/>
        <v>1.0057395584535886</v>
      </c>
      <c r="K657" s="315">
        <f t="shared" si="25"/>
        <v>5.7231499430993272E-3</v>
      </c>
      <c r="L657" s="234"/>
      <c r="M657" s="234"/>
      <c r="N657" s="234"/>
      <c r="O657" s="234"/>
      <c r="P657" s="234"/>
      <c r="Q657" s="234"/>
      <c r="R657" s="234"/>
      <c r="S657" s="35"/>
      <c r="T657" s="35"/>
      <c r="U657" s="35"/>
      <c r="V657" s="35"/>
      <c r="W657" s="35"/>
      <c r="X657" s="35"/>
    </row>
    <row r="658" spans="1:24" ht="12.75" customHeight="1" x14ac:dyDescent="0.3">
      <c r="A658" s="35"/>
      <c r="B658" s="35"/>
      <c r="C658" s="35"/>
      <c r="D658" s="35"/>
      <c r="E658" s="35"/>
      <c r="F658" s="35"/>
      <c r="G658" s="35"/>
      <c r="H658" s="234" t="s">
        <v>1528</v>
      </c>
      <c r="I658" s="306" t="s">
        <v>1529</v>
      </c>
      <c r="J658" s="234">
        <f t="shared" si="24"/>
        <v>1.0059748398943897</v>
      </c>
      <c r="K658" s="315">
        <f t="shared" si="25"/>
        <v>5.9570613194528327E-3</v>
      </c>
      <c r="L658" s="234"/>
      <c r="M658" s="234"/>
      <c r="N658" s="234"/>
      <c r="O658" s="234"/>
      <c r="P658" s="234"/>
      <c r="Q658" s="234"/>
      <c r="R658" s="234"/>
      <c r="S658" s="35"/>
      <c r="T658" s="35"/>
      <c r="U658" s="35"/>
      <c r="V658" s="35"/>
      <c r="W658" s="35"/>
      <c r="X658" s="35"/>
    </row>
    <row r="659" spans="1:24" ht="12.75" customHeight="1" x14ac:dyDescent="0.3">
      <c r="A659" s="35"/>
      <c r="B659" s="35"/>
      <c r="C659" s="35"/>
      <c r="D659" s="35"/>
      <c r="E659" s="35"/>
      <c r="F659" s="35"/>
      <c r="G659" s="35"/>
      <c r="H659" s="234" t="s">
        <v>1530</v>
      </c>
      <c r="I659" s="306" t="s">
        <v>1531</v>
      </c>
      <c r="J659" s="234">
        <f t="shared" si="24"/>
        <v>1.0116919607371944</v>
      </c>
      <c r="K659" s="315">
        <f t="shared" si="25"/>
        <v>1.16241379069371E-2</v>
      </c>
      <c r="L659" s="234"/>
      <c r="M659" s="234"/>
      <c r="N659" s="234"/>
      <c r="O659" s="234"/>
      <c r="P659" s="234"/>
      <c r="Q659" s="234"/>
      <c r="R659" s="234"/>
      <c r="S659" s="35"/>
      <c r="T659" s="35"/>
      <c r="U659" s="35"/>
      <c r="V659" s="35"/>
      <c r="W659" s="35"/>
      <c r="X659" s="35"/>
    </row>
    <row r="660" spans="1:24" ht="12.75" customHeight="1" x14ac:dyDescent="0.3">
      <c r="A660" s="35"/>
      <c r="B660" s="35"/>
      <c r="C660" s="35"/>
      <c r="D660" s="35"/>
      <c r="E660" s="35"/>
      <c r="F660" s="35"/>
      <c r="G660" s="35"/>
      <c r="H660" s="234" t="s">
        <v>1532</v>
      </c>
      <c r="I660" s="306" t="s">
        <v>1533</v>
      </c>
      <c r="J660" s="234">
        <f t="shared" si="24"/>
        <v>0.9923414871272781</v>
      </c>
      <c r="K660" s="315">
        <f t="shared" si="25"/>
        <v>-7.6879898788983613E-3</v>
      </c>
      <c r="L660" s="234"/>
      <c r="M660" s="234"/>
      <c r="N660" s="234"/>
      <c r="O660" s="234"/>
      <c r="P660" s="234"/>
      <c r="Q660" s="234"/>
      <c r="R660" s="234"/>
      <c r="S660" s="35"/>
      <c r="T660" s="35"/>
      <c r="U660" s="35"/>
      <c r="V660" s="35"/>
      <c r="W660" s="35"/>
      <c r="X660" s="35"/>
    </row>
    <row r="661" spans="1:24" ht="12.75" customHeight="1" x14ac:dyDescent="0.3">
      <c r="A661" s="35"/>
      <c r="B661" s="35"/>
      <c r="C661" s="35"/>
      <c r="D661" s="35"/>
      <c r="E661" s="35"/>
      <c r="F661" s="35"/>
      <c r="G661" s="35"/>
      <c r="H661" s="234" t="s">
        <v>1534</v>
      </c>
      <c r="I661" s="306" t="s">
        <v>1535</v>
      </c>
      <c r="J661" s="234">
        <f t="shared" si="24"/>
        <v>1.0051627653984088</v>
      </c>
      <c r="K661" s="315">
        <f t="shared" si="25"/>
        <v>5.1494840179506663E-3</v>
      </c>
      <c r="L661" s="234"/>
      <c r="M661" s="234"/>
      <c r="N661" s="234"/>
      <c r="O661" s="234"/>
      <c r="P661" s="234"/>
      <c r="Q661" s="234"/>
      <c r="R661" s="234"/>
      <c r="S661" s="35"/>
      <c r="T661" s="35"/>
      <c r="U661" s="35"/>
      <c r="V661" s="35"/>
      <c r="W661" s="35"/>
      <c r="X661" s="35"/>
    </row>
    <row r="662" spans="1:24" ht="12.75" customHeight="1" x14ac:dyDescent="0.3">
      <c r="A662" s="35"/>
      <c r="B662" s="35"/>
      <c r="C662" s="35"/>
      <c r="D662" s="35"/>
      <c r="E662" s="35"/>
      <c r="F662" s="35"/>
      <c r="G662" s="35"/>
      <c r="H662" s="234" t="s">
        <v>1536</v>
      </c>
      <c r="I662" s="306" t="s">
        <v>1537</v>
      </c>
      <c r="J662" s="234">
        <f t="shared" si="24"/>
        <v>1.001967558380136</v>
      </c>
      <c r="K662" s="315">
        <f t="shared" si="25"/>
        <v>1.9656252723992346E-3</v>
      </c>
      <c r="L662" s="234"/>
      <c r="M662" s="234"/>
      <c r="N662" s="234"/>
      <c r="O662" s="234"/>
      <c r="P662" s="234"/>
      <c r="Q662" s="234"/>
      <c r="R662" s="234"/>
      <c r="S662" s="35"/>
      <c r="T662" s="35"/>
      <c r="U662" s="35"/>
      <c r="V662" s="35"/>
      <c r="W662" s="35"/>
      <c r="X662" s="35"/>
    </row>
    <row r="663" spans="1:24" ht="12.75" customHeight="1" x14ac:dyDescent="0.3">
      <c r="A663" s="35"/>
      <c r="B663" s="35"/>
      <c r="C663" s="35"/>
      <c r="D663" s="35"/>
      <c r="E663" s="35"/>
      <c r="F663" s="35"/>
      <c r="G663" s="35"/>
      <c r="H663" s="234" t="s">
        <v>1538</v>
      </c>
      <c r="I663" s="306" t="s">
        <v>1539</v>
      </c>
      <c r="J663" s="234">
        <f t="shared" si="24"/>
        <v>1.0075386705880163</v>
      </c>
      <c r="K663" s="315">
        <f t="shared" si="25"/>
        <v>7.5103968197373534E-3</v>
      </c>
      <c r="L663" s="234"/>
      <c r="M663" s="234"/>
      <c r="N663" s="234"/>
      <c r="O663" s="234"/>
      <c r="P663" s="234"/>
      <c r="Q663" s="234"/>
      <c r="R663" s="234"/>
      <c r="S663" s="35"/>
      <c r="T663" s="35"/>
      <c r="U663" s="35"/>
      <c r="V663" s="35"/>
      <c r="W663" s="35"/>
      <c r="X663" s="35"/>
    </row>
    <row r="664" spans="1:24" ht="12.75" customHeight="1" x14ac:dyDescent="0.3">
      <c r="A664" s="35"/>
      <c r="B664" s="35"/>
      <c r="C664" s="35"/>
      <c r="D664" s="35"/>
      <c r="E664" s="35"/>
      <c r="F664" s="35"/>
      <c r="G664" s="35"/>
      <c r="H664" s="234" t="s">
        <v>1540</v>
      </c>
      <c r="I664" s="306" t="s">
        <v>1541</v>
      </c>
      <c r="J664" s="234">
        <f t="shared" si="24"/>
        <v>1.003099501465728</v>
      </c>
      <c r="K664" s="315">
        <f t="shared" si="25"/>
        <v>3.0947079135870688E-3</v>
      </c>
      <c r="L664" s="234"/>
      <c r="M664" s="234"/>
      <c r="N664" s="234"/>
      <c r="O664" s="234"/>
      <c r="P664" s="234"/>
      <c r="Q664" s="234"/>
      <c r="R664" s="234"/>
      <c r="S664" s="35"/>
      <c r="T664" s="35"/>
      <c r="U664" s="35"/>
      <c r="V664" s="35"/>
      <c r="W664" s="35"/>
      <c r="X664" s="35"/>
    </row>
    <row r="665" spans="1:24" ht="12.75" customHeight="1" x14ac:dyDescent="0.3">
      <c r="A665" s="35"/>
      <c r="B665" s="35"/>
      <c r="C665" s="35"/>
      <c r="D665" s="35"/>
      <c r="E665" s="35"/>
      <c r="F665" s="35"/>
      <c r="G665" s="35"/>
      <c r="H665" s="234" t="s">
        <v>1542</v>
      </c>
      <c r="I665" s="306" t="s">
        <v>1543</v>
      </c>
      <c r="J665" s="234">
        <f t="shared" si="24"/>
        <v>1.0102425774323764</v>
      </c>
      <c r="K665" s="315">
        <f t="shared" si="25"/>
        <v>1.0190477691228038E-2</v>
      </c>
      <c r="L665" s="234"/>
      <c r="M665" s="234"/>
      <c r="N665" s="234"/>
      <c r="O665" s="234"/>
      <c r="P665" s="234"/>
      <c r="Q665" s="234"/>
      <c r="R665" s="234"/>
      <c r="S665" s="35"/>
      <c r="T665" s="35"/>
      <c r="U665" s="35"/>
      <c r="V665" s="35"/>
      <c r="W665" s="35"/>
      <c r="X665" s="35"/>
    </row>
    <row r="666" spans="1:24" ht="12.75" customHeight="1" x14ac:dyDescent="0.3">
      <c r="A666" s="35"/>
      <c r="B666" s="35"/>
      <c r="C666" s="35"/>
      <c r="D666" s="35"/>
      <c r="E666" s="35"/>
      <c r="F666" s="35"/>
      <c r="G666" s="35"/>
      <c r="H666" s="234" t="s">
        <v>1544</v>
      </c>
      <c r="I666" s="306" t="s">
        <v>1545</v>
      </c>
      <c r="J666" s="234">
        <f t="shared" si="24"/>
        <v>1.0082445012885004</v>
      </c>
      <c r="K666" s="315">
        <f t="shared" si="25"/>
        <v>8.210701038145472E-3</v>
      </c>
      <c r="L666" s="234"/>
      <c r="M666" s="234"/>
      <c r="N666" s="234"/>
      <c r="O666" s="234"/>
      <c r="P666" s="234"/>
      <c r="Q666" s="234"/>
      <c r="R666" s="234"/>
      <c r="S666" s="35"/>
      <c r="T666" s="35"/>
      <c r="U666" s="35"/>
      <c r="V666" s="35"/>
      <c r="W666" s="35"/>
      <c r="X666" s="35"/>
    </row>
    <row r="667" spans="1:24" ht="12.75" customHeight="1" x14ac:dyDescent="0.3">
      <c r="A667" s="35"/>
      <c r="B667" s="35"/>
      <c r="C667" s="35"/>
      <c r="D667" s="35"/>
      <c r="E667" s="35"/>
      <c r="F667" s="35"/>
      <c r="G667" s="35"/>
      <c r="H667" s="234" t="s">
        <v>1546</v>
      </c>
      <c r="I667" s="306" t="s">
        <v>1547</v>
      </c>
      <c r="J667" s="234">
        <f t="shared" si="24"/>
        <v>1.0292243699535111</v>
      </c>
      <c r="K667" s="315">
        <f t="shared" si="25"/>
        <v>2.8805479685258862E-2</v>
      </c>
      <c r="L667" s="234"/>
      <c r="M667" s="234"/>
      <c r="N667" s="234"/>
      <c r="O667" s="234"/>
      <c r="P667" s="234"/>
      <c r="Q667" s="234"/>
      <c r="R667" s="234"/>
      <c r="S667" s="35"/>
      <c r="T667" s="35"/>
      <c r="U667" s="35"/>
      <c r="V667" s="35"/>
      <c r="W667" s="35"/>
      <c r="X667" s="35"/>
    </row>
    <row r="668" spans="1:24" ht="12.75" customHeight="1" x14ac:dyDescent="0.3">
      <c r="A668" s="35"/>
      <c r="B668" s="35"/>
      <c r="C668" s="35"/>
      <c r="D668" s="35"/>
      <c r="E668" s="35"/>
      <c r="F668" s="35"/>
      <c r="G668" s="35"/>
      <c r="H668" s="234" t="s">
        <v>1548</v>
      </c>
      <c r="I668" s="306" t="s">
        <v>1549</v>
      </c>
      <c r="J668" s="234">
        <f t="shared" si="24"/>
        <v>1.0037034126407198</v>
      </c>
      <c r="K668" s="315">
        <f t="shared" si="25"/>
        <v>3.6965718923333696E-3</v>
      </c>
      <c r="L668" s="234"/>
      <c r="M668" s="234"/>
      <c r="N668" s="234"/>
      <c r="O668" s="234"/>
      <c r="P668" s="234"/>
      <c r="Q668" s="234"/>
      <c r="R668" s="234"/>
      <c r="S668" s="35"/>
      <c r="T668" s="35"/>
      <c r="U668" s="35"/>
      <c r="V668" s="35"/>
      <c r="W668" s="35"/>
      <c r="X668" s="35"/>
    </row>
    <row r="669" spans="1:24" ht="12.75" customHeight="1" x14ac:dyDescent="0.3">
      <c r="A669" s="35"/>
      <c r="B669" s="35"/>
      <c r="C669" s="35"/>
      <c r="D669" s="35"/>
      <c r="E669" s="35"/>
      <c r="F669" s="35"/>
      <c r="G669" s="35"/>
      <c r="H669" s="234" t="s">
        <v>1550</v>
      </c>
      <c r="I669" s="306" t="s">
        <v>1551</v>
      </c>
      <c r="J669" s="234">
        <f t="shared" si="24"/>
        <v>0.99873438833675077</v>
      </c>
      <c r="K669" s="315">
        <f t="shared" si="25"/>
        <v>-1.2664132260731924E-3</v>
      </c>
      <c r="L669" s="234"/>
      <c r="M669" s="234"/>
      <c r="N669" s="234"/>
      <c r="O669" s="234"/>
      <c r="P669" s="234"/>
      <c r="Q669" s="234"/>
      <c r="R669" s="234"/>
      <c r="S669" s="35"/>
      <c r="T669" s="35"/>
      <c r="U669" s="35"/>
      <c r="V669" s="35"/>
      <c r="W669" s="35"/>
      <c r="X669" s="35"/>
    </row>
    <row r="670" spans="1:24" ht="12.75" customHeight="1" x14ac:dyDescent="0.3">
      <c r="A670" s="35"/>
      <c r="B670" s="35"/>
      <c r="C670" s="35"/>
      <c r="D670" s="35"/>
      <c r="E670" s="35"/>
      <c r="F670" s="35"/>
      <c r="G670" s="35"/>
      <c r="H670" s="234" t="s">
        <v>1552</v>
      </c>
      <c r="I670" s="306" t="s">
        <v>1553</v>
      </c>
      <c r="J670" s="234">
        <f t="shared" si="24"/>
        <v>0.97602244544244521</v>
      </c>
      <c r="K670" s="315">
        <f t="shared" si="25"/>
        <v>-2.4269695453925728E-2</v>
      </c>
      <c r="L670" s="234"/>
      <c r="M670" s="234"/>
      <c r="N670" s="234"/>
      <c r="O670" s="234"/>
      <c r="P670" s="234"/>
      <c r="Q670" s="234"/>
      <c r="R670" s="234"/>
      <c r="S670" s="35"/>
      <c r="T670" s="35"/>
      <c r="U670" s="35"/>
      <c r="V670" s="35"/>
      <c r="W670" s="35"/>
      <c r="X670" s="35"/>
    </row>
    <row r="671" spans="1:24" ht="12.75" customHeight="1" x14ac:dyDescent="0.3">
      <c r="A671" s="35"/>
      <c r="B671" s="35"/>
      <c r="C671" s="35"/>
      <c r="D671" s="35"/>
      <c r="E671" s="35"/>
      <c r="F671" s="35"/>
      <c r="G671" s="35"/>
      <c r="H671" s="234" t="s">
        <v>1554</v>
      </c>
      <c r="I671" s="306" t="s">
        <v>1555</v>
      </c>
      <c r="J671" s="234">
        <f t="shared" si="24"/>
        <v>1.0146517299340283</v>
      </c>
      <c r="K671" s="315">
        <f t="shared" si="25"/>
        <v>1.4545430395804113E-2</v>
      </c>
      <c r="L671" s="234"/>
      <c r="M671" s="234"/>
      <c r="N671" s="234"/>
      <c r="O671" s="234"/>
      <c r="P671" s="234"/>
      <c r="Q671" s="234"/>
      <c r="R671" s="234"/>
      <c r="S671" s="35"/>
      <c r="T671" s="35"/>
      <c r="U671" s="35"/>
      <c r="V671" s="35"/>
      <c r="W671" s="35"/>
      <c r="X671" s="35"/>
    </row>
    <row r="672" spans="1:24" ht="12.75" customHeight="1" x14ac:dyDescent="0.3">
      <c r="A672" s="35"/>
      <c r="B672" s="35"/>
      <c r="C672" s="35"/>
      <c r="D672" s="35"/>
      <c r="E672" s="35"/>
      <c r="F672" s="35"/>
      <c r="G672" s="35"/>
      <c r="H672" s="234" t="s">
        <v>1556</v>
      </c>
      <c r="I672" s="306" t="s">
        <v>1557</v>
      </c>
      <c r="J672" s="234">
        <f t="shared" si="24"/>
        <v>1.0059915941745674</v>
      </c>
      <c r="K672" s="315">
        <f t="shared" si="25"/>
        <v>5.973715951353595E-3</v>
      </c>
      <c r="L672" s="234"/>
      <c r="M672" s="234"/>
      <c r="N672" s="234"/>
      <c r="O672" s="234"/>
      <c r="P672" s="234"/>
      <c r="Q672" s="234"/>
      <c r="R672" s="234"/>
      <c r="S672" s="35"/>
      <c r="T672" s="35"/>
      <c r="U672" s="35"/>
      <c r="V672" s="35"/>
      <c r="W672" s="35"/>
      <c r="X672" s="35"/>
    </row>
    <row r="673" spans="1:24" ht="12.75" customHeight="1" x14ac:dyDescent="0.3">
      <c r="A673" s="35"/>
      <c r="B673" s="35"/>
      <c r="C673" s="35"/>
      <c r="D673" s="35"/>
      <c r="E673" s="35"/>
      <c r="F673" s="35"/>
      <c r="G673" s="35"/>
      <c r="H673" s="234" t="s">
        <v>1558</v>
      </c>
      <c r="I673" s="306" t="s">
        <v>1559</v>
      </c>
      <c r="J673" s="234">
        <f t="shared" si="24"/>
        <v>0.99118387909319894</v>
      </c>
      <c r="K673" s="315">
        <f t="shared" si="25"/>
        <v>-8.8552128297325495E-3</v>
      </c>
      <c r="L673" s="234"/>
      <c r="M673" s="234"/>
      <c r="N673" s="234"/>
      <c r="O673" s="234"/>
      <c r="P673" s="234"/>
      <c r="Q673" s="234"/>
      <c r="R673" s="234"/>
      <c r="S673" s="35"/>
      <c r="T673" s="35"/>
      <c r="U673" s="35"/>
      <c r="V673" s="35"/>
      <c r="W673" s="35"/>
      <c r="X673" s="35"/>
    </row>
    <row r="674" spans="1:24" ht="12.75" customHeight="1" x14ac:dyDescent="0.3">
      <c r="A674" s="35"/>
      <c r="B674" s="35"/>
      <c r="C674" s="35"/>
      <c r="D674" s="35"/>
      <c r="E674" s="35"/>
      <c r="F674" s="35"/>
      <c r="G674" s="35"/>
      <c r="H674" s="234" t="s">
        <v>1560</v>
      </c>
      <c r="I674" s="306" t="s">
        <v>1561</v>
      </c>
      <c r="J674" s="234">
        <f t="shared" si="24"/>
        <v>0.99300605116068763</v>
      </c>
      <c r="K674" s="315">
        <f t="shared" si="25"/>
        <v>-7.0185211381221923E-3</v>
      </c>
      <c r="L674" s="234"/>
      <c r="M674" s="234"/>
      <c r="N674" s="234"/>
      <c r="O674" s="234"/>
      <c r="P674" s="234"/>
      <c r="Q674" s="234"/>
      <c r="R674" s="234"/>
      <c r="S674" s="35"/>
      <c r="T674" s="35"/>
      <c r="U674" s="35"/>
      <c r="V674" s="35"/>
      <c r="W674" s="35"/>
      <c r="X674" s="35"/>
    </row>
    <row r="675" spans="1:24" ht="12.75" customHeight="1" x14ac:dyDescent="0.3">
      <c r="A675" s="35"/>
      <c r="B675" s="35"/>
      <c r="C675" s="35"/>
      <c r="D675" s="35"/>
      <c r="E675" s="35"/>
      <c r="F675" s="35"/>
      <c r="G675" s="35"/>
      <c r="H675" s="234" t="s">
        <v>1562</v>
      </c>
      <c r="I675" s="306" t="s">
        <v>1563</v>
      </c>
      <c r="J675" s="234">
        <f t="shared" si="24"/>
        <v>0.99597573945787465</v>
      </c>
      <c r="K675" s="315">
        <f t="shared" si="25"/>
        <v>-4.0323796682205171E-3</v>
      </c>
      <c r="L675" s="234"/>
      <c r="M675" s="234"/>
      <c r="N675" s="234"/>
      <c r="O675" s="234"/>
      <c r="P675" s="234"/>
      <c r="Q675" s="234"/>
      <c r="R675" s="234"/>
      <c r="S675" s="35"/>
      <c r="T675" s="35"/>
      <c r="U675" s="35"/>
      <c r="V675" s="35"/>
      <c r="W675" s="35"/>
      <c r="X675" s="35"/>
    </row>
    <row r="676" spans="1:24" ht="12.75" customHeight="1" x14ac:dyDescent="0.3">
      <c r="A676" s="35"/>
      <c r="B676" s="35"/>
      <c r="C676" s="35"/>
      <c r="D676" s="35"/>
      <c r="E676" s="35"/>
      <c r="F676" s="35"/>
      <c r="G676" s="35"/>
      <c r="H676" s="234" t="s">
        <v>1564</v>
      </c>
      <c r="I676" s="306" t="s">
        <v>1565</v>
      </c>
      <c r="J676" s="234">
        <f t="shared" si="24"/>
        <v>1.0043690394849538</v>
      </c>
      <c r="K676" s="315">
        <f t="shared" si="25"/>
        <v>4.3595229406465834E-3</v>
      </c>
      <c r="L676" s="234"/>
      <c r="M676" s="234"/>
      <c r="N676" s="234"/>
      <c r="O676" s="234"/>
      <c r="P676" s="234"/>
      <c r="Q676" s="234"/>
      <c r="R676" s="234"/>
      <c r="S676" s="35"/>
      <c r="T676" s="35"/>
      <c r="U676" s="35"/>
      <c r="V676" s="35"/>
      <c r="W676" s="35"/>
      <c r="X676" s="35"/>
    </row>
    <row r="677" spans="1:24" ht="12.75" customHeight="1" x14ac:dyDescent="0.3">
      <c r="A677" s="35"/>
      <c r="B677" s="35"/>
      <c r="C677" s="35"/>
      <c r="D677" s="35"/>
      <c r="E677" s="35"/>
      <c r="F677" s="35"/>
      <c r="G677" s="35"/>
      <c r="H677" s="234" t="s">
        <v>1566</v>
      </c>
      <c r="I677" s="306" t="s">
        <v>1567</v>
      </c>
      <c r="J677" s="234">
        <f t="shared" si="24"/>
        <v>0.97893527023335125</v>
      </c>
      <c r="K677" s="315">
        <f t="shared" si="25"/>
        <v>-2.1289756887431083E-2</v>
      </c>
      <c r="L677" s="234"/>
      <c r="M677" s="234"/>
      <c r="N677" s="234"/>
      <c r="O677" s="234"/>
      <c r="P677" s="234"/>
      <c r="Q677" s="234"/>
      <c r="R677" s="234"/>
      <c r="S677" s="35"/>
      <c r="T677" s="35"/>
      <c r="U677" s="35"/>
      <c r="V677" s="35"/>
      <c r="W677" s="35"/>
      <c r="X677" s="35"/>
    </row>
    <row r="678" spans="1:24" ht="12.75" customHeight="1" x14ac:dyDescent="0.3">
      <c r="A678" s="35"/>
      <c r="B678" s="35"/>
      <c r="C678" s="35"/>
      <c r="D678" s="35"/>
      <c r="E678" s="35"/>
      <c r="F678" s="35"/>
      <c r="G678" s="35"/>
      <c r="H678" s="234" t="s">
        <v>1568</v>
      </c>
      <c r="I678" s="306" t="s">
        <v>1569</v>
      </c>
      <c r="J678" s="234">
        <f t="shared" si="24"/>
        <v>1.0011884213802666</v>
      </c>
      <c r="K678" s="315">
        <f t="shared" si="25"/>
        <v>1.1877157665670503E-3</v>
      </c>
      <c r="L678" s="234"/>
      <c r="M678" s="234"/>
      <c r="N678" s="234"/>
      <c r="O678" s="234"/>
      <c r="P678" s="234"/>
      <c r="Q678" s="234"/>
      <c r="R678" s="234"/>
      <c r="S678" s="35"/>
      <c r="T678" s="35"/>
      <c r="U678" s="35"/>
      <c r="V678" s="35"/>
      <c r="W678" s="35"/>
      <c r="X678" s="35"/>
    </row>
    <row r="679" spans="1:24" ht="12.75" customHeight="1" x14ac:dyDescent="0.3">
      <c r="A679" s="35"/>
      <c r="B679" s="35"/>
      <c r="C679" s="35"/>
      <c r="D679" s="35"/>
      <c r="E679" s="35"/>
      <c r="F679" s="35"/>
      <c r="G679" s="35"/>
      <c r="H679" s="234" t="s">
        <v>1570</v>
      </c>
      <c r="I679" s="306" t="s">
        <v>1571</v>
      </c>
      <c r="J679" s="234">
        <f t="shared" si="24"/>
        <v>0.99759124568353108</v>
      </c>
      <c r="K679" s="315">
        <f t="shared" si="25"/>
        <v>-2.4116600321888253E-3</v>
      </c>
      <c r="L679" s="234"/>
      <c r="M679" s="234"/>
      <c r="N679" s="234"/>
      <c r="O679" s="234"/>
      <c r="P679" s="234"/>
      <c r="Q679" s="234"/>
      <c r="R679" s="234"/>
      <c r="S679" s="35"/>
      <c r="T679" s="35"/>
      <c r="U679" s="35"/>
      <c r="V679" s="35"/>
      <c r="W679" s="35"/>
      <c r="X679" s="35"/>
    </row>
    <row r="680" spans="1:24" ht="12.75" customHeight="1" x14ac:dyDescent="0.3">
      <c r="A680" s="35"/>
      <c r="B680" s="35"/>
      <c r="C680" s="35"/>
      <c r="D680" s="35"/>
      <c r="E680" s="35"/>
      <c r="F680" s="35"/>
      <c r="G680" s="35"/>
      <c r="H680" s="234" t="s">
        <v>1572</v>
      </c>
      <c r="I680" s="306" t="s">
        <v>1573</v>
      </c>
      <c r="J680" s="234">
        <f t="shared" si="24"/>
        <v>0.99831858573334087</v>
      </c>
      <c r="K680" s="315">
        <f t="shared" si="25"/>
        <v>-1.6828294301670728E-3</v>
      </c>
      <c r="L680" s="234"/>
      <c r="M680" s="234"/>
      <c r="N680" s="234"/>
      <c r="O680" s="234"/>
      <c r="P680" s="234"/>
      <c r="Q680" s="234"/>
      <c r="R680" s="234"/>
      <c r="S680" s="35"/>
      <c r="T680" s="35"/>
      <c r="U680" s="35"/>
      <c r="V680" s="35"/>
      <c r="W680" s="35"/>
      <c r="X680" s="35"/>
    </row>
    <row r="681" spans="1:24" ht="12.75" customHeight="1" x14ac:dyDescent="0.3">
      <c r="A681" s="35"/>
      <c r="B681" s="35"/>
      <c r="C681" s="35"/>
      <c r="D681" s="35"/>
      <c r="E681" s="35"/>
      <c r="F681" s="35"/>
      <c r="G681" s="35"/>
      <c r="H681" s="234" t="s">
        <v>1574</v>
      </c>
      <c r="I681" s="306" t="s">
        <v>1575</v>
      </c>
      <c r="J681" s="234">
        <f t="shared" si="24"/>
        <v>0.99595846197024984</v>
      </c>
      <c r="K681" s="315">
        <f t="shared" si="25"/>
        <v>-4.0497271163569644E-3</v>
      </c>
      <c r="L681" s="234"/>
      <c r="M681" s="234"/>
      <c r="N681" s="234"/>
      <c r="O681" s="234"/>
      <c r="P681" s="234"/>
      <c r="Q681" s="234"/>
      <c r="R681" s="234"/>
      <c r="S681" s="35"/>
      <c r="T681" s="35"/>
      <c r="U681" s="35"/>
      <c r="V681" s="35"/>
      <c r="W681" s="35"/>
      <c r="X681" s="35"/>
    </row>
    <row r="682" spans="1:24" ht="12.75" customHeight="1" x14ac:dyDescent="0.3">
      <c r="A682" s="35"/>
      <c r="B682" s="35"/>
      <c r="C682" s="35"/>
      <c r="D682" s="35"/>
      <c r="E682" s="35"/>
      <c r="F682" s="35"/>
      <c r="G682" s="35"/>
      <c r="H682" s="234" t="s">
        <v>1576</v>
      </c>
      <c r="I682" s="306" t="s">
        <v>1577</v>
      </c>
      <c r="J682" s="234">
        <f t="shared" si="24"/>
        <v>1.0063266113088176</v>
      </c>
      <c r="K682" s="315">
        <f t="shared" si="25"/>
        <v>6.3066823146578754E-3</v>
      </c>
      <c r="L682" s="234"/>
      <c r="M682" s="234"/>
      <c r="N682" s="234"/>
      <c r="O682" s="234"/>
      <c r="P682" s="234"/>
      <c r="Q682" s="234"/>
      <c r="R682" s="234"/>
      <c r="S682" s="35"/>
      <c r="T682" s="35"/>
      <c r="U682" s="35"/>
      <c r="V682" s="35"/>
      <c r="W682" s="35"/>
      <c r="X682" s="35"/>
    </row>
    <row r="683" spans="1:24" ht="12.75" customHeight="1" x14ac:dyDescent="0.3">
      <c r="A683" s="35"/>
      <c r="B683" s="35"/>
      <c r="C683" s="35"/>
      <c r="D683" s="35"/>
      <c r="E683" s="35"/>
      <c r="F683" s="35"/>
      <c r="G683" s="35"/>
      <c r="H683" s="234" t="s">
        <v>1578</v>
      </c>
      <c r="I683" s="306" t="s">
        <v>1579</v>
      </c>
      <c r="J683" s="234">
        <f t="shared" si="24"/>
        <v>1.0428968374750858</v>
      </c>
      <c r="K683" s="315">
        <f t="shared" si="25"/>
        <v>4.2002261706915914E-2</v>
      </c>
      <c r="L683" s="234"/>
      <c r="M683" s="234"/>
      <c r="N683" s="234"/>
      <c r="O683" s="234"/>
      <c r="P683" s="234"/>
      <c r="Q683" s="234"/>
      <c r="R683" s="234"/>
      <c r="S683" s="35"/>
      <c r="T683" s="35"/>
      <c r="U683" s="35"/>
      <c r="V683" s="35"/>
      <c r="W683" s="35"/>
      <c r="X683" s="35"/>
    </row>
    <row r="684" spans="1:24" ht="12.75" customHeight="1" x14ac:dyDescent="0.3">
      <c r="A684" s="35"/>
      <c r="B684" s="35"/>
      <c r="C684" s="35"/>
      <c r="D684" s="35"/>
      <c r="E684" s="35"/>
      <c r="F684" s="35"/>
      <c r="G684" s="35"/>
      <c r="H684" s="234" t="s">
        <v>1580</v>
      </c>
      <c r="I684" s="306" t="s">
        <v>1581</v>
      </c>
      <c r="J684" s="234">
        <f t="shared" si="24"/>
        <v>1.0101862688698895</v>
      </c>
      <c r="K684" s="315">
        <f t="shared" si="25"/>
        <v>1.0134738472690762E-2</v>
      </c>
      <c r="L684" s="234"/>
      <c r="M684" s="234"/>
      <c r="N684" s="234"/>
      <c r="O684" s="234"/>
      <c r="P684" s="234"/>
      <c r="Q684" s="234"/>
      <c r="R684" s="234"/>
      <c r="S684" s="35"/>
      <c r="T684" s="35"/>
      <c r="U684" s="35"/>
      <c r="V684" s="35"/>
      <c r="W684" s="35"/>
      <c r="X684" s="35"/>
    </row>
    <row r="685" spans="1:24" ht="12.75" customHeight="1" x14ac:dyDescent="0.3">
      <c r="A685" s="35"/>
      <c r="B685" s="35"/>
      <c r="C685" s="35"/>
      <c r="D685" s="35"/>
      <c r="E685" s="35"/>
      <c r="F685" s="35"/>
      <c r="G685" s="35"/>
      <c r="H685" s="234" t="s">
        <v>1582</v>
      </c>
      <c r="I685" s="306" t="s">
        <v>1583</v>
      </c>
      <c r="J685" s="234">
        <f t="shared" si="24"/>
        <v>0.99845510903365087</v>
      </c>
      <c r="K685" s="315">
        <f t="shared" si="25"/>
        <v>-1.5460855408815459E-3</v>
      </c>
      <c r="L685" s="234"/>
      <c r="M685" s="234"/>
      <c r="N685" s="234"/>
      <c r="O685" s="234"/>
      <c r="P685" s="234"/>
      <c r="Q685" s="234"/>
      <c r="R685" s="234"/>
      <c r="S685" s="35"/>
      <c r="T685" s="35"/>
      <c r="U685" s="35"/>
      <c r="V685" s="35"/>
      <c r="W685" s="35"/>
      <c r="X685" s="35"/>
    </row>
    <row r="686" spans="1:24" ht="12.75" customHeight="1" x14ac:dyDescent="0.3">
      <c r="A686" s="35"/>
      <c r="B686" s="35"/>
      <c r="C686" s="35"/>
      <c r="D686" s="35"/>
      <c r="E686" s="35"/>
      <c r="F686" s="35"/>
      <c r="G686" s="35"/>
      <c r="H686" s="234" t="s">
        <v>1584</v>
      </c>
      <c r="I686" s="306" t="s">
        <v>1585</v>
      </c>
      <c r="J686" s="234">
        <f t="shared" si="24"/>
        <v>0.99125347259715912</v>
      </c>
      <c r="K686" s="315">
        <f t="shared" si="25"/>
        <v>-8.7850027886137889E-3</v>
      </c>
      <c r="L686" s="234"/>
      <c r="M686" s="234"/>
      <c r="N686" s="234"/>
      <c r="O686" s="234"/>
      <c r="P686" s="234"/>
      <c r="Q686" s="234"/>
      <c r="R686" s="234"/>
      <c r="S686" s="35"/>
      <c r="T686" s="35"/>
      <c r="U686" s="35"/>
      <c r="V686" s="35"/>
      <c r="W686" s="35"/>
      <c r="X686" s="35"/>
    </row>
    <row r="687" spans="1:24" ht="12.75" customHeight="1" x14ac:dyDescent="0.3">
      <c r="A687" s="35"/>
      <c r="B687" s="35"/>
      <c r="C687" s="35"/>
      <c r="D687" s="35"/>
      <c r="E687" s="35"/>
      <c r="F687" s="35"/>
      <c r="G687" s="35"/>
      <c r="H687" s="234" t="s">
        <v>1586</v>
      </c>
      <c r="I687" s="306" t="s">
        <v>1587</v>
      </c>
      <c r="J687" s="234">
        <f t="shared" si="24"/>
        <v>1.0035860302448156</v>
      </c>
      <c r="K687" s="315">
        <f t="shared" si="25"/>
        <v>3.5796157687867222E-3</v>
      </c>
      <c r="L687" s="234"/>
      <c r="M687" s="234"/>
      <c r="N687" s="234"/>
      <c r="O687" s="234"/>
      <c r="P687" s="234"/>
      <c r="Q687" s="234"/>
      <c r="R687" s="234"/>
      <c r="S687" s="35"/>
      <c r="T687" s="35"/>
      <c r="U687" s="35"/>
      <c r="V687" s="35"/>
      <c r="W687" s="35"/>
      <c r="X687" s="35"/>
    </row>
    <row r="688" spans="1:24" ht="12.75" customHeight="1" x14ac:dyDescent="0.3">
      <c r="A688" s="35"/>
      <c r="B688" s="35"/>
      <c r="C688" s="35"/>
      <c r="D688" s="35"/>
      <c r="E688" s="35"/>
      <c r="F688" s="35"/>
      <c r="G688" s="35"/>
      <c r="H688" s="234" t="s">
        <v>1588</v>
      </c>
      <c r="I688" s="306" t="s">
        <v>1589</v>
      </c>
      <c r="J688" s="234">
        <f t="shared" si="24"/>
        <v>0.99628986190041513</v>
      </c>
      <c r="K688" s="315">
        <f t="shared" si="25"/>
        <v>-3.7170377329591186E-3</v>
      </c>
      <c r="L688" s="234"/>
      <c r="M688" s="234"/>
      <c r="N688" s="234"/>
      <c r="O688" s="234"/>
      <c r="P688" s="234"/>
      <c r="Q688" s="234"/>
      <c r="R688" s="234"/>
      <c r="S688" s="35"/>
      <c r="T688" s="35"/>
      <c r="U688" s="35"/>
      <c r="V688" s="35"/>
      <c r="W688" s="35"/>
      <c r="X688" s="35"/>
    </row>
    <row r="689" spans="1:24" ht="12.75" customHeight="1" x14ac:dyDescent="0.3">
      <c r="A689" s="35"/>
      <c r="B689" s="35"/>
      <c r="C689" s="35"/>
      <c r="D689" s="35"/>
      <c r="E689" s="35"/>
      <c r="F689" s="35"/>
      <c r="G689" s="35"/>
      <c r="H689" s="234" t="s">
        <v>1590</v>
      </c>
      <c r="I689" s="306" t="s">
        <v>1591</v>
      </c>
      <c r="J689" s="234">
        <f t="shared" si="24"/>
        <v>0.98234568139306166</v>
      </c>
      <c r="K689" s="315">
        <f t="shared" si="25"/>
        <v>-1.7812014859494053E-2</v>
      </c>
      <c r="L689" s="234"/>
      <c r="M689" s="234"/>
      <c r="N689" s="234"/>
      <c r="O689" s="234"/>
      <c r="P689" s="234"/>
      <c r="Q689" s="234"/>
      <c r="R689" s="234"/>
      <c r="S689" s="35"/>
      <c r="T689" s="35"/>
      <c r="U689" s="35"/>
      <c r="V689" s="35"/>
      <c r="W689" s="35"/>
      <c r="X689" s="35"/>
    </row>
    <row r="690" spans="1:24" ht="12.75" customHeight="1" x14ac:dyDescent="0.3">
      <c r="A690" s="35"/>
      <c r="B690" s="35"/>
      <c r="C690" s="35"/>
      <c r="D690" s="35"/>
      <c r="E690" s="35"/>
      <c r="F690" s="35"/>
      <c r="G690" s="35"/>
      <c r="H690" s="234" t="s">
        <v>1592</v>
      </c>
      <c r="I690" s="306" t="s">
        <v>1593</v>
      </c>
      <c r="J690" s="234">
        <f t="shared" si="24"/>
        <v>1.0188416047781839</v>
      </c>
      <c r="K690" s="315">
        <f t="shared" si="25"/>
        <v>1.8666300331153657E-2</v>
      </c>
      <c r="L690" s="234"/>
      <c r="M690" s="234"/>
      <c r="N690" s="234"/>
      <c r="O690" s="234"/>
      <c r="P690" s="234"/>
      <c r="Q690" s="234"/>
      <c r="R690" s="234"/>
      <c r="S690" s="35"/>
      <c r="T690" s="35"/>
      <c r="U690" s="35"/>
      <c r="V690" s="35"/>
      <c r="W690" s="35"/>
      <c r="X690" s="35"/>
    </row>
    <row r="691" spans="1:24" ht="12.75" customHeight="1" x14ac:dyDescent="0.3">
      <c r="A691" s="35"/>
      <c r="B691" s="35"/>
      <c r="C691" s="35"/>
      <c r="D691" s="35"/>
      <c r="E691" s="35"/>
      <c r="F691" s="35"/>
      <c r="G691" s="35"/>
      <c r="H691" s="234" t="s">
        <v>1594</v>
      </c>
      <c r="I691" s="306" t="s">
        <v>1595</v>
      </c>
      <c r="J691" s="234">
        <f t="shared" si="24"/>
        <v>1.0060384444334634</v>
      </c>
      <c r="K691" s="315">
        <f t="shared" si="25"/>
        <v>6.0202860899752101E-3</v>
      </c>
      <c r="L691" s="234"/>
      <c r="M691" s="234"/>
      <c r="N691" s="234"/>
      <c r="O691" s="234"/>
      <c r="P691" s="234"/>
      <c r="Q691" s="234"/>
      <c r="R691" s="234"/>
      <c r="S691" s="35"/>
      <c r="T691" s="35"/>
      <c r="U691" s="35"/>
      <c r="V691" s="35"/>
      <c r="W691" s="35"/>
      <c r="X691" s="35"/>
    </row>
    <row r="692" spans="1:24" ht="12.75" customHeight="1" x14ac:dyDescent="0.3">
      <c r="A692" s="35"/>
      <c r="B692" s="35"/>
      <c r="C692" s="35"/>
      <c r="D692" s="35"/>
      <c r="E692" s="35"/>
      <c r="F692" s="35"/>
      <c r="G692" s="35"/>
      <c r="H692" s="234" t="s">
        <v>1596</v>
      </c>
      <c r="I692" s="306" t="s">
        <v>1597</v>
      </c>
      <c r="J692" s="234">
        <f t="shared" si="24"/>
        <v>1.0151797897102497</v>
      </c>
      <c r="K692" s="315">
        <f t="shared" si="25"/>
        <v>1.5065729527060654E-2</v>
      </c>
      <c r="L692" s="234"/>
      <c r="M692" s="234"/>
      <c r="N692" s="234"/>
      <c r="O692" s="234"/>
      <c r="P692" s="234"/>
      <c r="Q692" s="234"/>
      <c r="R692" s="234"/>
      <c r="S692" s="35"/>
      <c r="T692" s="35"/>
      <c r="U692" s="35"/>
      <c r="V692" s="35"/>
      <c r="W692" s="35"/>
      <c r="X692" s="35"/>
    </row>
    <row r="693" spans="1:24" ht="12.75" customHeight="1" x14ac:dyDescent="0.3">
      <c r="A693" s="35"/>
      <c r="B693" s="35"/>
      <c r="C693" s="35"/>
      <c r="D693" s="35"/>
      <c r="E693" s="35"/>
      <c r="F693" s="35"/>
      <c r="G693" s="35"/>
      <c r="H693" s="234" t="s">
        <v>1598</v>
      </c>
      <c r="I693" s="306" t="s">
        <v>1599</v>
      </c>
      <c r="J693" s="234">
        <f t="shared" si="24"/>
        <v>1.0084890674167535</v>
      </c>
      <c r="K693" s="315">
        <f t="shared" si="25"/>
        <v>8.4532379138607446E-3</v>
      </c>
      <c r="L693" s="234"/>
      <c r="M693" s="234"/>
      <c r="N693" s="234"/>
      <c r="O693" s="234"/>
      <c r="P693" s="234"/>
      <c r="Q693" s="234"/>
      <c r="R693" s="234"/>
      <c r="S693" s="35"/>
      <c r="T693" s="35"/>
      <c r="U693" s="35"/>
      <c r="V693" s="35"/>
      <c r="W693" s="35"/>
      <c r="X693" s="35"/>
    </row>
    <row r="694" spans="1:24" ht="12.75" customHeight="1" x14ac:dyDescent="0.3">
      <c r="A694" s="35"/>
      <c r="B694" s="35"/>
      <c r="C694" s="35"/>
      <c r="D694" s="35"/>
      <c r="E694" s="35"/>
      <c r="F694" s="35"/>
      <c r="G694" s="35"/>
      <c r="H694" s="234" t="s">
        <v>1600</v>
      </c>
      <c r="I694" s="306" t="s">
        <v>1601</v>
      </c>
      <c r="J694" s="234">
        <f t="shared" si="24"/>
        <v>1.0092620958683087</v>
      </c>
      <c r="K694" s="315">
        <f t="shared" si="25"/>
        <v>9.2194656860875562E-3</v>
      </c>
      <c r="L694" s="234"/>
      <c r="M694" s="234"/>
      <c r="N694" s="234"/>
      <c r="O694" s="234"/>
      <c r="P694" s="234"/>
      <c r="Q694" s="234"/>
      <c r="R694" s="234"/>
      <c r="S694" s="35"/>
      <c r="T694" s="35"/>
      <c r="U694" s="35"/>
      <c r="V694" s="35"/>
      <c r="W694" s="35"/>
      <c r="X694" s="35"/>
    </row>
    <row r="695" spans="1:24" ht="12.75" customHeight="1" x14ac:dyDescent="0.3">
      <c r="A695" s="35"/>
      <c r="B695" s="35"/>
      <c r="C695" s="35"/>
      <c r="D695" s="35"/>
      <c r="E695" s="35"/>
      <c r="F695" s="35"/>
      <c r="G695" s="35"/>
      <c r="H695" s="234" t="s">
        <v>1602</v>
      </c>
      <c r="I695" s="306" t="s">
        <v>1603</v>
      </c>
      <c r="J695" s="234">
        <f t="shared" si="24"/>
        <v>0.97710060765707785</v>
      </c>
      <c r="K695" s="315">
        <f t="shared" si="25"/>
        <v>-2.3165656133478183E-2</v>
      </c>
      <c r="L695" s="234"/>
      <c r="M695" s="234"/>
      <c r="N695" s="234"/>
      <c r="O695" s="234"/>
      <c r="P695" s="234"/>
      <c r="Q695" s="234"/>
      <c r="R695" s="234"/>
      <c r="S695" s="35"/>
      <c r="T695" s="35"/>
      <c r="U695" s="35"/>
      <c r="V695" s="35"/>
      <c r="W695" s="35"/>
      <c r="X695" s="35"/>
    </row>
    <row r="696" spans="1:24" ht="12.75" customHeight="1" x14ac:dyDescent="0.3">
      <c r="A696" s="35"/>
      <c r="B696" s="35"/>
      <c r="C696" s="35"/>
      <c r="D696" s="35"/>
      <c r="E696" s="35"/>
      <c r="F696" s="35"/>
      <c r="G696" s="35"/>
      <c r="H696" s="234" t="s">
        <v>1604</v>
      </c>
      <c r="I696" s="306" t="s">
        <v>1605</v>
      </c>
      <c r="J696" s="234">
        <f t="shared" si="24"/>
        <v>0.99230677835204661</v>
      </c>
      <c r="K696" s="315">
        <f t="shared" si="25"/>
        <v>-7.7229671349076422E-3</v>
      </c>
      <c r="L696" s="234"/>
      <c r="M696" s="234"/>
      <c r="N696" s="234"/>
      <c r="O696" s="234"/>
      <c r="P696" s="234"/>
      <c r="Q696" s="234"/>
      <c r="R696" s="234"/>
      <c r="S696" s="35"/>
      <c r="T696" s="35"/>
      <c r="U696" s="35"/>
      <c r="V696" s="35"/>
      <c r="W696" s="35"/>
      <c r="X696" s="35"/>
    </row>
    <row r="697" spans="1:24" ht="12.75" customHeight="1" x14ac:dyDescent="0.3">
      <c r="A697" s="35"/>
      <c r="B697" s="35"/>
      <c r="C697" s="35"/>
      <c r="D697" s="35"/>
      <c r="E697" s="35"/>
      <c r="F697" s="35"/>
      <c r="G697" s="35"/>
      <c r="H697" s="234" t="s">
        <v>1606</v>
      </c>
      <c r="I697" s="306" t="s">
        <v>1607</v>
      </c>
      <c r="J697" s="234">
        <f t="shared" si="24"/>
        <v>1.0007431408103207</v>
      </c>
      <c r="K697" s="315">
        <f t="shared" si="25"/>
        <v>7.4286481791437553E-4</v>
      </c>
      <c r="L697" s="234"/>
      <c r="M697" s="234"/>
      <c r="N697" s="234"/>
      <c r="O697" s="234"/>
      <c r="P697" s="234"/>
      <c r="Q697" s="234"/>
      <c r="R697" s="234"/>
      <c r="S697" s="35"/>
      <c r="T697" s="35"/>
      <c r="U697" s="35"/>
      <c r="V697" s="35"/>
      <c r="W697" s="35"/>
      <c r="X697" s="35"/>
    </row>
    <row r="698" spans="1:24" ht="12.75" customHeight="1" x14ac:dyDescent="0.3">
      <c r="A698" s="35"/>
      <c r="B698" s="35"/>
      <c r="C698" s="35"/>
      <c r="D698" s="35"/>
      <c r="E698" s="35"/>
      <c r="F698" s="35"/>
      <c r="G698" s="35"/>
      <c r="H698" s="234" t="s">
        <v>1608</v>
      </c>
      <c r="I698" s="306" t="s">
        <v>1609</v>
      </c>
      <c r="J698" s="234">
        <f t="shared" si="24"/>
        <v>0.98961581455550984</v>
      </c>
      <c r="K698" s="315">
        <f t="shared" si="25"/>
        <v>-1.0438477276184173E-2</v>
      </c>
      <c r="L698" s="234"/>
      <c r="M698" s="234"/>
      <c r="N698" s="234"/>
      <c r="O698" s="234"/>
      <c r="P698" s="234"/>
      <c r="Q698" s="234"/>
      <c r="R698" s="234"/>
      <c r="S698" s="35"/>
      <c r="T698" s="35"/>
      <c r="U698" s="35"/>
      <c r="V698" s="35"/>
      <c r="W698" s="35"/>
      <c r="X698" s="35"/>
    </row>
    <row r="699" spans="1:24" ht="12.75" customHeight="1" x14ac:dyDescent="0.3">
      <c r="A699" s="35"/>
      <c r="B699" s="35"/>
      <c r="C699" s="35"/>
      <c r="D699" s="35"/>
      <c r="E699" s="35"/>
      <c r="F699" s="35"/>
      <c r="G699" s="35"/>
      <c r="H699" s="234" t="s">
        <v>1610</v>
      </c>
      <c r="I699" s="306" t="s">
        <v>1611</v>
      </c>
      <c r="J699" s="234">
        <f t="shared" si="24"/>
        <v>0.98596206276466147</v>
      </c>
      <c r="K699" s="315">
        <f t="shared" si="25"/>
        <v>-1.4137401017627239E-2</v>
      </c>
      <c r="L699" s="234"/>
      <c r="M699" s="234"/>
      <c r="N699" s="234"/>
      <c r="O699" s="234"/>
      <c r="P699" s="234"/>
      <c r="Q699" s="234"/>
      <c r="R699" s="234"/>
      <c r="S699" s="35"/>
      <c r="T699" s="35"/>
      <c r="U699" s="35"/>
      <c r="V699" s="35"/>
      <c r="W699" s="35"/>
      <c r="X699" s="35"/>
    </row>
    <row r="700" spans="1:24" ht="12.75" customHeight="1" x14ac:dyDescent="0.3">
      <c r="A700" s="35"/>
      <c r="B700" s="35"/>
      <c r="C700" s="35"/>
      <c r="D700" s="35"/>
      <c r="E700" s="35"/>
      <c r="F700" s="35"/>
      <c r="G700" s="35"/>
      <c r="H700" s="234" t="s">
        <v>1612</v>
      </c>
      <c r="I700" s="306" t="s">
        <v>1613</v>
      </c>
      <c r="J700" s="234">
        <f t="shared" si="24"/>
        <v>1.0073137715103766</v>
      </c>
      <c r="K700" s="315">
        <f t="shared" si="25"/>
        <v>7.2871555799575638E-3</v>
      </c>
      <c r="L700" s="234"/>
      <c r="M700" s="234"/>
      <c r="N700" s="234"/>
      <c r="O700" s="234"/>
      <c r="P700" s="234"/>
      <c r="Q700" s="234"/>
      <c r="R700" s="234"/>
      <c r="S700" s="35"/>
      <c r="T700" s="35"/>
      <c r="U700" s="35"/>
      <c r="V700" s="35"/>
      <c r="W700" s="35"/>
      <c r="X700" s="35"/>
    </row>
    <row r="701" spans="1:24" ht="12.75" customHeight="1" x14ac:dyDescent="0.3">
      <c r="A701" s="35"/>
      <c r="B701" s="35"/>
      <c r="C701" s="35"/>
      <c r="D701" s="35"/>
      <c r="E701" s="35"/>
      <c r="F701" s="35"/>
      <c r="G701" s="35"/>
      <c r="H701" s="234" t="s">
        <v>1614</v>
      </c>
      <c r="I701" s="306" t="s">
        <v>1615</v>
      </c>
      <c r="J701" s="234">
        <f t="shared" si="24"/>
        <v>0.99760031089089674</v>
      </c>
      <c r="K701" s="315">
        <f t="shared" si="25"/>
        <v>-2.4025729775289891E-3</v>
      </c>
      <c r="L701" s="234"/>
      <c r="M701" s="234"/>
      <c r="N701" s="234"/>
      <c r="O701" s="234"/>
      <c r="P701" s="234"/>
      <c r="Q701" s="234"/>
      <c r="R701" s="234"/>
      <c r="S701" s="35"/>
      <c r="T701" s="35"/>
      <c r="U701" s="35"/>
      <c r="V701" s="35"/>
      <c r="W701" s="35"/>
      <c r="X701" s="35"/>
    </row>
    <row r="702" spans="1:24" ht="12.75" customHeight="1" x14ac:dyDescent="0.3">
      <c r="A702" s="35"/>
      <c r="B702" s="35"/>
      <c r="C702" s="35"/>
      <c r="D702" s="35"/>
      <c r="E702" s="35"/>
      <c r="F702" s="35"/>
      <c r="G702" s="35"/>
      <c r="H702" s="234" t="s">
        <v>1616</v>
      </c>
      <c r="I702" s="306" t="s">
        <v>1617</v>
      </c>
      <c r="J702" s="234">
        <f t="shared" si="24"/>
        <v>0.99814780694523908</v>
      </c>
      <c r="K702" s="315">
        <f t="shared" si="25"/>
        <v>-1.8539104853199234E-3</v>
      </c>
      <c r="L702" s="234"/>
      <c r="M702" s="234"/>
      <c r="N702" s="234"/>
      <c r="O702" s="234"/>
      <c r="P702" s="234"/>
      <c r="Q702" s="234"/>
      <c r="R702" s="234"/>
      <c r="S702" s="35"/>
      <c r="T702" s="35"/>
      <c r="U702" s="35"/>
      <c r="V702" s="35"/>
      <c r="W702" s="35"/>
      <c r="X702" s="35"/>
    </row>
    <row r="703" spans="1:24" ht="12.75" customHeight="1" x14ac:dyDescent="0.3">
      <c r="A703" s="35"/>
      <c r="B703" s="35"/>
      <c r="C703" s="35"/>
      <c r="D703" s="35"/>
      <c r="E703" s="35"/>
      <c r="F703" s="35"/>
      <c r="G703" s="35"/>
      <c r="H703" s="234" t="s">
        <v>1618</v>
      </c>
      <c r="I703" s="306" t="s">
        <v>1619</v>
      </c>
      <c r="J703" s="234">
        <f t="shared" si="24"/>
        <v>0.99529959076519192</v>
      </c>
      <c r="K703" s="315">
        <f t="shared" si="25"/>
        <v>-4.7114908974980763E-3</v>
      </c>
      <c r="L703" s="234"/>
      <c r="M703" s="234"/>
      <c r="N703" s="234"/>
      <c r="O703" s="234"/>
      <c r="P703" s="234"/>
      <c r="Q703" s="234"/>
      <c r="R703" s="234"/>
      <c r="S703" s="35"/>
      <c r="T703" s="35"/>
      <c r="U703" s="35"/>
      <c r="V703" s="35"/>
      <c r="W703" s="35"/>
      <c r="X703" s="35"/>
    </row>
    <row r="704" spans="1:24" ht="12.75" customHeight="1" x14ac:dyDescent="0.3">
      <c r="A704" s="35"/>
      <c r="B704" s="35"/>
      <c r="C704" s="35"/>
      <c r="D704" s="35"/>
      <c r="E704" s="35"/>
      <c r="F704" s="35"/>
      <c r="G704" s="35"/>
      <c r="H704" s="234" t="s">
        <v>1620</v>
      </c>
      <c r="I704" s="306" t="s">
        <v>1621</v>
      </c>
      <c r="J704" s="234">
        <f t="shared" si="24"/>
        <v>0.98607608188748563</v>
      </c>
      <c r="K704" s="315">
        <f t="shared" si="25"/>
        <v>-1.4021765198654453E-2</v>
      </c>
      <c r="L704" s="234"/>
      <c r="M704" s="234"/>
      <c r="N704" s="234"/>
      <c r="O704" s="234"/>
      <c r="P704" s="234"/>
      <c r="Q704" s="234"/>
      <c r="R704" s="234"/>
      <c r="S704" s="35"/>
      <c r="T704" s="35"/>
      <c r="U704" s="35"/>
      <c r="V704" s="35"/>
      <c r="W704" s="35"/>
      <c r="X704" s="35"/>
    </row>
    <row r="705" spans="1:24" ht="12.75" customHeight="1" x14ac:dyDescent="0.3">
      <c r="A705" s="35"/>
      <c r="B705" s="35"/>
      <c r="C705" s="35"/>
      <c r="D705" s="35"/>
      <c r="E705" s="35"/>
      <c r="F705" s="35"/>
      <c r="G705" s="35"/>
      <c r="H705" s="234" t="s">
        <v>1622</v>
      </c>
      <c r="I705" s="306" t="s">
        <v>1623</v>
      </c>
      <c r="J705" s="234">
        <f t="shared" si="24"/>
        <v>0.98621175145485263</v>
      </c>
      <c r="K705" s="315">
        <f t="shared" si="25"/>
        <v>-1.3884189368912538E-2</v>
      </c>
      <c r="L705" s="234"/>
      <c r="M705" s="234"/>
      <c r="N705" s="234"/>
      <c r="O705" s="234"/>
      <c r="P705" s="234"/>
      <c r="Q705" s="234"/>
      <c r="R705" s="234"/>
      <c r="S705" s="35"/>
      <c r="T705" s="35"/>
      <c r="U705" s="35"/>
      <c r="V705" s="35"/>
      <c r="W705" s="35"/>
      <c r="X705" s="35"/>
    </row>
    <row r="706" spans="1:24" ht="12.75" customHeight="1" x14ac:dyDescent="0.3">
      <c r="A706" s="35"/>
      <c r="B706" s="35"/>
      <c r="C706" s="35"/>
      <c r="D706" s="35"/>
      <c r="E706" s="35"/>
      <c r="F706" s="35"/>
      <c r="G706" s="35"/>
      <c r="H706" s="234" t="s">
        <v>1624</v>
      </c>
      <c r="I706" s="306" t="s">
        <v>1625</v>
      </c>
      <c r="J706" s="234">
        <f t="shared" si="24"/>
        <v>1.0221821391564647</v>
      </c>
      <c r="K706" s="315">
        <f t="shared" si="25"/>
        <v>2.1939694255213867E-2</v>
      </c>
      <c r="L706" s="234"/>
      <c r="M706" s="234"/>
      <c r="N706" s="234"/>
      <c r="O706" s="234"/>
      <c r="P706" s="234"/>
      <c r="Q706" s="234"/>
      <c r="R706" s="234"/>
      <c r="S706" s="35"/>
      <c r="T706" s="35"/>
      <c r="U706" s="35"/>
      <c r="V706" s="35"/>
      <c r="W706" s="35"/>
      <c r="X706" s="35"/>
    </row>
    <row r="707" spans="1:24" ht="12.75" customHeight="1" x14ac:dyDescent="0.3">
      <c r="A707" s="35"/>
      <c r="B707" s="35"/>
      <c r="C707" s="35"/>
      <c r="D707" s="35"/>
      <c r="E707" s="35"/>
      <c r="F707" s="35"/>
      <c r="G707" s="35"/>
      <c r="H707" s="234" t="s">
        <v>1626</v>
      </c>
      <c r="I707" s="306" t="s">
        <v>1627</v>
      </c>
      <c r="J707" s="234">
        <f t="shared" si="24"/>
        <v>0.99549188156638013</v>
      </c>
      <c r="K707" s="315">
        <f t="shared" si="25"/>
        <v>-4.5183106428519125E-3</v>
      </c>
      <c r="L707" s="234"/>
      <c r="M707" s="234"/>
      <c r="N707" s="234"/>
      <c r="O707" s="234"/>
      <c r="P707" s="234"/>
      <c r="Q707" s="234"/>
      <c r="R707" s="234"/>
      <c r="S707" s="35"/>
      <c r="T707" s="35"/>
      <c r="U707" s="35"/>
      <c r="V707" s="35"/>
      <c r="W707" s="35"/>
      <c r="X707" s="35"/>
    </row>
    <row r="708" spans="1:24" ht="12.75" customHeight="1" x14ac:dyDescent="0.3">
      <c r="A708" s="35"/>
      <c r="B708" s="35"/>
      <c r="C708" s="35"/>
      <c r="D708" s="35"/>
      <c r="E708" s="35"/>
      <c r="F708" s="35"/>
      <c r="G708" s="35"/>
      <c r="H708" s="234" t="s">
        <v>1628</v>
      </c>
      <c r="I708" s="306" t="s">
        <v>1629</v>
      </c>
      <c r="J708" s="234">
        <f t="shared" si="24"/>
        <v>1.0080392817599768</v>
      </c>
      <c r="K708" s="315">
        <f t="shared" si="25"/>
        <v>8.0071388898431475E-3</v>
      </c>
      <c r="L708" s="234"/>
      <c r="M708" s="234"/>
      <c r="N708" s="234"/>
      <c r="O708" s="234"/>
      <c r="P708" s="234"/>
      <c r="Q708" s="234"/>
      <c r="R708" s="234"/>
      <c r="S708" s="35"/>
      <c r="T708" s="35"/>
      <c r="U708" s="35"/>
      <c r="V708" s="35"/>
      <c r="W708" s="35"/>
      <c r="X708" s="35"/>
    </row>
    <row r="709" spans="1:24" ht="12.75" customHeight="1" x14ac:dyDescent="0.3">
      <c r="A709" s="35"/>
      <c r="B709" s="35"/>
      <c r="C709" s="35"/>
      <c r="D709" s="35"/>
      <c r="E709" s="35"/>
      <c r="F709" s="35"/>
      <c r="G709" s="35"/>
      <c r="H709" s="234" t="s">
        <v>1630</v>
      </c>
      <c r="I709" s="306" t="s">
        <v>1631</v>
      </c>
      <c r="J709" s="234">
        <f t="shared" ref="J709:J772" si="26">I709/I710</f>
        <v>1.0052164992354296</v>
      </c>
      <c r="K709" s="315">
        <f t="shared" ref="K709:K772" si="27">LN(J709)</f>
        <v>5.2029404358304729E-3</v>
      </c>
      <c r="L709" s="234"/>
      <c r="M709" s="234"/>
      <c r="N709" s="234"/>
      <c r="O709" s="234"/>
      <c r="P709" s="234"/>
      <c r="Q709" s="234"/>
      <c r="R709" s="234"/>
      <c r="S709" s="35"/>
      <c r="T709" s="35"/>
      <c r="U709" s="35"/>
      <c r="V709" s="35"/>
      <c r="W709" s="35"/>
      <c r="X709" s="35"/>
    </row>
    <row r="710" spans="1:24" ht="12.75" customHeight="1" x14ac:dyDescent="0.3">
      <c r="A710" s="35"/>
      <c r="B710" s="35"/>
      <c r="C710" s="35"/>
      <c r="D710" s="35"/>
      <c r="E710" s="35"/>
      <c r="F710" s="35"/>
      <c r="G710" s="35"/>
      <c r="H710" s="234" t="s">
        <v>1632</v>
      </c>
      <c r="I710" s="306" t="s">
        <v>1633</v>
      </c>
      <c r="J710" s="234">
        <f t="shared" si="26"/>
        <v>0.98994970059880238</v>
      </c>
      <c r="K710" s="315">
        <f t="shared" si="27"/>
        <v>-1.0101144620202155E-2</v>
      </c>
      <c r="L710" s="234"/>
      <c r="M710" s="234"/>
      <c r="N710" s="234"/>
      <c r="O710" s="234"/>
      <c r="P710" s="234"/>
      <c r="Q710" s="234"/>
      <c r="R710" s="234"/>
      <c r="S710" s="35"/>
      <c r="T710" s="35"/>
      <c r="U710" s="35"/>
      <c r="V710" s="35"/>
      <c r="W710" s="35"/>
      <c r="X710" s="35"/>
    </row>
    <row r="711" spans="1:24" ht="12.75" customHeight="1" x14ac:dyDescent="0.3">
      <c r="A711" s="35"/>
      <c r="B711" s="35"/>
      <c r="C711" s="35"/>
      <c r="D711" s="35"/>
      <c r="E711" s="35"/>
      <c r="F711" s="35"/>
      <c r="G711" s="35"/>
      <c r="H711" s="234" t="s">
        <v>1634</v>
      </c>
      <c r="I711" s="306" t="s">
        <v>1635</v>
      </c>
      <c r="J711" s="234">
        <f t="shared" si="26"/>
        <v>0.99468232110013055</v>
      </c>
      <c r="K711" s="315">
        <f t="shared" si="27"/>
        <v>-5.3318680789972185E-3</v>
      </c>
      <c r="L711" s="234"/>
      <c r="M711" s="234"/>
      <c r="N711" s="234"/>
      <c r="O711" s="234"/>
      <c r="P711" s="234"/>
      <c r="Q711" s="234"/>
      <c r="R711" s="234"/>
      <c r="S711" s="35"/>
      <c r="T711" s="35"/>
      <c r="U711" s="35"/>
      <c r="V711" s="35"/>
      <c r="W711" s="35"/>
      <c r="X711" s="35"/>
    </row>
    <row r="712" spans="1:24" ht="12.75" customHeight="1" x14ac:dyDescent="0.3">
      <c r="A712" s="35"/>
      <c r="B712" s="35"/>
      <c r="C712" s="35"/>
      <c r="D712" s="35"/>
      <c r="E712" s="35"/>
      <c r="F712" s="35"/>
      <c r="G712" s="35"/>
      <c r="H712" s="234" t="s">
        <v>1636</v>
      </c>
      <c r="I712" s="306" t="s">
        <v>1637</v>
      </c>
      <c r="J712" s="234">
        <f t="shared" si="26"/>
        <v>0.99268726467750179</v>
      </c>
      <c r="K712" s="315">
        <f t="shared" si="27"/>
        <v>-7.3396044427613445E-3</v>
      </c>
      <c r="L712" s="234"/>
      <c r="M712" s="234"/>
      <c r="N712" s="234"/>
      <c r="O712" s="234"/>
      <c r="P712" s="234"/>
      <c r="Q712" s="234"/>
      <c r="R712" s="234"/>
      <c r="S712" s="35"/>
      <c r="T712" s="35"/>
      <c r="U712" s="35"/>
      <c r="V712" s="35"/>
      <c r="W712" s="35"/>
      <c r="X712" s="35"/>
    </row>
    <row r="713" spans="1:24" ht="12.75" customHeight="1" x14ac:dyDescent="0.3">
      <c r="A713" s="35"/>
      <c r="B713" s="35"/>
      <c r="C713" s="35"/>
      <c r="D713" s="35"/>
      <c r="E713" s="35"/>
      <c r="F713" s="35"/>
      <c r="G713" s="35"/>
      <c r="H713" s="234" t="s">
        <v>1638</v>
      </c>
      <c r="I713" s="306" t="s">
        <v>1639</v>
      </c>
      <c r="J713" s="234">
        <f t="shared" si="26"/>
        <v>0.99904543177672556</v>
      </c>
      <c r="K713" s="315">
        <f t="shared" si="27"/>
        <v>-9.5502411366296149E-4</v>
      </c>
      <c r="L713" s="234"/>
      <c r="M713" s="234"/>
      <c r="N713" s="234"/>
      <c r="O713" s="234"/>
      <c r="P713" s="234"/>
      <c r="Q713" s="234"/>
      <c r="R713" s="234"/>
      <c r="S713" s="35"/>
      <c r="T713" s="35"/>
      <c r="U713" s="35"/>
      <c r="V713" s="35"/>
      <c r="W713" s="35"/>
      <c r="X713" s="35"/>
    </row>
    <row r="714" spans="1:24" ht="12.75" customHeight="1" x14ac:dyDescent="0.3">
      <c r="A714" s="35"/>
      <c r="B714" s="35"/>
      <c r="C714" s="35"/>
      <c r="D714" s="35"/>
      <c r="E714" s="35"/>
      <c r="F714" s="35"/>
      <c r="G714" s="35"/>
      <c r="H714" s="234" t="s">
        <v>1640</v>
      </c>
      <c r="I714" s="306" t="s">
        <v>1641</v>
      </c>
      <c r="J714" s="234">
        <f t="shared" si="26"/>
        <v>0.98350095740923205</v>
      </c>
      <c r="K714" s="315">
        <f t="shared" si="27"/>
        <v>-1.6636667681985122E-2</v>
      </c>
      <c r="L714" s="234"/>
      <c r="M714" s="234"/>
      <c r="N714" s="234"/>
      <c r="O714" s="234"/>
      <c r="P714" s="234"/>
      <c r="Q714" s="234"/>
      <c r="R714" s="234"/>
      <c r="S714" s="35"/>
      <c r="T714" s="35"/>
      <c r="U714" s="35"/>
      <c r="V714" s="35"/>
      <c r="W714" s="35"/>
      <c r="X714" s="35"/>
    </row>
    <row r="715" spans="1:24" ht="12.75" customHeight="1" x14ac:dyDescent="0.3">
      <c r="A715" s="35"/>
      <c r="B715" s="35"/>
      <c r="C715" s="35"/>
      <c r="D715" s="35"/>
      <c r="E715" s="35"/>
      <c r="F715" s="35"/>
      <c r="G715" s="35"/>
      <c r="H715" s="234" t="s">
        <v>1642</v>
      </c>
      <c r="I715" s="306" t="s">
        <v>1643</v>
      </c>
      <c r="J715" s="234">
        <f t="shared" si="26"/>
        <v>1.0040129908914439</v>
      </c>
      <c r="K715" s="315">
        <f t="shared" si="27"/>
        <v>4.0049603207318648E-3</v>
      </c>
      <c r="L715" s="234"/>
      <c r="M715" s="234"/>
      <c r="N715" s="234"/>
      <c r="O715" s="234"/>
      <c r="P715" s="234"/>
      <c r="Q715" s="234"/>
      <c r="R715" s="234"/>
      <c r="S715" s="35"/>
      <c r="T715" s="35"/>
      <c r="U715" s="35"/>
      <c r="V715" s="35"/>
      <c r="W715" s="35"/>
      <c r="X715" s="35"/>
    </row>
    <row r="716" spans="1:24" ht="12.75" customHeight="1" x14ac:dyDescent="0.3">
      <c r="A716" s="35"/>
      <c r="B716" s="35"/>
      <c r="C716" s="35"/>
      <c r="D716" s="35"/>
      <c r="E716" s="35"/>
      <c r="F716" s="35"/>
      <c r="G716" s="35"/>
      <c r="H716" s="234" t="s">
        <v>1644</v>
      </c>
      <c r="I716" s="306" t="s">
        <v>1645</v>
      </c>
      <c r="J716" s="234">
        <f t="shared" si="26"/>
        <v>0.98147910674702765</v>
      </c>
      <c r="K716" s="315">
        <f t="shared" si="27"/>
        <v>-1.8694552555843923E-2</v>
      </c>
      <c r="L716" s="234"/>
      <c r="M716" s="234"/>
      <c r="N716" s="234"/>
      <c r="O716" s="234"/>
      <c r="P716" s="234"/>
      <c r="Q716" s="234"/>
      <c r="R716" s="234"/>
      <c r="S716" s="35"/>
      <c r="T716" s="35"/>
      <c r="U716" s="35"/>
      <c r="V716" s="35"/>
      <c r="W716" s="35"/>
      <c r="X716" s="35"/>
    </row>
    <row r="717" spans="1:24" ht="12.75" customHeight="1" x14ac:dyDescent="0.3">
      <c r="A717" s="35"/>
      <c r="B717" s="35"/>
      <c r="C717" s="35"/>
      <c r="D717" s="35"/>
      <c r="E717" s="35"/>
      <c r="F717" s="35"/>
      <c r="G717" s="35"/>
      <c r="H717" s="234" t="s">
        <v>1646</v>
      </c>
      <c r="I717" s="306" t="s">
        <v>1647</v>
      </c>
      <c r="J717" s="234">
        <f t="shared" si="26"/>
        <v>0.99302353080288519</v>
      </c>
      <c r="K717" s="315">
        <f t="shared" si="27"/>
        <v>-7.000918538083648E-3</v>
      </c>
      <c r="L717" s="234"/>
      <c r="M717" s="234"/>
      <c r="N717" s="234"/>
      <c r="O717" s="234"/>
      <c r="P717" s="234"/>
      <c r="Q717" s="234"/>
      <c r="R717" s="234"/>
      <c r="S717" s="35"/>
      <c r="T717" s="35"/>
      <c r="U717" s="35"/>
      <c r="V717" s="35"/>
      <c r="W717" s="35"/>
      <c r="X717" s="35"/>
    </row>
    <row r="718" spans="1:24" ht="12.75" customHeight="1" x14ac:dyDescent="0.3">
      <c r="A718" s="35"/>
      <c r="B718" s="35"/>
      <c r="C718" s="35"/>
      <c r="D718" s="35"/>
      <c r="E718" s="35"/>
      <c r="F718" s="35"/>
      <c r="G718" s="35"/>
      <c r="H718" s="234" t="s">
        <v>1648</v>
      </c>
      <c r="I718" s="306" t="s">
        <v>1649</v>
      </c>
      <c r="J718" s="234">
        <f t="shared" si="26"/>
        <v>1.0031204664276134</v>
      </c>
      <c r="K718" s="315">
        <f t="shared" si="27"/>
        <v>3.1156078769227886E-3</v>
      </c>
      <c r="L718" s="234"/>
      <c r="M718" s="234"/>
      <c r="N718" s="234"/>
      <c r="O718" s="234"/>
      <c r="P718" s="234"/>
      <c r="Q718" s="234"/>
      <c r="R718" s="234"/>
      <c r="S718" s="35"/>
      <c r="T718" s="35"/>
      <c r="U718" s="35"/>
      <c r="V718" s="35"/>
      <c r="W718" s="35"/>
      <c r="X718" s="35"/>
    </row>
    <row r="719" spans="1:24" ht="12.75" customHeight="1" x14ac:dyDescent="0.3">
      <c r="A719" s="35"/>
      <c r="B719" s="35"/>
      <c r="C719" s="35"/>
      <c r="D719" s="35"/>
      <c r="E719" s="35"/>
      <c r="F719" s="35"/>
      <c r="G719" s="35"/>
      <c r="H719" s="234" t="s">
        <v>1650</v>
      </c>
      <c r="I719" s="306" t="s">
        <v>1651</v>
      </c>
      <c r="J719" s="234">
        <f t="shared" si="26"/>
        <v>1.0162263906016746</v>
      </c>
      <c r="K719" s="315">
        <f t="shared" si="27"/>
        <v>1.6096149729748023E-2</v>
      </c>
      <c r="L719" s="234"/>
      <c r="M719" s="234"/>
      <c r="N719" s="234"/>
      <c r="O719" s="234"/>
      <c r="P719" s="234"/>
      <c r="Q719" s="234"/>
      <c r="R719" s="234"/>
      <c r="S719" s="35"/>
      <c r="T719" s="35"/>
      <c r="U719" s="35"/>
      <c r="V719" s="35"/>
      <c r="W719" s="35"/>
      <c r="X719" s="35"/>
    </row>
    <row r="720" spans="1:24" ht="12.75" customHeight="1" x14ac:dyDescent="0.3">
      <c r="A720" s="35"/>
      <c r="B720" s="35"/>
      <c r="C720" s="35"/>
      <c r="D720" s="35"/>
      <c r="E720" s="35"/>
      <c r="F720" s="35"/>
      <c r="G720" s="35"/>
      <c r="H720" s="234" t="s">
        <v>1652</v>
      </c>
      <c r="I720" s="306" t="s">
        <v>1653</v>
      </c>
      <c r="J720" s="234">
        <f t="shared" si="26"/>
        <v>0.99090399581032529</v>
      </c>
      <c r="K720" s="315">
        <f t="shared" si="27"/>
        <v>-9.1376254192828393E-3</v>
      </c>
      <c r="L720" s="234"/>
      <c r="M720" s="234"/>
      <c r="N720" s="234"/>
      <c r="O720" s="234"/>
      <c r="P720" s="234"/>
      <c r="Q720" s="234"/>
      <c r="R720" s="234"/>
      <c r="S720" s="35"/>
      <c r="T720" s="35"/>
      <c r="U720" s="35"/>
      <c r="V720" s="35"/>
      <c r="W720" s="35"/>
      <c r="X720" s="35"/>
    </row>
    <row r="721" spans="1:24" ht="12.75" customHeight="1" x14ac:dyDescent="0.3">
      <c r="A721" s="35"/>
      <c r="B721" s="35"/>
      <c r="C721" s="35"/>
      <c r="D721" s="35"/>
      <c r="E721" s="35"/>
      <c r="F721" s="35"/>
      <c r="G721" s="35"/>
      <c r="H721" s="234" t="s">
        <v>1654</v>
      </c>
      <c r="I721" s="306" t="s">
        <v>1655</v>
      </c>
      <c r="J721" s="234">
        <f t="shared" si="26"/>
        <v>1.007078483261469</v>
      </c>
      <c r="K721" s="315">
        <f t="shared" si="27"/>
        <v>7.0535483970265668E-3</v>
      </c>
      <c r="L721" s="234"/>
      <c r="M721" s="234"/>
      <c r="N721" s="234"/>
      <c r="O721" s="234"/>
      <c r="P721" s="234"/>
      <c r="Q721" s="234"/>
      <c r="R721" s="234"/>
      <c r="S721" s="35"/>
      <c r="T721" s="35"/>
      <c r="U721" s="35"/>
      <c r="V721" s="35"/>
      <c r="W721" s="35"/>
      <c r="X721" s="35"/>
    </row>
    <row r="722" spans="1:24" ht="12.75" customHeight="1" x14ac:dyDescent="0.3">
      <c r="A722" s="35"/>
      <c r="B722" s="35"/>
      <c r="C722" s="35"/>
      <c r="D722" s="35"/>
      <c r="E722" s="35"/>
      <c r="F722" s="35"/>
      <c r="G722" s="35"/>
      <c r="H722" s="234" t="s">
        <v>1656</v>
      </c>
      <c r="I722" s="306" t="s">
        <v>1657</v>
      </c>
      <c r="J722" s="234">
        <f t="shared" si="26"/>
        <v>1.0006666543212164</v>
      </c>
      <c r="K722" s="315">
        <f t="shared" si="27"/>
        <v>6.6643220593496993E-4</v>
      </c>
      <c r="L722" s="234"/>
      <c r="M722" s="234"/>
      <c r="N722" s="234"/>
      <c r="O722" s="234"/>
      <c r="P722" s="234"/>
      <c r="Q722" s="234"/>
      <c r="R722" s="234"/>
      <c r="S722" s="35"/>
      <c r="T722" s="35"/>
      <c r="U722" s="35"/>
      <c r="V722" s="35"/>
      <c r="W722" s="35"/>
      <c r="X722" s="35"/>
    </row>
    <row r="723" spans="1:24" ht="12.75" customHeight="1" x14ac:dyDescent="0.3">
      <c r="A723" s="35"/>
      <c r="B723" s="35"/>
      <c r="C723" s="35"/>
      <c r="D723" s="35"/>
      <c r="E723" s="35"/>
      <c r="F723" s="35"/>
      <c r="G723" s="35"/>
      <c r="H723" s="234" t="s">
        <v>1658</v>
      </c>
      <c r="I723" s="306" t="s">
        <v>1659</v>
      </c>
      <c r="J723" s="234">
        <f t="shared" si="26"/>
        <v>0.98226498835855647</v>
      </c>
      <c r="K723" s="315">
        <f t="shared" si="27"/>
        <v>-1.7894161450462912E-2</v>
      </c>
      <c r="L723" s="234"/>
      <c r="M723" s="234"/>
      <c r="N723" s="234"/>
      <c r="O723" s="234"/>
      <c r="P723" s="234"/>
      <c r="Q723" s="234"/>
      <c r="R723" s="234"/>
      <c r="S723" s="35"/>
      <c r="T723" s="35"/>
      <c r="U723" s="35"/>
      <c r="V723" s="35"/>
      <c r="W723" s="35"/>
      <c r="X723" s="35"/>
    </row>
    <row r="724" spans="1:24" ht="12.75" customHeight="1" x14ac:dyDescent="0.3">
      <c r="A724" s="35"/>
      <c r="B724" s="35"/>
      <c r="C724" s="35"/>
      <c r="D724" s="35"/>
      <c r="E724" s="35"/>
      <c r="F724" s="35"/>
      <c r="G724" s="35"/>
      <c r="H724" s="234" t="s">
        <v>1660</v>
      </c>
      <c r="I724" s="306" t="s">
        <v>1661</v>
      </c>
      <c r="J724" s="234">
        <f t="shared" si="26"/>
        <v>1.0196602121819125</v>
      </c>
      <c r="K724" s="315">
        <f t="shared" si="27"/>
        <v>1.9469446485766862E-2</v>
      </c>
      <c r="L724" s="234"/>
      <c r="M724" s="234"/>
      <c r="N724" s="234"/>
      <c r="O724" s="234"/>
      <c r="P724" s="234"/>
      <c r="Q724" s="234"/>
      <c r="R724" s="234"/>
      <c r="S724" s="35"/>
      <c r="T724" s="35"/>
      <c r="U724" s="35"/>
      <c r="V724" s="35"/>
      <c r="W724" s="35"/>
      <c r="X724" s="35"/>
    </row>
    <row r="725" spans="1:24" ht="12.75" customHeight="1" x14ac:dyDescent="0.3">
      <c r="A725" s="35"/>
      <c r="B725" s="35"/>
      <c r="C725" s="35"/>
      <c r="D725" s="35"/>
      <c r="E725" s="35"/>
      <c r="F725" s="35"/>
      <c r="G725" s="35"/>
      <c r="H725" s="234" t="s">
        <v>1662</v>
      </c>
      <c r="I725" s="306" t="s">
        <v>1663</v>
      </c>
      <c r="J725" s="234">
        <f t="shared" si="26"/>
        <v>0.99176837400093809</v>
      </c>
      <c r="K725" s="315">
        <f t="shared" si="27"/>
        <v>-8.2656929118880666E-3</v>
      </c>
      <c r="L725" s="234"/>
      <c r="M725" s="234"/>
      <c r="N725" s="234"/>
      <c r="O725" s="234"/>
      <c r="P725" s="234"/>
      <c r="Q725" s="234"/>
      <c r="R725" s="234"/>
      <c r="S725" s="35"/>
      <c r="T725" s="35"/>
      <c r="U725" s="35"/>
      <c r="V725" s="35"/>
      <c r="W725" s="35"/>
      <c r="X725" s="35"/>
    </row>
    <row r="726" spans="1:24" ht="12.75" customHeight="1" x14ac:dyDescent="0.3">
      <c r="A726" s="35"/>
      <c r="B726" s="35"/>
      <c r="C726" s="35"/>
      <c r="D726" s="35"/>
      <c r="E726" s="35"/>
      <c r="F726" s="35"/>
      <c r="G726" s="35"/>
      <c r="H726" s="234" t="s">
        <v>1664</v>
      </c>
      <c r="I726" s="306" t="s">
        <v>1665</v>
      </c>
      <c r="J726" s="234">
        <f t="shared" si="26"/>
        <v>1.0019259477690337</v>
      </c>
      <c r="K726" s="315">
        <f t="shared" si="27"/>
        <v>1.9240955094845897E-3</v>
      </c>
      <c r="L726" s="234"/>
      <c r="M726" s="234"/>
      <c r="N726" s="234"/>
      <c r="O726" s="234"/>
      <c r="P726" s="234"/>
      <c r="Q726" s="234"/>
      <c r="R726" s="234"/>
      <c r="S726" s="35"/>
      <c r="T726" s="35"/>
      <c r="U726" s="35"/>
      <c r="V726" s="35"/>
      <c r="W726" s="35"/>
      <c r="X726" s="35"/>
    </row>
    <row r="727" spans="1:24" ht="12.75" customHeight="1" x14ac:dyDescent="0.3">
      <c r="A727" s="35"/>
      <c r="B727" s="35"/>
      <c r="C727" s="35"/>
      <c r="D727" s="35"/>
      <c r="E727" s="35"/>
      <c r="F727" s="35"/>
      <c r="G727" s="35"/>
      <c r="H727" s="234" t="s">
        <v>1666</v>
      </c>
      <c r="I727" s="306" t="s">
        <v>1667</v>
      </c>
      <c r="J727" s="234">
        <f t="shared" si="26"/>
        <v>0.9852643429785457</v>
      </c>
      <c r="K727" s="315">
        <f t="shared" si="27"/>
        <v>-1.4845305308296459E-2</v>
      </c>
      <c r="L727" s="234"/>
      <c r="M727" s="234"/>
      <c r="N727" s="234"/>
      <c r="O727" s="234"/>
      <c r="P727" s="234"/>
      <c r="Q727" s="234"/>
      <c r="R727" s="234"/>
      <c r="S727" s="35"/>
      <c r="T727" s="35"/>
      <c r="U727" s="35"/>
      <c r="V727" s="35"/>
      <c r="W727" s="35"/>
      <c r="X727" s="35"/>
    </row>
    <row r="728" spans="1:24" ht="12.75" customHeight="1" x14ac:dyDescent="0.3">
      <c r="A728" s="35"/>
      <c r="B728" s="35"/>
      <c r="C728" s="35"/>
      <c r="D728" s="35"/>
      <c r="E728" s="35"/>
      <c r="F728" s="35"/>
      <c r="G728" s="35"/>
      <c r="H728" s="234" t="s">
        <v>1668</v>
      </c>
      <c r="I728" s="306" t="s">
        <v>1669</v>
      </c>
      <c r="J728" s="234">
        <f t="shared" si="26"/>
        <v>0.98277000499678779</v>
      </c>
      <c r="K728" s="315">
        <f t="shared" si="27"/>
        <v>-1.7380158747144405E-2</v>
      </c>
      <c r="L728" s="234"/>
      <c r="M728" s="234"/>
      <c r="N728" s="234"/>
      <c r="O728" s="234"/>
      <c r="P728" s="234"/>
      <c r="Q728" s="234"/>
      <c r="R728" s="234"/>
      <c r="S728" s="35"/>
      <c r="T728" s="35"/>
      <c r="U728" s="35"/>
      <c r="V728" s="35"/>
      <c r="W728" s="35"/>
      <c r="X728" s="35"/>
    </row>
    <row r="729" spans="1:24" ht="12.75" customHeight="1" x14ac:dyDescent="0.3">
      <c r="A729" s="35"/>
      <c r="B729" s="35"/>
      <c r="C729" s="35"/>
      <c r="D729" s="35"/>
      <c r="E729" s="35"/>
      <c r="F729" s="35"/>
      <c r="G729" s="35"/>
      <c r="H729" s="234" t="s">
        <v>1670</v>
      </c>
      <c r="I729" s="306" t="s">
        <v>1671</v>
      </c>
      <c r="J729" s="234">
        <f t="shared" si="26"/>
        <v>0.98802785859120157</v>
      </c>
      <c r="K729" s="315">
        <f t="shared" si="27"/>
        <v>-1.2044384677138432E-2</v>
      </c>
      <c r="L729" s="234"/>
      <c r="M729" s="234"/>
      <c r="N729" s="234"/>
      <c r="O729" s="234"/>
      <c r="P729" s="234"/>
      <c r="Q729" s="234"/>
      <c r="R729" s="234"/>
      <c r="S729" s="35"/>
      <c r="T729" s="35"/>
      <c r="U729" s="35"/>
      <c r="V729" s="35"/>
      <c r="W729" s="35"/>
      <c r="X729" s="35"/>
    </row>
    <row r="730" spans="1:24" ht="12.75" customHeight="1" x14ac:dyDescent="0.3">
      <c r="A730" s="35"/>
      <c r="B730" s="35"/>
      <c r="C730" s="35"/>
      <c r="D730" s="35"/>
      <c r="E730" s="35"/>
      <c r="F730" s="35"/>
      <c r="G730" s="35"/>
      <c r="H730" s="234" t="s">
        <v>1672</v>
      </c>
      <c r="I730" s="306" t="s">
        <v>1338</v>
      </c>
      <c r="J730" s="234">
        <f t="shared" si="26"/>
        <v>1.0103052381249276</v>
      </c>
      <c r="K730" s="315">
        <f t="shared" si="27"/>
        <v>1.0252501160396893E-2</v>
      </c>
      <c r="L730" s="234"/>
      <c r="M730" s="234"/>
      <c r="N730" s="234"/>
      <c r="O730" s="234"/>
      <c r="P730" s="234"/>
      <c r="Q730" s="234"/>
      <c r="R730" s="234"/>
      <c r="S730" s="35"/>
      <c r="T730" s="35"/>
      <c r="U730" s="35"/>
      <c r="V730" s="35"/>
      <c r="W730" s="35"/>
      <c r="X730" s="35"/>
    </row>
    <row r="731" spans="1:24" ht="12.75" customHeight="1" x14ac:dyDescent="0.3">
      <c r="A731" s="35"/>
      <c r="B731" s="35"/>
      <c r="C731" s="35"/>
      <c r="D731" s="35"/>
      <c r="E731" s="35"/>
      <c r="F731" s="35"/>
      <c r="G731" s="35"/>
      <c r="H731" s="234" t="s">
        <v>1673</v>
      </c>
      <c r="I731" s="306" t="s">
        <v>1674</v>
      </c>
      <c r="J731" s="234">
        <f t="shared" si="26"/>
        <v>0.99959045219419684</v>
      </c>
      <c r="K731" s="315">
        <f t="shared" si="27"/>
        <v>-4.0963169341054782E-4</v>
      </c>
      <c r="L731" s="234"/>
      <c r="M731" s="234"/>
      <c r="N731" s="234"/>
      <c r="O731" s="234"/>
      <c r="P731" s="234"/>
      <c r="Q731" s="234"/>
      <c r="R731" s="234"/>
      <c r="S731" s="35"/>
      <c r="T731" s="35"/>
      <c r="U731" s="35"/>
      <c r="V731" s="35"/>
      <c r="W731" s="35"/>
      <c r="X731" s="35"/>
    </row>
    <row r="732" spans="1:24" ht="12.75" customHeight="1" x14ac:dyDescent="0.3">
      <c r="A732" s="35"/>
      <c r="B732" s="35"/>
      <c r="C732" s="35"/>
      <c r="D732" s="35"/>
      <c r="E732" s="35"/>
      <c r="F732" s="35"/>
      <c r="G732" s="35"/>
      <c r="H732" s="234" t="s">
        <v>1675</v>
      </c>
      <c r="I732" s="306" t="s">
        <v>1676</v>
      </c>
      <c r="J732" s="234">
        <f t="shared" si="26"/>
        <v>0.98371840459633209</v>
      </c>
      <c r="K732" s="315">
        <f t="shared" si="27"/>
        <v>-1.641559707625059E-2</v>
      </c>
      <c r="L732" s="234"/>
      <c r="M732" s="234"/>
      <c r="N732" s="234"/>
      <c r="O732" s="234"/>
      <c r="P732" s="234"/>
      <c r="Q732" s="234"/>
      <c r="R732" s="234"/>
      <c r="S732" s="35"/>
      <c r="T732" s="35"/>
      <c r="U732" s="35"/>
      <c r="V732" s="35"/>
      <c r="W732" s="35"/>
      <c r="X732" s="35"/>
    </row>
    <row r="733" spans="1:24" ht="12.75" customHeight="1" x14ac:dyDescent="0.3">
      <c r="A733" s="35"/>
      <c r="B733" s="35"/>
      <c r="C733" s="35"/>
      <c r="D733" s="35"/>
      <c r="E733" s="35"/>
      <c r="F733" s="35"/>
      <c r="G733" s="35"/>
      <c r="H733" s="234" t="s">
        <v>1677</v>
      </c>
      <c r="I733" s="306" t="s">
        <v>1678</v>
      </c>
      <c r="J733" s="234">
        <f t="shared" si="26"/>
        <v>0.99918614521619653</v>
      </c>
      <c r="K733" s="315">
        <f t="shared" si="27"/>
        <v>-8.1418614340595958E-4</v>
      </c>
      <c r="L733" s="234"/>
      <c r="M733" s="234"/>
      <c r="N733" s="234"/>
      <c r="O733" s="234"/>
      <c r="P733" s="234"/>
      <c r="Q733" s="234"/>
      <c r="R733" s="234"/>
      <c r="S733" s="35"/>
      <c r="T733" s="35"/>
      <c r="U733" s="35"/>
      <c r="V733" s="35"/>
      <c r="W733" s="35"/>
      <c r="X733" s="35"/>
    </row>
    <row r="734" spans="1:24" ht="12.75" customHeight="1" x14ac:dyDescent="0.3">
      <c r="A734" s="35"/>
      <c r="B734" s="35"/>
      <c r="C734" s="35"/>
      <c r="D734" s="35"/>
      <c r="E734" s="35"/>
      <c r="F734" s="35"/>
      <c r="G734" s="35"/>
      <c r="H734" s="234" t="s">
        <v>1679</v>
      </c>
      <c r="I734" s="306" t="s">
        <v>1680</v>
      </c>
      <c r="J734" s="234">
        <f t="shared" si="26"/>
        <v>1.0109972750115015</v>
      </c>
      <c r="K734" s="315">
        <f t="shared" si="27"/>
        <v>1.0937244694940796E-2</v>
      </c>
      <c r="L734" s="234"/>
      <c r="M734" s="234"/>
      <c r="N734" s="234"/>
      <c r="O734" s="234"/>
      <c r="P734" s="234"/>
      <c r="Q734" s="234"/>
      <c r="R734" s="234"/>
      <c r="S734" s="35"/>
      <c r="T734" s="35"/>
      <c r="U734" s="35"/>
      <c r="V734" s="35"/>
      <c r="W734" s="35"/>
      <c r="X734" s="35"/>
    </row>
    <row r="735" spans="1:24" ht="12.75" customHeight="1" x14ac:dyDescent="0.3">
      <c r="A735" s="35"/>
      <c r="B735" s="35"/>
      <c r="C735" s="35"/>
      <c r="D735" s="35"/>
      <c r="E735" s="35"/>
      <c r="F735" s="35"/>
      <c r="G735" s="35"/>
      <c r="H735" s="234" t="s">
        <v>1681</v>
      </c>
      <c r="I735" s="306" t="s">
        <v>1682</v>
      </c>
      <c r="J735" s="234">
        <f t="shared" si="26"/>
        <v>1.0114724464410358</v>
      </c>
      <c r="K735" s="315">
        <f t="shared" si="27"/>
        <v>1.1407136959074358E-2</v>
      </c>
      <c r="L735" s="234"/>
      <c r="M735" s="234"/>
      <c r="N735" s="234"/>
      <c r="O735" s="234"/>
      <c r="P735" s="234"/>
      <c r="Q735" s="234"/>
      <c r="R735" s="234"/>
      <c r="S735" s="35"/>
      <c r="T735" s="35"/>
      <c r="U735" s="35"/>
      <c r="V735" s="35"/>
      <c r="W735" s="35"/>
      <c r="X735" s="35"/>
    </row>
    <row r="736" spans="1:24" ht="12.75" customHeight="1" x14ac:dyDescent="0.3">
      <c r="A736" s="35"/>
      <c r="B736" s="35"/>
      <c r="C736" s="35"/>
      <c r="D736" s="35"/>
      <c r="E736" s="35"/>
      <c r="F736" s="35"/>
      <c r="G736" s="35"/>
      <c r="H736" s="234" t="s">
        <v>1683</v>
      </c>
      <c r="I736" s="306" t="s">
        <v>1684</v>
      </c>
      <c r="J736" s="234">
        <f t="shared" si="26"/>
        <v>0.99736703528172721</v>
      </c>
      <c r="K736" s="315">
        <f t="shared" si="27"/>
        <v>-2.63643706626234E-3</v>
      </c>
      <c r="L736" s="234"/>
      <c r="M736" s="234"/>
      <c r="N736" s="234"/>
      <c r="O736" s="234"/>
      <c r="P736" s="234"/>
      <c r="Q736" s="234"/>
      <c r="R736" s="234"/>
      <c r="S736" s="35"/>
      <c r="T736" s="35"/>
      <c r="U736" s="35"/>
      <c r="V736" s="35"/>
      <c r="W736" s="35"/>
      <c r="X736" s="35"/>
    </row>
    <row r="737" spans="1:24" ht="12.75" customHeight="1" x14ac:dyDescent="0.3">
      <c r="A737" s="35"/>
      <c r="B737" s="35"/>
      <c r="C737" s="35"/>
      <c r="D737" s="35"/>
      <c r="E737" s="35"/>
      <c r="F737" s="35"/>
      <c r="G737" s="35"/>
      <c r="H737" s="234" t="s">
        <v>1685</v>
      </c>
      <c r="I737" s="306" t="s">
        <v>1686</v>
      </c>
      <c r="J737" s="234">
        <f t="shared" si="26"/>
        <v>0.9921981544783125</v>
      </c>
      <c r="K737" s="315">
        <f t="shared" si="27"/>
        <v>-7.8324391468392752E-3</v>
      </c>
      <c r="L737" s="234"/>
      <c r="M737" s="234"/>
      <c r="N737" s="234"/>
      <c r="O737" s="234"/>
      <c r="P737" s="234"/>
      <c r="Q737" s="234"/>
      <c r="R737" s="234"/>
      <c r="S737" s="35"/>
      <c r="T737" s="35"/>
      <c r="U737" s="35"/>
      <c r="V737" s="35"/>
      <c r="W737" s="35"/>
      <c r="X737" s="35"/>
    </row>
    <row r="738" spans="1:24" ht="12.75" customHeight="1" x14ac:dyDescent="0.3">
      <c r="A738" s="35"/>
      <c r="B738" s="35"/>
      <c r="C738" s="35"/>
      <c r="D738" s="35"/>
      <c r="E738" s="35"/>
      <c r="F738" s="35"/>
      <c r="G738" s="35"/>
      <c r="H738" s="234" t="s">
        <v>1687</v>
      </c>
      <c r="I738" s="306" t="s">
        <v>1688</v>
      </c>
      <c r="J738" s="234">
        <f t="shared" si="26"/>
        <v>1.0062645363084683</v>
      </c>
      <c r="K738" s="315">
        <f t="shared" si="27"/>
        <v>6.2449956671314314E-3</v>
      </c>
      <c r="L738" s="234"/>
      <c r="M738" s="234"/>
      <c r="N738" s="234"/>
      <c r="O738" s="234"/>
      <c r="P738" s="234"/>
      <c r="Q738" s="234"/>
      <c r="R738" s="234"/>
      <c r="S738" s="35"/>
      <c r="T738" s="35"/>
      <c r="U738" s="35"/>
      <c r="V738" s="35"/>
      <c r="W738" s="35"/>
      <c r="X738" s="35"/>
    </row>
    <row r="739" spans="1:24" ht="12.75" customHeight="1" x14ac:dyDescent="0.3">
      <c r="A739" s="35"/>
      <c r="B739" s="35"/>
      <c r="C739" s="35"/>
      <c r="D739" s="35"/>
      <c r="E739" s="35"/>
      <c r="F739" s="35"/>
      <c r="G739" s="35"/>
      <c r="H739" s="234" t="s">
        <v>1689</v>
      </c>
      <c r="I739" s="306" t="s">
        <v>1690</v>
      </c>
      <c r="J739" s="234">
        <f t="shared" si="26"/>
        <v>1.0069722366791694</v>
      </c>
      <c r="K739" s="315">
        <f t="shared" si="27"/>
        <v>6.9480430278258173E-3</v>
      </c>
      <c r="L739" s="234"/>
      <c r="M739" s="234"/>
      <c r="N739" s="234"/>
      <c r="O739" s="234"/>
      <c r="P739" s="234"/>
      <c r="Q739" s="234"/>
      <c r="R739" s="234"/>
      <c r="S739" s="35"/>
      <c r="T739" s="35"/>
      <c r="U739" s="35"/>
      <c r="V739" s="35"/>
      <c r="W739" s="35"/>
      <c r="X739" s="35"/>
    </row>
    <row r="740" spans="1:24" ht="12.75" customHeight="1" x14ac:dyDescent="0.3">
      <c r="A740" s="35"/>
      <c r="B740" s="35"/>
      <c r="C740" s="35"/>
      <c r="D740" s="35"/>
      <c r="E740" s="35"/>
      <c r="F740" s="35"/>
      <c r="G740" s="35"/>
      <c r="H740" s="234" t="s">
        <v>1691</v>
      </c>
      <c r="I740" s="306" t="s">
        <v>1692</v>
      </c>
      <c r="J740" s="234">
        <f t="shared" si="26"/>
        <v>1.0204003149779333</v>
      </c>
      <c r="K740" s="315">
        <f t="shared" si="27"/>
        <v>2.019501596631568E-2</v>
      </c>
      <c r="L740" s="234"/>
      <c r="M740" s="234"/>
      <c r="N740" s="234"/>
      <c r="O740" s="234"/>
      <c r="P740" s="234"/>
      <c r="Q740" s="234"/>
      <c r="R740" s="234"/>
      <c r="S740" s="35"/>
      <c r="T740" s="35"/>
      <c r="U740" s="35"/>
      <c r="V740" s="35"/>
      <c r="W740" s="35"/>
      <c r="X740" s="35"/>
    </row>
    <row r="741" spans="1:24" ht="12.75" customHeight="1" x14ac:dyDescent="0.3">
      <c r="A741" s="35"/>
      <c r="B741" s="35"/>
      <c r="C741" s="35"/>
      <c r="D741" s="35"/>
      <c r="E741" s="35"/>
      <c r="F741" s="35"/>
      <c r="G741" s="35"/>
      <c r="H741" s="234" t="s">
        <v>1693</v>
      </c>
      <c r="I741" s="306" t="s">
        <v>1694</v>
      </c>
      <c r="J741" s="234">
        <f t="shared" si="26"/>
        <v>0.98472607927291089</v>
      </c>
      <c r="K741" s="315">
        <f t="shared" si="27"/>
        <v>-1.5391768593548809E-2</v>
      </c>
      <c r="L741" s="234"/>
      <c r="M741" s="234"/>
      <c r="N741" s="234"/>
      <c r="O741" s="234"/>
      <c r="P741" s="234"/>
      <c r="Q741" s="234"/>
      <c r="R741" s="234"/>
      <c r="S741" s="35"/>
      <c r="T741" s="35"/>
      <c r="U741" s="35"/>
      <c r="V741" s="35"/>
      <c r="W741" s="35"/>
      <c r="X741" s="35"/>
    </row>
    <row r="742" spans="1:24" ht="12.75" customHeight="1" x14ac:dyDescent="0.3">
      <c r="A742" s="35"/>
      <c r="B742" s="35"/>
      <c r="C742" s="35"/>
      <c r="D742" s="35"/>
      <c r="E742" s="35"/>
      <c r="F742" s="35"/>
      <c r="G742" s="35"/>
      <c r="H742" s="234" t="s">
        <v>1695</v>
      </c>
      <c r="I742" s="306" t="s">
        <v>1696</v>
      </c>
      <c r="J742" s="234">
        <f t="shared" si="26"/>
        <v>0.99164006687946493</v>
      </c>
      <c r="K742" s="315">
        <f t="shared" si="27"/>
        <v>-8.395073345093429E-3</v>
      </c>
      <c r="L742" s="234"/>
      <c r="M742" s="234"/>
      <c r="N742" s="234"/>
      <c r="O742" s="234"/>
      <c r="P742" s="234"/>
      <c r="Q742" s="234"/>
      <c r="R742" s="234"/>
      <c r="S742" s="35"/>
      <c r="T742" s="35"/>
      <c r="U742" s="35"/>
      <c r="V742" s="35"/>
      <c r="W742" s="35"/>
      <c r="X742" s="35"/>
    </row>
    <row r="743" spans="1:24" ht="12.75" customHeight="1" x14ac:dyDescent="0.3">
      <c r="A743" s="35"/>
      <c r="B743" s="35"/>
      <c r="C743" s="35"/>
      <c r="D743" s="35"/>
      <c r="E743" s="35"/>
      <c r="F743" s="35"/>
      <c r="G743" s="35"/>
      <c r="H743" s="234" t="s">
        <v>1697</v>
      </c>
      <c r="I743" s="306" t="s">
        <v>1698</v>
      </c>
      <c r="J743" s="234">
        <f t="shared" si="26"/>
        <v>0.99401862846172984</v>
      </c>
      <c r="K743" s="315">
        <f t="shared" si="27"/>
        <v>-5.9993315939987496E-3</v>
      </c>
      <c r="L743" s="234"/>
      <c r="M743" s="234"/>
      <c r="N743" s="234"/>
      <c r="O743" s="234"/>
      <c r="P743" s="234"/>
      <c r="Q743" s="234"/>
      <c r="R743" s="234"/>
      <c r="S743" s="35"/>
      <c r="T743" s="35"/>
      <c r="U743" s="35"/>
      <c r="V743" s="35"/>
      <c r="W743" s="35"/>
      <c r="X743" s="35"/>
    </row>
    <row r="744" spans="1:24" ht="12.75" customHeight="1" x14ac:dyDescent="0.3">
      <c r="A744" s="35"/>
      <c r="B744" s="35"/>
      <c r="C744" s="35"/>
      <c r="D744" s="35"/>
      <c r="E744" s="35"/>
      <c r="F744" s="35"/>
      <c r="G744" s="35"/>
      <c r="H744" s="234" t="s">
        <v>1699</v>
      </c>
      <c r="I744" s="306" t="s">
        <v>1700</v>
      </c>
      <c r="J744" s="234">
        <f t="shared" si="26"/>
        <v>1.0153407450187699</v>
      </c>
      <c r="K744" s="315">
        <f t="shared" si="27"/>
        <v>1.5224265534064221E-2</v>
      </c>
      <c r="L744" s="234"/>
      <c r="M744" s="234"/>
      <c r="N744" s="234"/>
      <c r="O744" s="234"/>
      <c r="P744" s="234"/>
      <c r="Q744" s="234"/>
      <c r="R744" s="234"/>
      <c r="S744" s="35"/>
      <c r="T744" s="35"/>
      <c r="U744" s="35"/>
      <c r="V744" s="35"/>
      <c r="W744" s="35"/>
      <c r="X744" s="35"/>
    </row>
    <row r="745" spans="1:24" ht="12.75" customHeight="1" x14ac:dyDescent="0.3">
      <c r="A745" s="35"/>
      <c r="B745" s="35"/>
      <c r="C745" s="35"/>
      <c r="D745" s="35"/>
      <c r="E745" s="35"/>
      <c r="F745" s="35"/>
      <c r="G745" s="35"/>
      <c r="H745" s="234" t="s">
        <v>1701</v>
      </c>
      <c r="I745" s="306" t="s">
        <v>1702</v>
      </c>
      <c r="J745" s="234">
        <f t="shared" si="26"/>
        <v>1.0154587689798311</v>
      </c>
      <c r="K745" s="315">
        <f t="shared" si="27"/>
        <v>1.534049952011801E-2</v>
      </c>
      <c r="L745" s="234"/>
      <c r="M745" s="234"/>
      <c r="N745" s="234"/>
      <c r="O745" s="234"/>
      <c r="P745" s="234"/>
      <c r="Q745" s="234"/>
      <c r="R745" s="234"/>
      <c r="S745" s="35"/>
      <c r="T745" s="35"/>
      <c r="U745" s="35"/>
      <c r="V745" s="35"/>
      <c r="W745" s="35"/>
      <c r="X745" s="35"/>
    </row>
    <row r="746" spans="1:24" ht="12.75" customHeight="1" x14ac:dyDescent="0.3">
      <c r="A746" s="35"/>
      <c r="B746" s="35"/>
      <c r="C746" s="35"/>
      <c r="D746" s="35"/>
      <c r="E746" s="35"/>
      <c r="F746" s="35"/>
      <c r="G746" s="35"/>
      <c r="H746" s="234" t="s">
        <v>1703</v>
      </c>
      <c r="I746" s="306" t="s">
        <v>1704</v>
      </c>
      <c r="J746" s="234">
        <f t="shared" si="26"/>
        <v>1.0015142615909842</v>
      </c>
      <c r="K746" s="315">
        <f t="shared" si="27"/>
        <v>1.5131162529830355E-3</v>
      </c>
      <c r="L746" s="234"/>
      <c r="M746" s="234"/>
      <c r="N746" s="234"/>
      <c r="O746" s="234"/>
      <c r="P746" s="234"/>
      <c r="Q746" s="234"/>
      <c r="R746" s="234"/>
      <c r="S746" s="35"/>
      <c r="T746" s="35"/>
      <c r="U746" s="35"/>
      <c r="V746" s="35"/>
      <c r="W746" s="35"/>
      <c r="X746" s="35"/>
    </row>
    <row r="747" spans="1:24" ht="12.75" customHeight="1" x14ac:dyDescent="0.3">
      <c r="A747" s="35"/>
      <c r="B747" s="35"/>
      <c r="C747" s="35"/>
      <c r="D747" s="35"/>
      <c r="E747" s="35"/>
      <c r="F747" s="35"/>
      <c r="G747" s="35"/>
      <c r="H747" s="234" t="s">
        <v>1705</v>
      </c>
      <c r="I747" s="306" t="s">
        <v>1706</v>
      </c>
      <c r="J747" s="234">
        <f t="shared" si="26"/>
        <v>1.0122814514780476</v>
      </c>
      <c r="K747" s="315">
        <f t="shared" si="27"/>
        <v>1.2206646307456727E-2</v>
      </c>
      <c r="L747" s="234"/>
      <c r="M747" s="234"/>
      <c r="N747" s="234"/>
      <c r="O747" s="234"/>
      <c r="P747" s="234"/>
      <c r="Q747" s="234"/>
      <c r="R747" s="234"/>
      <c r="S747" s="35"/>
      <c r="T747" s="35"/>
      <c r="U747" s="35"/>
      <c r="V747" s="35"/>
      <c r="W747" s="35"/>
      <c r="X747" s="35"/>
    </row>
    <row r="748" spans="1:24" ht="12.75" customHeight="1" x14ac:dyDescent="0.3">
      <c r="A748" s="35"/>
      <c r="B748" s="35"/>
      <c r="C748" s="35"/>
      <c r="D748" s="35"/>
      <c r="E748" s="35"/>
      <c r="F748" s="35"/>
      <c r="G748" s="35"/>
      <c r="H748" s="234" t="s">
        <v>1707</v>
      </c>
      <c r="I748" s="306" t="s">
        <v>1708</v>
      </c>
      <c r="J748" s="234">
        <f t="shared" si="26"/>
        <v>1.0218918508392192</v>
      </c>
      <c r="K748" s="315">
        <f t="shared" si="27"/>
        <v>2.1655665085410995E-2</v>
      </c>
      <c r="L748" s="234"/>
      <c r="M748" s="234"/>
      <c r="N748" s="234"/>
      <c r="O748" s="234"/>
      <c r="P748" s="234"/>
      <c r="Q748" s="234"/>
      <c r="R748" s="234"/>
      <c r="S748" s="35"/>
      <c r="T748" s="35"/>
      <c r="U748" s="35"/>
      <c r="V748" s="35"/>
      <c r="W748" s="35"/>
      <c r="X748" s="35"/>
    </row>
    <row r="749" spans="1:24" ht="12.75" customHeight="1" x14ac:dyDescent="0.3">
      <c r="A749" s="35"/>
      <c r="B749" s="35"/>
      <c r="C749" s="35"/>
      <c r="D749" s="35"/>
      <c r="E749" s="35"/>
      <c r="F749" s="35"/>
      <c r="G749" s="35"/>
      <c r="H749" s="234" t="s">
        <v>1709</v>
      </c>
      <c r="I749" s="306" t="s">
        <v>1710</v>
      </c>
      <c r="J749" s="234">
        <f t="shared" si="26"/>
        <v>1.011222364088435</v>
      </c>
      <c r="K749" s="315">
        <f t="shared" si="27"/>
        <v>1.1159860550816162E-2</v>
      </c>
      <c r="L749" s="234"/>
      <c r="M749" s="234"/>
      <c r="N749" s="234"/>
      <c r="O749" s="234"/>
      <c r="P749" s="234"/>
      <c r="Q749" s="234"/>
      <c r="R749" s="234"/>
      <c r="S749" s="35"/>
      <c r="T749" s="35"/>
      <c r="U749" s="35"/>
      <c r="V749" s="35"/>
      <c r="W749" s="35"/>
      <c r="X749" s="35"/>
    </row>
    <row r="750" spans="1:24" ht="12.75" customHeight="1" x14ac:dyDescent="0.3">
      <c r="A750" s="35"/>
      <c r="B750" s="35"/>
      <c r="C750" s="35"/>
      <c r="D750" s="35"/>
      <c r="E750" s="35"/>
      <c r="F750" s="35"/>
      <c r="G750" s="35"/>
      <c r="H750" s="234" t="s">
        <v>1711</v>
      </c>
      <c r="I750" s="306" t="s">
        <v>1712</v>
      </c>
      <c r="J750" s="234">
        <f t="shared" si="26"/>
        <v>0.97922483243558289</v>
      </c>
      <c r="K750" s="315">
        <f t="shared" si="27"/>
        <v>-2.0994007623673146E-2</v>
      </c>
      <c r="L750" s="234"/>
      <c r="M750" s="234"/>
      <c r="N750" s="234"/>
      <c r="O750" s="234"/>
      <c r="P750" s="234"/>
      <c r="Q750" s="234"/>
      <c r="R750" s="234"/>
      <c r="S750" s="35"/>
      <c r="T750" s="35"/>
      <c r="U750" s="35"/>
      <c r="V750" s="35"/>
      <c r="W750" s="35"/>
      <c r="X750" s="35"/>
    </row>
    <row r="751" spans="1:24" ht="12.75" customHeight="1" x14ac:dyDescent="0.3">
      <c r="A751" s="35"/>
      <c r="B751" s="35"/>
      <c r="C751" s="35"/>
      <c r="D751" s="35"/>
      <c r="E751" s="35"/>
      <c r="F751" s="35"/>
      <c r="G751" s="35"/>
      <c r="H751" s="234" t="s">
        <v>1713</v>
      </c>
      <c r="I751" s="306" t="s">
        <v>1714</v>
      </c>
      <c r="J751" s="234">
        <f t="shared" si="26"/>
        <v>0.96940784077861009</v>
      </c>
      <c r="K751" s="315">
        <f t="shared" si="27"/>
        <v>-3.1069867323594003E-2</v>
      </c>
      <c r="L751" s="234"/>
      <c r="M751" s="234"/>
      <c r="N751" s="234"/>
      <c r="O751" s="234"/>
      <c r="P751" s="234"/>
      <c r="Q751" s="234"/>
      <c r="R751" s="234"/>
      <c r="S751" s="35"/>
      <c r="T751" s="35"/>
      <c r="U751" s="35"/>
      <c r="V751" s="35"/>
      <c r="W751" s="35"/>
      <c r="X751" s="35"/>
    </row>
    <row r="752" spans="1:24" ht="12.75" customHeight="1" x14ac:dyDescent="0.3">
      <c r="A752" s="35"/>
      <c r="B752" s="35"/>
      <c r="C752" s="35"/>
      <c r="D752" s="35"/>
      <c r="E752" s="35"/>
      <c r="F752" s="35"/>
      <c r="G752" s="35"/>
      <c r="H752" s="234" t="s">
        <v>1715</v>
      </c>
      <c r="I752" s="306" t="s">
        <v>1716</v>
      </c>
      <c r="J752" s="234">
        <f t="shared" si="26"/>
        <v>0.99543710369476668</v>
      </c>
      <c r="K752" s="315">
        <f t="shared" si="27"/>
        <v>-4.5733380918797752E-3</v>
      </c>
      <c r="L752" s="234"/>
      <c r="M752" s="234"/>
      <c r="N752" s="234"/>
      <c r="O752" s="234"/>
      <c r="P752" s="234"/>
      <c r="Q752" s="234"/>
      <c r="R752" s="234"/>
      <c r="S752" s="35"/>
      <c r="T752" s="35"/>
      <c r="U752" s="35"/>
      <c r="V752" s="35"/>
      <c r="W752" s="35"/>
      <c r="X752" s="35"/>
    </row>
    <row r="753" spans="1:24" ht="12.75" customHeight="1" x14ac:dyDescent="0.3">
      <c r="A753" s="35"/>
      <c r="B753" s="35"/>
      <c r="C753" s="35"/>
      <c r="D753" s="35"/>
      <c r="E753" s="35"/>
      <c r="F753" s="35"/>
      <c r="G753" s="35"/>
      <c r="H753" s="234" t="s">
        <v>1717</v>
      </c>
      <c r="I753" s="306" t="s">
        <v>1718</v>
      </c>
      <c r="J753" s="234">
        <f t="shared" si="26"/>
        <v>1.0152793383558363</v>
      </c>
      <c r="K753" s="315">
        <f t="shared" si="27"/>
        <v>1.5163784833163925E-2</v>
      </c>
      <c r="L753" s="234"/>
      <c r="M753" s="234"/>
      <c r="N753" s="234"/>
      <c r="O753" s="234"/>
      <c r="P753" s="234"/>
      <c r="Q753" s="234"/>
      <c r="R753" s="234"/>
      <c r="S753" s="35"/>
      <c r="T753" s="35"/>
      <c r="U753" s="35"/>
      <c r="V753" s="35"/>
      <c r="W753" s="35"/>
      <c r="X753" s="35"/>
    </row>
    <row r="754" spans="1:24" ht="12.75" customHeight="1" x14ac:dyDescent="0.3">
      <c r="A754" s="35"/>
      <c r="B754" s="35"/>
      <c r="C754" s="35"/>
      <c r="D754" s="35"/>
      <c r="E754" s="35"/>
      <c r="F754" s="35"/>
      <c r="G754" s="35"/>
      <c r="H754" s="234" t="s">
        <v>1719</v>
      </c>
      <c r="I754" s="306" t="s">
        <v>1720</v>
      </c>
      <c r="J754" s="234">
        <f t="shared" si="26"/>
        <v>0.99851939046708171</v>
      </c>
      <c r="K754" s="315">
        <f t="shared" si="27"/>
        <v>-1.4817067183486403E-3</v>
      </c>
      <c r="L754" s="234"/>
      <c r="M754" s="234"/>
      <c r="N754" s="234"/>
      <c r="O754" s="234"/>
      <c r="P754" s="234"/>
      <c r="Q754" s="234"/>
      <c r="R754" s="234"/>
      <c r="S754" s="35"/>
      <c r="T754" s="35"/>
      <c r="U754" s="35"/>
      <c r="V754" s="35"/>
      <c r="W754" s="35"/>
      <c r="X754" s="35"/>
    </row>
    <row r="755" spans="1:24" ht="12.75" customHeight="1" x14ac:dyDescent="0.3">
      <c r="A755" s="35"/>
      <c r="B755" s="35"/>
      <c r="C755" s="35"/>
      <c r="D755" s="35"/>
      <c r="E755" s="35"/>
      <c r="F755" s="35"/>
      <c r="G755" s="35"/>
      <c r="H755" s="234" t="s">
        <v>1721</v>
      </c>
      <c r="I755" s="306" t="s">
        <v>1722</v>
      </c>
      <c r="J755" s="234">
        <f t="shared" si="26"/>
        <v>0.99124878075461031</v>
      </c>
      <c r="K755" s="315">
        <f t="shared" si="27"/>
        <v>-8.7897360417951015E-3</v>
      </c>
      <c r="L755" s="234"/>
      <c r="M755" s="234"/>
      <c r="N755" s="234"/>
      <c r="O755" s="234"/>
      <c r="P755" s="234"/>
      <c r="Q755" s="234"/>
      <c r="R755" s="234"/>
      <c r="S755" s="35"/>
      <c r="T755" s="35"/>
      <c r="U755" s="35"/>
      <c r="V755" s="35"/>
      <c r="W755" s="35"/>
      <c r="X755" s="35"/>
    </row>
    <row r="756" spans="1:24" ht="12.75" customHeight="1" x14ac:dyDescent="0.3">
      <c r="A756" s="35"/>
      <c r="B756" s="35"/>
      <c r="C756" s="35"/>
      <c r="D756" s="35"/>
      <c r="E756" s="35"/>
      <c r="F756" s="35"/>
      <c r="G756" s="35"/>
      <c r="H756" s="234" t="s">
        <v>1723</v>
      </c>
      <c r="I756" s="306" t="s">
        <v>1724</v>
      </c>
      <c r="J756" s="234">
        <f t="shared" si="26"/>
        <v>1.0199624367747695</v>
      </c>
      <c r="K756" s="315">
        <f t="shared" si="27"/>
        <v>1.9765799926658011E-2</v>
      </c>
      <c r="L756" s="234"/>
      <c r="M756" s="234"/>
      <c r="N756" s="234"/>
      <c r="O756" s="234"/>
      <c r="P756" s="234"/>
      <c r="Q756" s="234"/>
      <c r="R756" s="234"/>
      <c r="S756" s="35"/>
      <c r="T756" s="35"/>
      <c r="U756" s="35"/>
      <c r="V756" s="35"/>
      <c r="W756" s="35"/>
      <c r="X756" s="35"/>
    </row>
    <row r="757" spans="1:24" ht="12.75" customHeight="1" x14ac:dyDescent="0.3">
      <c r="A757" s="35"/>
      <c r="B757" s="35"/>
      <c r="C757" s="35"/>
      <c r="D757" s="35"/>
      <c r="E757" s="35"/>
      <c r="F757" s="35"/>
      <c r="G757" s="35"/>
      <c r="H757" s="234" t="s">
        <v>1725</v>
      </c>
      <c r="I757" s="306" t="s">
        <v>1726</v>
      </c>
      <c r="J757" s="234">
        <f t="shared" si="26"/>
        <v>1.0010797125730668</v>
      </c>
      <c r="K757" s="315">
        <f t="shared" si="27"/>
        <v>1.0791301026759747E-3</v>
      </c>
      <c r="L757" s="234"/>
      <c r="M757" s="234"/>
      <c r="N757" s="234"/>
      <c r="O757" s="234"/>
      <c r="P757" s="234"/>
      <c r="Q757" s="234"/>
      <c r="R757" s="234"/>
      <c r="S757" s="35"/>
      <c r="T757" s="35"/>
      <c r="U757" s="35"/>
      <c r="V757" s="35"/>
      <c r="W757" s="35"/>
      <c r="X757" s="35"/>
    </row>
    <row r="758" spans="1:24" ht="12.75" customHeight="1" x14ac:dyDescent="0.3">
      <c r="A758" s="35"/>
      <c r="B758" s="35"/>
      <c r="C758" s="35"/>
      <c r="D758" s="35"/>
      <c r="E758" s="35"/>
      <c r="F758" s="35"/>
      <c r="G758" s="35"/>
      <c r="H758" s="234" t="s">
        <v>1727</v>
      </c>
      <c r="I758" s="306" t="s">
        <v>1728</v>
      </c>
      <c r="J758" s="234">
        <f t="shared" si="26"/>
        <v>1.0053337824939643</v>
      </c>
      <c r="K758" s="315">
        <f t="shared" si="27"/>
        <v>5.3196082553161137E-3</v>
      </c>
      <c r="L758" s="234"/>
      <c r="M758" s="234"/>
      <c r="N758" s="234"/>
      <c r="O758" s="234"/>
      <c r="P758" s="234"/>
      <c r="Q758" s="234"/>
      <c r="R758" s="234"/>
      <c r="S758" s="35"/>
      <c r="T758" s="35"/>
      <c r="U758" s="35"/>
      <c r="V758" s="35"/>
      <c r="W758" s="35"/>
      <c r="X758" s="35"/>
    </row>
    <row r="759" spans="1:24" ht="12.75" customHeight="1" x14ac:dyDescent="0.3">
      <c r="A759" s="35"/>
      <c r="B759" s="35"/>
      <c r="C759" s="35"/>
      <c r="D759" s="35"/>
      <c r="E759" s="35"/>
      <c r="F759" s="35"/>
      <c r="G759" s="35"/>
      <c r="H759" s="234" t="s">
        <v>1729</v>
      </c>
      <c r="I759" s="306" t="s">
        <v>1730</v>
      </c>
      <c r="J759" s="234">
        <f t="shared" si="26"/>
        <v>1.0202978804659155</v>
      </c>
      <c r="K759" s="315">
        <f t="shared" si="27"/>
        <v>2.0094624333361354E-2</v>
      </c>
      <c r="L759" s="234"/>
      <c r="M759" s="234"/>
      <c r="N759" s="234"/>
      <c r="O759" s="234"/>
      <c r="P759" s="234"/>
      <c r="Q759" s="234"/>
      <c r="R759" s="234"/>
      <c r="S759" s="35"/>
      <c r="T759" s="35"/>
      <c r="U759" s="35"/>
      <c r="V759" s="35"/>
      <c r="W759" s="35"/>
      <c r="X759" s="35"/>
    </row>
    <row r="760" spans="1:24" ht="12.75" customHeight="1" x14ac:dyDescent="0.3">
      <c r="A760" s="35"/>
      <c r="B760" s="35"/>
      <c r="C760" s="35"/>
      <c r="D760" s="35"/>
      <c r="E760" s="35"/>
      <c r="F760" s="35"/>
      <c r="G760" s="35"/>
      <c r="H760" s="234" t="s">
        <v>1731</v>
      </c>
      <c r="I760" s="306" t="s">
        <v>1732</v>
      </c>
      <c r="J760" s="234">
        <f t="shared" si="26"/>
        <v>1.0182871698149893</v>
      </c>
      <c r="K760" s="315">
        <f t="shared" si="27"/>
        <v>1.8121970503997855E-2</v>
      </c>
      <c r="L760" s="234"/>
      <c r="M760" s="234"/>
      <c r="N760" s="234"/>
      <c r="O760" s="234"/>
      <c r="P760" s="234"/>
      <c r="Q760" s="234"/>
      <c r="R760" s="234"/>
      <c r="S760" s="35"/>
      <c r="T760" s="35"/>
      <c r="U760" s="35"/>
      <c r="V760" s="35"/>
      <c r="W760" s="35"/>
      <c r="X760" s="35"/>
    </row>
    <row r="761" spans="1:24" ht="12.75" customHeight="1" x14ac:dyDescent="0.3">
      <c r="A761" s="35"/>
      <c r="B761" s="35"/>
      <c r="C761" s="35"/>
      <c r="D761" s="35"/>
      <c r="E761" s="35"/>
      <c r="F761" s="35"/>
      <c r="G761" s="35"/>
      <c r="H761" s="234" t="s">
        <v>1733</v>
      </c>
      <c r="I761" s="306" t="s">
        <v>1734</v>
      </c>
      <c r="J761" s="234">
        <f t="shared" si="26"/>
        <v>0.99153628888439038</v>
      </c>
      <c r="K761" s="315">
        <f t="shared" si="27"/>
        <v>-8.4997317077929024E-3</v>
      </c>
      <c r="L761" s="234"/>
      <c r="M761" s="234"/>
      <c r="N761" s="234"/>
      <c r="O761" s="234"/>
      <c r="P761" s="234"/>
      <c r="Q761" s="234"/>
      <c r="R761" s="234"/>
      <c r="S761" s="35"/>
      <c r="T761" s="35"/>
      <c r="U761" s="35"/>
      <c r="V761" s="35"/>
      <c r="W761" s="35"/>
      <c r="X761" s="35"/>
    </row>
    <row r="762" spans="1:24" ht="12.75" customHeight="1" x14ac:dyDescent="0.3">
      <c r="A762" s="35"/>
      <c r="B762" s="35"/>
      <c r="C762" s="35"/>
      <c r="D762" s="35"/>
      <c r="E762" s="35"/>
      <c r="F762" s="35"/>
      <c r="G762" s="35"/>
      <c r="H762" s="234" t="s">
        <v>1735</v>
      </c>
      <c r="I762" s="306" t="s">
        <v>1736</v>
      </c>
      <c r="J762" s="234">
        <f t="shared" si="26"/>
        <v>0.99998072084751155</v>
      </c>
      <c r="K762" s="315">
        <f t="shared" si="27"/>
        <v>-1.9279338333698436E-5</v>
      </c>
      <c r="L762" s="234"/>
      <c r="M762" s="234"/>
      <c r="N762" s="234"/>
      <c r="O762" s="234"/>
      <c r="P762" s="234"/>
      <c r="Q762" s="234"/>
      <c r="R762" s="234"/>
      <c r="S762" s="35"/>
      <c r="T762" s="35"/>
      <c r="U762" s="35"/>
      <c r="V762" s="35"/>
      <c r="W762" s="35"/>
      <c r="X762" s="35"/>
    </row>
    <row r="763" spans="1:24" ht="12.75" customHeight="1" x14ac:dyDescent="0.3">
      <c r="A763" s="35"/>
      <c r="B763" s="35"/>
      <c r="C763" s="35"/>
      <c r="D763" s="35"/>
      <c r="E763" s="35"/>
      <c r="F763" s="35"/>
      <c r="G763" s="35"/>
      <c r="H763" s="234" t="s">
        <v>1737</v>
      </c>
      <c r="I763" s="306" t="s">
        <v>1738</v>
      </c>
      <c r="J763" s="234">
        <f t="shared" si="26"/>
        <v>1.0019606706845927</v>
      </c>
      <c r="K763" s="315">
        <f t="shared" si="27"/>
        <v>1.9587510785599805E-3</v>
      </c>
      <c r="L763" s="234"/>
      <c r="M763" s="234"/>
      <c r="N763" s="234"/>
      <c r="O763" s="234"/>
      <c r="P763" s="234"/>
      <c r="Q763" s="234"/>
      <c r="R763" s="234"/>
      <c r="S763" s="35"/>
      <c r="T763" s="35"/>
      <c r="U763" s="35"/>
      <c r="V763" s="35"/>
      <c r="W763" s="35"/>
      <c r="X763" s="35"/>
    </row>
    <row r="764" spans="1:24" ht="12.75" customHeight="1" x14ac:dyDescent="0.3">
      <c r="A764" s="35"/>
      <c r="B764" s="35"/>
      <c r="C764" s="35"/>
      <c r="D764" s="35"/>
      <c r="E764" s="35"/>
      <c r="F764" s="35"/>
      <c r="G764" s="35"/>
      <c r="H764" s="234" t="s">
        <v>1739</v>
      </c>
      <c r="I764" s="306" t="s">
        <v>1740</v>
      </c>
      <c r="J764" s="234">
        <f t="shared" si="26"/>
        <v>0.98282785134557882</v>
      </c>
      <c r="K764" s="315">
        <f t="shared" si="27"/>
        <v>-1.7321299964183207E-2</v>
      </c>
      <c r="L764" s="234"/>
      <c r="M764" s="234"/>
      <c r="N764" s="234"/>
      <c r="O764" s="234"/>
      <c r="P764" s="234"/>
      <c r="Q764" s="234"/>
      <c r="R764" s="234"/>
      <c r="S764" s="35"/>
      <c r="T764" s="35"/>
      <c r="U764" s="35"/>
      <c r="V764" s="35"/>
      <c r="W764" s="35"/>
      <c r="X764" s="35"/>
    </row>
    <row r="765" spans="1:24" ht="12.75" customHeight="1" x14ac:dyDescent="0.3">
      <c r="A765" s="35"/>
      <c r="B765" s="35"/>
      <c r="C765" s="35"/>
      <c r="D765" s="35"/>
      <c r="E765" s="35"/>
      <c r="F765" s="35"/>
      <c r="G765" s="35"/>
      <c r="H765" s="234" t="s">
        <v>1741</v>
      </c>
      <c r="I765" s="306" t="s">
        <v>1742</v>
      </c>
      <c r="J765" s="234">
        <f t="shared" si="26"/>
        <v>0.9797894306069681</v>
      </c>
      <c r="K765" s="315">
        <f t="shared" si="27"/>
        <v>-2.0417597132265496E-2</v>
      </c>
      <c r="L765" s="234"/>
      <c r="M765" s="234"/>
      <c r="N765" s="234"/>
      <c r="O765" s="234"/>
      <c r="P765" s="234"/>
      <c r="Q765" s="234"/>
      <c r="R765" s="234"/>
      <c r="S765" s="35"/>
      <c r="T765" s="35"/>
      <c r="U765" s="35"/>
      <c r="V765" s="35"/>
      <c r="W765" s="35"/>
      <c r="X765" s="35"/>
    </row>
    <row r="766" spans="1:24" ht="12.75" customHeight="1" x14ac:dyDescent="0.3">
      <c r="A766" s="35"/>
      <c r="B766" s="35"/>
      <c r="C766" s="35"/>
      <c r="D766" s="35"/>
      <c r="E766" s="35"/>
      <c r="F766" s="35"/>
      <c r="G766" s="35"/>
      <c r="H766" s="234" t="s">
        <v>1743</v>
      </c>
      <c r="I766" s="306" t="s">
        <v>1744</v>
      </c>
      <c r="J766" s="234">
        <f t="shared" si="26"/>
        <v>1.0024988344988346</v>
      </c>
      <c r="K766" s="315">
        <f t="shared" si="27"/>
        <v>2.4957176032326723E-3</v>
      </c>
      <c r="L766" s="234"/>
      <c r="M766" s="234"/>
      <c r="N766" s="234"/>
      <c r="O766" s="234"/>
      <c r="P766" s="234"/>
      <c r="Q766" s="234"/>
      <c r="R766" s="234"/>
      <c r="S766" s="35"/>
      <c r="T766" s="35"/>
      <c r="U766" s="35"/>
      <c r="V766" s="35"/>
      <c r="W766" s="35"/>
      <c r="X766" s="35"/>
    </row>
    <row r="767" spans="1:24" ht="12.75" customHeight="1" x14ac:dyDescent="0.3">
      <c r="A767" s="35"/>
      <c r="B767" s="35"/>
      <c r="C767" s="35"/>
      <c r="D767" s="35"/>
      <c r="E767" s="35"/>
      <c r="F767" s="35"/>
      <c r="G767" s="35"/>
      <c r="H767" s="234" t="s">
        <v>1745</v>
      </c>
      <c r="I767" s="306" t="s">
        <v>1746</v>
      </c>
      <c r="J767" s="234">
        <f t="shared" si="26"/>
        <v>0.98333149961491917</v>
      </c>
      <c r="K767" s="315">
        <f t="shared" si="27"/>
        <v>-1.6808983116507258E-2</v>
      </c>
      <c r="L767" s="234"/>
      <c r="M767" s="234"/>
      <c r="N767" s="234"/>
      <c r="O767" s="234"/>
      <c r="P767" s="234"/>
      <c r="Q767" s="234"/>
      <c r="R767" s="234"/>
      <c r="S767" s="35"/>
      <c r="T767" s="35"/>
      <c r="U767" s="35"/>
      <c r="V767" s="35"/>
      <c r="W767" s="35"/>
      <c r="X767" s="35"/>
    </row>
    <row r="768" spans="1:24" ht="12.75" customHeight="1" x14ac:dyDescent="0.3">
      <c r="A768" s="35"/>
      <c r="B768" s="35"/>
      <c r="C768" s="35"/>
      <c r="D768" s="35"/>
      <c r="E768" s="35"/>
      <c r="F768" s="35"/>
      <c r="G768" s="35"/>
      <c r="H768" s="234" t="s">
        <v>1747</v>
      </c>
      <c r="I768" s="306" t="s">
        <v>1748</v>
      </c>
      <c r="J768" s="234">
        <f t="shared" si="26"/>
        <v>0.98983555378081101</v>
      </c>
      <c r="K768" s="315">
        <f t="shared" si="27"/>
        <v>-1.0216456942955697E-2</v>
      </c>
      <c r="L768" s="234"/>
      <c r="M768" s="234"/>
      <c r="N768" s="234"/>
      <c r="O768" s="234"/>
      <c r="P768" s="234"/>
      <c r="Q768" s="234"/>
      <c r="R768" s="234"/>
      <c r="S768" s="35"/>
      <c r="T768" s="35"/>
      <c r="U768" s="35"/>
      <c r="V768" s="35"/>
      <c r="W768" s="35"/>
      <c r="X768" s="35"/>
    </row>
    <row r="769" spans="1:24" ht="12.75" customHeight="1" x14ac:dyDescent="0.3">
      <c r="A769" s="35"/>
      <c r="B769" s="35"/>
      <c r="C769" s="35"/>
      <c r="D769" s="35"/>
      <c r="E769" s="35"/>
      <c r="F769" s="35"/>
      <c r="G769" s="35"/>
      <c r="H769" s="234" t="s">
        <v>1749</v>
      </c>
      <c r="I769" s="306" t="s">
        <v>1750</v>
      </c>
      <c r="J769" s="234">
        <f t="shared" si="26"/>
        <v>1.0071753059788122</v>
      </c>
      <c r="K769" s="315">
        <f t="shared" si="27"/>
        <v>7.149685952219478E-3</v>
      </c>
      <c r="L769" s="234"/>
      <c r="M769" s="234"/>
      <c r="N769" s="234"/>
      <c r="O769" s="234"/>
      <c r="P769" s="234"/>
      <c r="Q769" s="234"/>
      <c r="R769" s="234"/>
      <c r="S769" s="35"/>
      <c r="T769" s="35"/>
      <c r="U769" s="35"/>
      <c r="V769" s="35"/>
      <c r="W769" s="35"/>
      <c r="X769" s="35"/>
    </row>
    <row r="770" spans="1:24" ht="12.75" customHeight="1" x14ac:dyDescent="0.3">
      <c r="A770" s="35"/>
      <c r="B770" s="35"/>
      <c r="C770" s="35"/>
      <c r="D770" s="35"/>
      <c r="E770" s="35"/>
      <c r="F770" s="35"/>
      <c r="G770" s="35"/>
      <c r="H770" s="234" t="s">
        <v>1751</v>
      </c>
      <c r="I770" s="306" t="s">
        <v>1752</v>
      </c>
      <c r="J770" s="234">
        <f t="shared" si="26"/>
        <v>0.97749325423062494</v>
      </c>
      <c r="K770" s="315">
        <f t="shared" si="27"/>
        <v>-2.2763888189267455E-2</v>
      </c>
      <c r="L770" s="234"/>
      <c r="M770" s="234"/>
      <c r="N770" s="234"/>
      <c r="O770" s="234"/>
      <c r="P770" s="234"/>
      <c r="Q770" s="234"/>
      <c r="R770" s="234"/>
      <c r="S770" s="35"/>
      <c r="T770" s="35"/>
      <c r="U770" s="35"/>
      <c r="V770" s="35"/>
      <c r="W770" s="35"/>
      <c r="X770" s="35"/>
    </row>
    <row r="771" spans="1:24" ht="12.75" customHeight="1" x14ac:dyDescent="0.3">
      <c r="A771" s="35"/>
      <c r="B771" s="35"/>
      <c r="C771" s="35"/>
      <c r="D771" s="35"/>
      <c r="E771" s="35"/>
      <c r="F771" s="35"/>
      <c r="G771" s="35"/>
      <c r="H771" s="234" t="s">
        <v>1753</v>
      </c>
      <c r="I771" s="306" t="s">
        <v>1754</v>
      </c>
      <c r="J771" s="234">
        <f t="shared" si="26"/>
        <v>1.0089789589456033</v>
      </c>
      <c r="K771" s="315">
        <f t="shared" si="27"/>
        <v>8.9388877800068503E-3</v>
      </c>
      <c r="L771" s="234"/>
      <c r="M771" s="234"/>
      <c r="N771" s="234"/>
      <c r="O771" s="234"/>
      <c r="P771" s="234"/>
      <c r="Q771" s="234"/>
      <c r="R771" s="234"/>
      <c r="S771" s="35"/>
      <c r="T771" s="35"/>
      <c r="U771" s="35"/>
      <c r="V771" s="35"/>
      <c r="W771" s="35"/>
      <c r="X771" s="35"/>
    </row>
    <row r="772" spans="1:24" ht="12.75" customHeight="1" x14ac:dyDescent="0.3">
      <c r="A772" s="35"/>
      <c r="B772" s="35"/>
      <c r="C772" s="35"/>
      <c r="D772" s="35"/>
      <c r="E772" s="35"/>
      <c r="F772" s="35"/>
      <c r="G772" s="35"/>
      <c r="H772" s="234" t="s">
        <v>1755</v>
      </c>
      <c r="I772" s="306" t="s">
        <v>1756</v>
      </c>
      <c r="J772" s="234">
        <f t="shared" si="26"/>
        <v>0.98619297824482788</v>
      </c>
      <c r="K772" s="315">
        <f t="shared" si="27"/>
        <v>-1.3903225228787171E-2</v>
      </c>
      <c r="L772" s="234"/>
      <c r="M772" s="234"/>
      <c r="N772" s="234"/>
      <c r="O772" s="234"/>
      <c r="P772" s="234"/>
      <c r="Q772" s="234"/>
      <c r="R772" s="234"/>
      <c r="S772" s="35"/>
      <c r="T772" s="35"/>
      <c r="U772" s="35"/>
      <c r="V772" s="35"/>
      <c r="W772" s="35"/>
      <c r="X772" s="35"/>
    </row>
    <row r="773" spans="1:24" ht="12.75" customHeight="1" x14ac:dyDescent="0.3">
      <c r="A773" s="35"/>
      <c r="B773" s="35"/>
      <c r="C773" s="35"/>
      <c r="D773" s="35"/>
      <c r="E773" s="35"/>
      <c r="F773" s="35"/>
      <c r="G773" s="35"/>
      <c r="H773" s="234" t="s">
        <v>1757</v>
      </c>
      <c r="I773" s="306" t="s">
        <v>1758</v>
      </c>
      <c r="J773" s="234">
        <f t="shared" ref="J773:J836" si="28">I773/I774</f>
        <v>1.0141466053556938</v>
      </c>
      <c r="K773" s="315">
        <f t="shared" ref="K773:K836" si="29">LN(J773)</f>
        <v>1.4047475936767275E-2</v>
      </c>
      <c r="L773" s="234"/>
      <c r="M773" s="234"/>
      <c r="N773" s="234"/>
      <c r="O773" s="234"/>
      <c r="P773" s="234"/>
      <c r="Q773" s="234"/>
      <c r="R773" s="234"/>
      <c r="S773" s="35"/>
      <c r="T773" s="35"/>
      <c r="U773" s="35"/>
      <c r="V773" s="35"/>
      <c r="W773" s="35"/>
      <c r="X773" s="35"/>
    </row>
    <row r="774" spans="1:24" ht="12.75" customHeight="1" x14ac:dyDescent="0.3">
      <c r="A774" s="35"/>
      <c r="B774" s="35"/>
      <c r="C774" s="35"/>
      <c r="D774" s="35"/>
      <c r="E774" s="35"/>
      <c r="F774" s="35"/>
      <c r="G774" s="35"/>
      <c r="H774" s="234" t="s">
        <v>1759</v>
      </c>
      <c r="I774" s="306" t="s">
        <v>1760</v>
      </c>
      <c r="J774" s="234">
        <f t="shared" si="28"/>
        <v>1.0195433151934108</v>
      </c>
      <c r="K774" s="315">
        <f t="shared" si="29"/>
        <v>1.9354796832546411E-2</v>
      </c>
      <c r="L774" s="234"/>
      <c r="M774" s="234"/>
      <c r="N774" s="234"/>
      <c r="O774" s="234"/>
      <c r="P774" s="234"/>
      <c r="Q774" s="234"/>
      <c r="R774" s="234"/>
      <c r="S774" s="35"/>
      <c r="T774" s="35"/>
      <c r="U774" s="35"/>
      <c r="V774" s="35"/>
      <c r="W774" s="35"/>
      <c r="X774" s="35"/>
    </row>
    <row r="775" spans="1:24" ht="12.75" customHeight="1" x14ac:dyDescent="0.3">
      <c r="A775" s="35"/>
      <c r="B775" s="35"/>
      <c r="C775" s="35"/>
      <c r="D775" s="35"/>
      <c r="E775" s="35"/>
      <c r="F775" s="35"/>
      <c r="G775" s="35"/>
      <c r="H775" s="234" t="s">
        <v>1761</v>
      </c>
      <c r="I775" s="306" t="s">
        <v>1762</v>
      </c>
      <c r="J775" s="234">
        <f t="shared" si="28"/>
        <v>0.99822898409756189</v>
      </c>
      <c r="K775" s="315">
        <f t="shared" si="29"/>
        <v>-1.7725860051598969E-3</v>
      </c>
      <c r="L775" s="234"/>
      <c r="M775" s="234"/>
      <c r="N775" s="234"/>
      <c r="O775" s="234"/>
      <c r="P775" s="234"/>
      <c r="Q775" s="234"/>
      <c r="R775" s="234"/>
      <c r="S775" s="35"/>
      <c r="T775" s="35"/>
      <c r="U775" s="35"/>
      <c r="V775" s="35"/>
      <c r="W775" s="35"/>
      <c r="X775" s="35"/>
    </row>
    <row r="776" spans="1:24" ht="12.75" customHeight="1" x14ac:dyDescent="0.3">
      <c r="A776" s="35"/>
      <c r="B776" s="35"/>
      <c r="C776" s="35"/>
      <c r="D776" s="35"/>
      <c r="E776" s="35"/>
      <c r="F776" s="35"/>
      <c r="G776" s="35"/>
      <c r="H776" s="234" t="s">
        <v>1763</v>
      </c>
      <c r="I776" s="306" t="s">
        <v>1764</v>
      </c>
      <c r="J776" s="234">
        <f t="shared" si="28"/>
        <v>0.97447934830234906</v>
      </c>
      <c r="K776" s="315">
        <f t="shared" si="29"/>
        <v>-2.5851952355178724E-2</v>
      </c>
      <c r="L776" s="234"/>
      <c r="M776" s="234"/>
      <c r="N776" s="234"/>
      <c r="O776" s="234"/>
      <c r="P776" s="234"/>
      <c r="Q776" s="234"/>
      <c r="R776" s="234"/>
      <c r="S776" s="35"/>
      <c r="T776" s="35"/>
      <c r="U776" s="35"/>
      <c r="V776" s="35"/>
      <c r="W776" s="35"/>
      <c r="X776" s="35"/>
    </row>
    <row r="777" spans="1:24" ht="12.75" customHeight="1" x14ac:dyDescent="0.3">
      <c r="A777" s="35"/>
      <c r="B777" s="35"/>
      <c r="C777" s="35"/>
      <c r="D777" s="35"/>
      <c r="E777" s="35"/>
      <c r="F777" s="35"/>
      <c r="G777" s="35"/>
      <c r="H777" s="234" t="s">
        <v>1765</v>
      </c>
      <c r="I777" s="306" t="s">
        <v>1766</v>
      </c>
      <c r="J777" s="234">
        <f t="shared" si="28"/>
        <v>1.0274240670304835</v>
      </c>
      <c r="K777" s="315">
        <f t="shared" si="29"/>
        <v>2.7054763957201966E-2</v>
      </c>
      <c r="L777" s="234"/>
      <c r="M777" s="234"/>
      <c r="N777" s="234"/>
      <c r="O777" s="234"/>
      <c r="P777" s="234"/>
      <c r="Q777" s="234"/>
      <c r="R777" s="234"/>
      <c r="S777" s="35"/>
      <c r="T777" s="35"/>
      <c r="U777" s="35"/>
      <c r="V777" s="35"/>
      <c r="W777" s="35"/>
      <c r="X777" s="35"/>
    </row>
    <row r="778" spans="1:24" ht="12.75" customHeight="1" x14ac:dyDescent="0.3">
      <c r="A778" s="35"/>
      <c r="B778" s="35"/>
      <c r="C778" s="35"/>
      <c r="D778" s="35"/>
      <c r="E778" s="35"/>
      <c r="F778" s="35"/>
      <c r="G778" s="35"/>
      <c r="H778" s="234" t="s">
        <v>1767</v>
      </c>
      <c r="I778" s="306" t="s">
        <v>1768</v>
      </c>
      <c r="J778" s="234">
        <f t="shared" si="28"/>
        <v>0.99825745625298068</v>
      </c>
      <c r="K778" s="315">
        <f t="shared" si="29"/>
        <v>-1.7440637424034099E-3</v>
      </c>
      <c r="L778" s="234"/>
      <c r="M778" s="234"/>
      <c r="N778" s="234"/>
      <c r="O778" s="234"/>
      <c r="P778" s="234"/>
      <c r="Q778" s="234"/>
      <c r="R778" s="234"/>
      <c r="S778" s="35"/>
      <c r="T778" s="35"/>
      <c r="U778" s="35"/>
      <c r="V778" s="35"/>
      <c r="W778" s="35"/>
      <c r="X778" s="35"/>
    </row>
    <row r="779" spans="1:24" ht="12.75" customHeight="1" x14ac:dyDescent="0.3">
      <c r="A779" s="35"/>
      <c r="B779" s="35"/>
      <c r="C779" s="35"/>
      <c r="D779" s="35"/>
      <c r="E779" s="35"/>
      <c r="F779" s="35"/>
      <c r="G779" s="35"/>
      <c r="H779" s="234" t="s">
        <v>1769</v>
      </c>
      <c r="I779" s="306" t="s">
        <v>1770</v>
      </c>
      <c r="J779" s="234">
        <f t="shared" si="28"/>
        <v>0.99349430523917992</v>
      </c>
      <c r="K779" s="315">
        <f t="shared" si="29"/>
        <v>-6.5269490256368076E-3</v>
      </c>
      <c r="L779" s="234"/>
      <c r="M779" s="234"/>
      <c r="N779" s="234"/>
      <c r="O779" s="234"/>
      <c r="P779" s="234"/>
      <c r="Q779" s="234"/>
      <c r="R779" s="234"/>
      <c r="S779" s="35"/>
      <c r="T779" s="35"/>
      <c r="U779" s="35"/>
      <c r="V779" s="35"/>
      <c r="W779" s="35"/>
      <c r="X779" s="35"/>
    </row>
    <row r="780" spans="1:24" ht="12.75" customHeight="1" x14ac:dyDescent="0.3">
      <c r="A780" s="35"/>
      <c r="B780" s="35"/>
      <c r="C780" s="35"/>
      <c r="D780" s="35"/>
      <c r="E780" s="35"/>
      <c r="F780" s="35"/>
      <c r="G780" s="35"/>
      <c r="H780" s="234" t="s">
        <v>1771</v>
      </c>
      <c r="I780" s="306" t="s">
        <v>1772</v>
      </c>
      <c r="J780" s="234">
        <f t="shared" si="28"/>
        <v>1.008101554175699</v>
      </c>
      <c r="K780" s="315">
        <f t="shared" si="29"/>
        <v>8.068912764596408E-3</v>
      </c>
      <c r="L780" s="234"/>
      <c r="M780" s="234"/>
      <c r="N780" s="234"/>
      <c r="O780" s="234"/>
      <c r="P780" s="234"/>
      <c r="Q780" s="234"/>
      <c r="R780" s="234"/>
      <c r="S780" s="35"/>
      <c r="T780" s="35"/>
      <c r="U780" s="35"/>
      <c r="V780" s="35"/>
      <c r="W780" s="35"/>
      <c r="X780" s="35"/>
    </row>
    <row r="781" spans="1:24" ht="12.75" customHeight="1" x14ac:dyDescent="0.3">
      <c r="A781" s="35"/>
      <c r="B781" s="35"/>
      <c r="C781" s="35"/>
      <c r="D781" s="35"/>
      <c r="E781" s="35"/>
      <c r="F781" s="35"/>
      <c r="G781" s="35"/>
      <c r="H781" s="234" t="s">
        <v>1773</v>
      </c>
      <c r="I781" s="306" t="s">
        <v>1774</v>
      </c>
      <c r="J781" s="234">
        <f t="shared" si="28"/>
        <v>0.99236140229340242</v>
      </c>
      <c r="K781" s="315">
        <f t="shared" si="29"/>
        <v>-7.6679212164994272E-3</v>
      </c>
      <c r="L781" s="234"/>
      <c r="M781" s="234"/>
      <c r="N781" s="234"/>
      <c r="O781" s="234"/>
      <c r="P781" s="234"/>
      <c r="Q781" s="234"/>
      <c r="R781" s="234"/>
      <c r="S781" s="35"/>
      <c r="T781" s="35"/>
      <c r="U781" s="35"/>
      <c r="V781" s="35"/>
      <c r="W781" s="35"/>
      <c r="X781" s="35"/>
    </row>
    <row r="782" spans="1:24" ht="12.75" customHeight="1" x14ac:dyDescent="0.3">
      <c r="A782" s="35"/>
      <c r="B782" s="35"/>
      <c r="C782" s="35"/>
      <c r="D782" s="35"/>
      <c r="E782" s="35"/>
      <c r="F782" s="35"/>
      <c r="G782" s="35"/>
      <c r="H782" s="234" t="s">
        <v>1775</v>
      </c>
      <c r="I782" s="306" t="s">
        <v>1776</v>
      </c>
      <c r="J782" s="234">
        <f t="shared" si="28"/>
        <v>0.9951469961266679</v>
      </c>
      <c r="K782" s="315">
        <f t="shared" si="29"/>
        <v>-4.8648179345840061E-3</v>
      </c>
      <c r="L782" s="234"/>
      <c r="M782" s="234"/>
      <c r="N782" s="234"/>
      <c r="O782" s="234"/>
      <c r="P782" s="234"/>
      <c r="Q782" s="234"/>
      <c r="R782" s="234"/>
      <c r="S782" s="35"/>
      <c r="T782" s="35"/>
      <c r="U782" s="35"/>
      <c r="V782" s="35"/>
      <c r="W782" s="35"/>
      <c r="X782" s="35"/>
    </row>
    <row r="783" spans="1:24" ht="12.75" customHeight="1" x14ac:dyDescent="0.3">
      <c r="A783" s="35"/>
      <c r="B783" s="35"/>
      <c r="C783" s="35"/>
      <c r="D783" s="35"/>
      <c r="E783" s="35"/>
      <c r="F783" s="35"/>
      <c r="G783" s="35"/>
      <c r="H783" s="234" t="s">
        <v>1777</v>
      </c>
      <c r="I783" s="306" t="s">
        <v>1778</v>
      </c>
      <c r="J783" s="234">
        <f t="shared" si="28"/>
        <v>0.97415301415619537</v>
      </c>
      <c r="K783" s="315">
        <f t="shared" si="29"/>
        <v>-2.618688895532089E-2</v>
      </c>
      <c r="L783" s="234"/>
      <c r="M783" s="234"/>
      <c r="N783" s="234"/>
      <c r="O783" s="234"/>
      <c r="P783" s="234"/>
      <c r="Q783" s="234"/>
      <c r="R783" s="234"/>
      <c r="S783" s="35"/>
      <c r="T783" s="35"/>
      <c r="U783" s="35"/>
      <c r="V783" s="35"/>
      <c r="W783" s="35"/>
      <c r="X783" s="35"/>
    </row>
    <row r="784" spans="1:24" ht="12.75" customHeight="1" x14ac:dyDescent="0.3">
      <c r="A784" s="35"/>
      <c r="B784" s="35"/>
      <c r="C784" s="35"/>
      <c r="D784" s="35"/>
      <c r="E784" s="35"/>
      <c r="F784" s="35"/>
      <c r="G784" s="35"/>
      <c r="H784" s="234" t="s">
        <v>1779</v>
      </c>
      <c r="I784" s="306" t="s">
        <v>1780</v>
      </c>
      <c r="J784" s="234">
        <f t="shared" si="28"/>
        <v>1.0081064709236032</v>
      </c>
      <c r="K784" s="315">
        <f t="shared" si="29"/>
        <v>8.0737899874255524E-3</v>
      </c>
      <c r="L784" s="234"/>
      <c r="M784" s="234"/>
      <c r="N784" s="234"/>
      <c r="O784" s="234"/>
      <c r="P784" s="234"/>
      <c r="Q784" s="234"/>
      <c r="R784" s="234"/>
      <c r="S784" s="35"/>
      <c r="T784" s="35"/>
      <c r="U784" s="35"/>
      <c r="V784" s="35"/>
      <c r="W784" s="35"/>
      <c r="X784" s="35"/>
    </row>
    <row r="785" spans="1:24" ht="12.75" customHeight="1" x14ac:dyDescent="0.3">
      <c r="A785" s="35"/>
      <c r="B785" s="35"/>
      <c r="C785" s="35"/>
      <c r="D785" s="35"/>
      <c r="E785" s="35"/>
      <c r="F785" s="35"/>
      <c r="G785" s="35"/>
      <c r="H785" s="234" t="s">
        <v>1781</v>
      </c>
      <c r="I785" s="306" t="s">
        <v>1782</v>
      </c>
      <c r="J785" s="234">
        <f t="shared" si="28"/>
        <v>1.022600774311091</v>
      </c>
      <c r="K785" s="315">
        <f t="shared" si="29"/>
        <v>2.2349160861882118E-2</v>
      </c>
      <c r="L785" s="234"/>
      <c r="M785" s="234"/>
      <c r="N785" s="234"/>
      <c r="O785" s="234"/>
      <c r="P785" s="234"/>
      <c r="Q785" s="234"/>
      <c r="R785" s="234"/>
      <c r="S785" s="35"/>
      <c r="T785" s="35"/>
      <c r="U785" s="35"/>
      <c r="V785" s="35"/>
      <c r="W785" s="35"/>
      <c r="X785" s="35"/>
    </row>
    <row r="786" spans="1:24" ht="12.75" customHeight="1" x14ac:dyDescent="0.3">
      <c r="A786" s="35"/>
      <c r="B786" s="35"/>
      <c r="C786" s="35"/>
      <c r="D786" s="35"/>
      <c r="E786" s="35"/>
      <c r="F786" s="35"/>
      <c r="G786" s="35"/>
      <c r="H786" s="234" t="s">
        <v>1783</v>
      </c>
      <c r="I786" s="306" t="s">
        <v>1784</v>
      </c>
      <c r="J786" s="234">
        <f t="shared" si="28"/>
        <v>0.96650789318447949</v>
      </c>
      <c r="K786" s="315">
        <f t="shared" si="29"/>
        <v>-3.4065813595780689E-2</v>
      </c>
      <c r="L786" s="234"/>
      <c r="M786" s="234"/>
      <c r="N786" s="234"/>
      <c r="O786" s="234"/>
      <c r="P786" s="234"/>
      <c r="Q786" s="234"/>
      <c r="R786" s="234"/>
      <c r="S786" s="35"/>
      <c r="T786" s="35"/>
      <c r="U786" s="35"/>
      <c r="V786" s="35"/>
      <c r="W786" s="35"/>
      <c r="X786" s="35"/>
    </row>
    <row r="787" spans="1:24" ht="12.75" customHeight="1" x14ac:dyDescent="0.3">
      <c r="A787" s="35"/>
      <c r="B787" s="35"/>
      <c r="C787" s="35"/>
      <c r="D787" s="35"/>
      <c r="E787" s="35"/>
      <c r="F787" s="35"/>
      <c r="G787" s="35"/>
      <c r="H787" s="234" t="s">
        <v>1785</v>
      </c>
      <c r="I787" s="306" t="s">
        <v>1786</v>
      </c>
      <c r="J787" s="234">
        <f t="shared" si="28"/>
        <v>0.97783957366576846</v>
      </c>
      <c r="K787" s="315">
        <f t="shared" si="29"/>
        <v>-2.240965750912547E-2</v>
      </c>
      <c r="L787" s="234"/>
      <c r="M787" s="234"/>
      <c r="N787" s="234"/>
      <c r="O787" s="234"/>
      <c r="P787" s="234"/>
      <c r="Q787" s="234"/>
      <c r="R787" s="234"/>
      <c r="S787" s="35"/>
      <c r="T787" s="35"/>
      <c r="U787" s="35"/>
      <c r="V787" s="35"/>
      <c r="W787" s="35"/>
      <c r="X787" s="35"/>
    </row>
    <row r="788" spans="1:24" ht="12.75" customHeight="1" x14ac:dyDescent="0.3">
      <c r="A788" s="35"/>
      <c r="B788" s="35"/>
      <c r="C788" s="35"/>
      <c r="D788" s="35"/>
      <c r="E788" s="35"/>
      <c r="F788" s="35"/>
      <c r="G788" s="35"/>
      <c r="H788" s="234" t="s">
        <v>1787</v>
      </c>
      <c r="I788" s="306" t="s">
        <v>1788</v>
      </c>
      <c r="J788" s="234">
        <f t="shared" si="28"/>
        <v>1.007048725507196</v>
      </c>
      <c r="K788" s="315">
        <f t="shared" si="29"/>
        <v>7.0239993654206646E-3</v>
      </c>
      <c r="L788" s="234"/>
      <c r="M788" s="234"/>
      <c r="N788" s="234"/>
      <c r="O788" s="234"/>
      <c r="P788" s="234"/>
      <c r="Q788" s="234"/>
      <c r="R788" s="234"/>
      <c r="S788" s="35"/>
      <c r="T788" s="35"/>
      <c r="U788" s="35"/>
      <c r="V788" s="35"/>
      <c r="W788" s="35"/>
      <c r="X788" s="35"/>
    </row>
    <row r="789" spans="1:24" ht="12.75" customHeight="1" x14ac:dyDescent="0.3">
      <c r="A789" s="35"/>
      <c r="B789" s="35"/>
      <c r="C789" s="35"/>
      <c r="D789" s="35"/>
      <c r="E789" s="35"/>
      <c r="F789" s="35"/>
      <c r="G789" s="35"/>
      <c r="H789" s="234" t="s">
        <v>1789</v>
      </c>
      <c r="I789" s="306" t="s">
        <v>1790</v>
      </c>
      <c r="J789" s="234">
        <f t="shared" si="28"/>
        <v>0.97623319903849404</v>
      </c>
      <c r="K789" s="315">
        <f t="shared" si="29"/>
        <v>-2.4053787668013218E-2</v>
      </c>
      <c r="L789" s="234"/>
      <c r="M789" s="234"/>
      <c r="N789" s="234"/>
      <c r="O789" s="234"/>
      <c r="P789" s="234"/>
      <c r="Q789" s="234"/>
      <c r="R789" s="234"/>
      <c r="S789" s="35"/>
      <c r="T789" s="35"/>
      <c r="U789" s="35"/>
      <c r="V789" s="35"/>
      <c r="W789" s="35"/>
      <c r="X789" s="35"/>
    </row>
    <row r="790" spans="1:24" ht="12.75" customHeight="1" x14ac:dyDescent="0.3">
      <c r="A790" s="35"/>
      <c r="B790" s="35"/>
      <c r="C790" s="35"/>
      <c r="D790" s="35"/>
      <c r="E790" s="35"/>
      <c r="F790" s="35"/>
      <c r="G790" s="35"/>
      <c r="H790" s="234" t="s">
        <v>1791</v>
      </c>
      <c r="I790" s="306" t="s">
        <v>1792</v>
      </c>
      <c r="J790" s="234">
        <f t="shared" si="28"/>
        <v>1.0106152753898399</v>
      </c>
      <c r="K790" s="315">
        <f t="shared" si="29"/>
        <v>1.0559328930486091E-2</v>
      </c>
      <c r="L790" s="234"/>
      <c r="M790" s="234"/>
      <c r="N790" s="234"/>
      <c r="O790" s="234"/>
      <c r="P790" s="234"/>
      <c r="Q790" s="234"/>
      <c r="R790" s="234"/>
      <c r="S790" s="35"/>
      <c r="T790" s="35"/>
      <c r="U790" s="35"/>
      <c r="V790" s="35"/>
      <c r="W790" s="35"/>
      <c r="X790" s="35"/>
    </row>
    <row r="791" spans="1:24" ht="12.75" customHeight="1" x14ac:dyDescent="0.3">
      <c r="A791" s="35"/>
      <c r="B791" s="35"/>
      <c r="C791" s="35"/>
      <c r="D791" s="35"/>
      <c r="E791" s="35"/>
      <c r="F791" s="35"/>
      <c r="G791" s="35"/>
      <c r="H791" s="234" t="s">
        <v>1793</v>
      </c>
      <c r="I791" s="306" t="s">
        <v>1794</v>
      </c>
      <c r="J791" s="234">
        <f t="shared" si="28"/>
        <v>0.99982895310749442</v>
      </c>
      <c r="K791" s="315">
        <f t="shared" si="29"/>
        <v>-1.7106152269361796E-4</v>
      </c>
      <c r="L791" s="234"/>
      <c r="M791" s="234"/>
      <c r="N791" s="234"/>
      <c r="O791" s="234"/>
      <c r="P791" s="234"/>
      <c r="Q791" s="234"/>
      <c r="R791" s="234"/>
      <c r="S791" s="35"/>
      <c r="T791" s="35"/>
      <c r="U791" s="35"/>
      <c r="V791" s="35"/>
      <c r="W791" s="35"/>
      <c r="X791" s="35"/>
    </row>
    <row r="792" spans="1:24" ht="12.75" customHeight="1" x14ac:dyDescent="0.3">
      <c r="A792" s="35"/>
      <c r="B792" s="35"/>
      <c r="C792" s="35"/>
      <c r="D792" s="35"/>
      <c r="E792" s="35"/>
      <c r="F792" s="35"/>
      <c r="G792" s="35"/>
      <c r="H792" s="234" t="s">
        <v>1795</v>
      </c>
      <c r="I792" s="306" t="s">
        <v>1796</v>
      </c>
      <c r="J792" s="234">
        <f t="shared" si="28"/>
        <v>1.0076699673380043</v>
      </c>
      <c r="K792" s="315">
        <f t="shared" si="29"/>
        <v>7.6407026825674436E-3</v>
      </c>
      <c r="L792" s="234"/>
      <c r="M792" s="234"/>
      <c r="N792" s="234"/>
      <c r="O792" s="234"/>
      <c r="P792" s="234"/>
      <c r="Q792" s="234"/>
      <c r="R792" s="234"/>
      <c r="S792" s="35"/>
      <c r="T792" s="35"/>
      <c r="U792" s="35"/>
      <c r="V792" s="35"/>
      <c r="W792" s="35"/>
      <c r="X792" s="35"/>
    </row>
    <row r="793" spans="1:24" ht="12.75" customHeight="1" x14ac:dyDescent="0.3">
      <c r="A793" s="35"/>
      <c r="B793" s="35"/>
      <c r="C793" s="35"/>
      <c r="D793" s="35"/>
      <c r="E793" s="35"/>
      <c r="F793" s="35"/>
      <c r="G793" s="35"/>
      <c r="H793" s="234" t="s">
        <v>1797</v>
      </c>
      <c r="I793" s="306" t="s">
        <v>1798</v>
      </c>
      <c r="J793" s="234">
        <f t="shared" si="28"/>
        <v>1.0131315865296464</v>
      </c>
      <c r="K793" s="315">
        <f t="shared" si="29"/>
        <v>1.30461146880491E-2</v>
      </c>
      <c r="L793" s="234"/>
      <c r="M793" s="234"/>
      <c r="N793" s="234"/>
      <c r="O793" s="234"/>
      <c r="P793" s="234"/>
      <c r="Q793" s="234"/>
      <c r="R793" s="234"/>
      <c r="S793" s="35"/>
      <c r="T793" s="35"/>
      <c r="U793" s="35"/>
      <c r="V793" s="35"/>
      <c r="W793" s="35"/>
      <c r="X793" s="35"/>
    </row>
    <row r="794" spans="1:24" ht="12.75" customHeight="1" x14ac:dyDescent="0.3">
      <c r="A794" s="35"/>
      <c r="B794" s="35"/>
      <c r="C794" s="35"/>
      <c r="D794" s="35"/>
      <c r="E794" s="35"/>
      <c r="F794" s="35"/>
      <c r="G794" s="35"/>
      <c r="H794" s="234" t="s">
        <v>1799</v>
      </c>
      <c r="I794" s="306" t="s">
        <v>1800</v>
      </c>
      <c r="J794" s="234">
        <f t="shared" si="28"/>
        <v>0.99910150389057539</v>
      </c>
      <c r="K794" s="315">
        <f t="shared" si="29"/>
        <v>-8.9889999900086412E-4</v>
      </c>
      <c r="L794" s="234"/>
      <c r="M794" s="234"/>
      <c r="N794" s="234"/>
      <c r="O794" s="234"/>
      <c r="P794" s="234"/>
      <c r="Q794" s="234"/>
      <c r="R794" s="234"/>
      <c r="S794" s="35"/>
      <c r="T794" s="35"/>
      <c r="U794" s="35"/>
      <c r="V794" s="35"/>
      <c r="W794" s="35"/>
      <c r="X794" s="35"/>
    </row>
    <row r="795" spans="1:24" ht="12.75" customHeight="1" x14ac:dyDescent="0.3">
      <c r="A795" s="35"/>
      <c r="B795" s="35"/>
      <c r="C795" s="35"/>
      <c r="D795" s="35"/>
      <c r="E795" s="35"/>
      <c r="F795" s="35"/>
      <c r="G795" s="35"/>
      <c r="H795" s="234" t="s">
        <v>1801</v>
      </c>
      <c r="I795" s="306" t="s">
        <v>1802</v>
      </c>
      <c r="J795" s="234">
        <f t="shared" si="28"/>
        <v>1.016583012610184</v>
      </c>
      <c r="K795" s="315">
        <f t="shared" si="29"/>
        <v>1.6447015887297745E-2</v>
      </c>
      <c r="L795" s="234"/>
      <c r="M795" s="234"/>
      <c r="N795" s="234"/>
      <c r="O795" s="234"/>
      <c r="P795" s="234"/>
      <c r="Q795" s="234"/>
      <c r="R795" s="234"/>
      <c r="S795" s="35"/>
      <c r="T795" s="35"/>
      <c r="U795" s="35"/>
      <c r="V795" s="35"/>
      <c r="W795" s="35"/>
      <c r="X795" s="35"/>
    </row>
    <row r="796" spans="1:24" ht="12.75" customHeight="1" x14ac:dyDescent="0.3">
      <c r="A796" s="35"/>
      <c r="B796" s="35"/>
      <c r="C796" s="35"/>
      <c r="D796" s="35"/>
      <c r="E796" s="35"/>
      <c r="F796" s="35"/>
      <c r="G796" s="35"/>
      <c r="H796" s="234" t="s">
        <v>1803</v>
      </c>
      <c r="I796" s="306" t="s">
        <v>1804</v>
      </c>
      <c r="J796" s="234">
        <f t="shared" si="28"/>
        <v>0.98377331495472231</v>
      </c>
      <c r="K796" s="315">
        <f t="shared" si="29"/>
        <v>-1.6359779450327353E-2</v>
      </c>
      <c r="L796" s="234"/>
      <c r="M796" s="234"/>
      <c r="N796" s="234"/>
      <c r="O796" s="234"/>
      <c r="P796" s="234"/>
      <c r="Q796" s="234"/>
      <c r="R796" s="234"/>
      <c r="S796" s="35"/>
      <c r="T796" s="35"/>
      <c r="U796" s="35"/>
      <c r="V796" s="35"/>
      <c r="W796" s="35"/>
      <c r="X796" s="35"/>
    </row>
    <row r="797" spans="1:24" ht="12.75" customHeight="1" x14ac:dyDescent="0.3">
      <c r="A797" s="35"/>
      <c r="B797" s="35"/>
      <c r="C797" s="35"/>
      <c r="D797" s="35"/>
      <c r="E797" s="35"/>
      <c r="F797" s="35"/>
      <c r="G797" s="35"/>
      <c r="H797" s="234" t="s">
        <v>1805</v>
      </c>
      <c r="I797" s="306" t="s">
        <v>1806</v>
      </c>
      <c r="J797" s="234">
        <f t="shared" si="28"/>
        <v>0.98801889394566267</v>
      </c>
      <c r="K797" s="315">
        <f t="shared" si="29"/>
        <v>-1.2053457990335555E-2</v>
      </c>
      <c r="L797" s="234"/>
      <c r="M797" s="234"/>
      <c r="N797" s="234"/>
      <c r="O797" s="234"/>
      <c r="P797" s="234"/>
      <c r="Q797" s="234"/>
      <c r="R797" s="234"/>
      <c r="S797" s="35"/>
      <c r="T797" s="35"/>
      <c r="U797" s="35"/>
      <c r="V797" s="35"/>
      <c r="W797" s="35"/>
      <c r="X797" s="35"/>
    </row>
    <row r="798" spans="1:24" ht="12.75" customHeight="1" x14ac:dyDescent="0.3">
      <c r="A798" s="35"/>
      <c r="B798" s="35"/>
      <c r="C798" s="35"/>
      <c r="D798" s="35"/>
      <c r="E798" s="35"/>
      <c r="F798" s="35"/>
      <c r="G798" s="35"/>
      <c r="H798" s="234" t="s">
        <v>1807</v>
      </c>
      <c r="I798" s="306" t="s">
        <v>1808</v>
      </c>
      <c r="J798" s="234">
        <f t="shared" si="28"/>
        <v>0.96742882873868019</v>
      </c>
      <c r="K798" s="315">
        <f t="shared" si="29"/>
        <v>-3.311341881122274E-2</v>
      </c>
      <c r="L798" s="234"/>
      <c r="M798" s="234"/>
      <c r="N798" s="234"/>
      <c r="O798" s="234"/>
      <c r="P798" s="234"/>
      <c r="Q798" s="234"/>
      <c r="R798" s="234"/>
      <c r="S798" s="35"/>
      <c r="T798" s="35"/>
      <c r="U798" s="35"/>
      <c r="V798" s="35"/>
      <c r="W798" s="35"/>
      <c r="X798" s="35"/>
    </row>
    <row r="799" spans="1:24" ht="12.75" customHeight="1" x14ac:dyDescent="0.3">
      <c r="A799" s="35"/>
      <c r="B799" s="35"/>
      <c r="C799" s="35"/>
      <c r="D799" s="35"/>
      <c r="E799" s="35"/>
      <c r="F799" s="35"/>
      <c r="G799" s="35"/>
      <c r="H799" s="234" t="s">
        <v>1809</v>
      </c>
      <c r="I799" s="306" t="s">
        <v>1810</v>
      </c>
      <c r="J799" s="234">
        <f t="shared" si="28"/>
        <v>1.0234872407612869</v>
      </c>
      <c r="K799" s="315">
        <f t="shared" si="29"/>
        <v>2.3215659760395399E-2</v>
      </c>
      <c r="L799" s="234"/>
      <c r="M799" s="234"/>
      <c r="N799" s="234"/>
      <c r="O799" s="234"/>
      <c r="P799" s="234"/>
      <c r="Q799" s="234"/>
      <c r="R799" s="234"/>
      <c r="S799" s="35"/>
      <c r="T799" s="35"/>
      <c r="U799" s="35"/>
      <c r="V799" s="35"/>
      <c r="W799" s="35"/>
      <c r="X799" s="35"/>
    </row>
    <row r="800" spans="1:24" ht="12.75" customHeight="1" x14ac:dyDescent="0.3">
      <c r="A800" s="35"/>
      <c r="B800" s="35"/>
      <c r="C800" s="35"/>
      <c r="D800" s="35"/>
      <c r="E800" s="35"/>
      <c r="F800" s="35"/>
      <c r="G800" s="35"/>
      <c r="H800" s="234" t="s">
        <v>1811</v>
      </c>
      <c r="I800" s="306" t="s">
        <v>1812</v>
      </c>
      <c r="J800" s="234">
        <f t="shared" si="28"/>
        <v>1.0076886029791186</v>
      </c>
      <c r="K800" s="315">
        <f t="shared" si="29"/>
        <v>7.659196305875241E-3</v>
      </c>
      <c r="L800" s="234"/>
      <c r="M800" s="234"/>
      <c r="N800" s="234"/>
      <c r="O800" s="234"/>
      <c r="P800" s="234"/>
      <c r="Q800" s="234"/>
      <c r="R800" s="234"/>
      <c r="S800" s="35"/>
      <c r="T800" s="35"/>
      <c r="U800" s="35"/>
      <c r="V800" s="35"/>
      <c r="W800" s="35"/>
      <c r="X800" s="35"/>
    </row>
    <row r="801" spans="1:24" ht="12.75" customHeight="1" x14ac:dyDescent="0.3">
      <c r="A801" s="35"/>
      <c r="B801" s="35"/>
      <c r="C801" s="35"/>
      <c r="D801" s="35"/>
      <c r="E801" s="35"/>
      <c r="F801" s="35"/>
      <c r="G801" s="35"/>
      <c r="H801" s="234" t="s">
        <v>1813</v>
      </c>
      <c r="I801" s="306" t="s">
        <v>1814</v>
      </c>
      <c r="J801" s="234">
        <f t="shared" si="28"/>
        <v>1.0045963505667681</v>
      </c>
      <c r="K801" s="315">
        <f t="shared" si="29"/>
        <v>4.5858196045014911E-3</v>
      </c>
      <c r="L801" s="234"/>
      <c r="M801" s="234"/>
      <c r="N801" s="234"/>
      <c r="O801" s="234"/>
      <c r="P801" s="234"/>
      <c r="Q801" s="234"/>
      <c r="R801" s="234"/>
      <c r="S801" s="35"/>
      <c r="T801" s="35"/>
      <c r="U801" s="35"/>
      <c r="V801" s="35"/>
      <c r="W801" s="35"/>
      <c r="X801" s="35"/>
    </row>
    <row r="802" spans="1:24" ht="12.75" customHeight="1" x14ac:dyDescent="0.3">
      <c r="A802" s="35"/>
      <c r="B802" s="35"/>
      <c r="C802" s="35"/>
      <c r="D802" s="35"/>
      <c r="E802" s="35"/>
      <c r="F802" s="35"/>
      <c r="G802" s="35"/>
      <c r="H802" s="234" t="s">
        <v>1815</v>
      </c>
      <c r="I802" s="306" t="s">
        <v>1382</v>
      </c>
      <c r="J802" s="234">
        <f t="shared" si="28"/>
        <v>1.0186311352055408</v>
      </c>
      <c r="K802" s="315">
        <f t="shared" si="29"/>
        <v>1.8459701666777576E-2</v>
      </c>
      <c r="L802" s="234"/>
      <c r="M802" s="234"/>
      <c r="N802" s="234"/>
      <c r="O802" s="234"/>
      <c r="P802" s="234"/>
      <c r="Q802" s="234"/>
      <c r="R802" s="234"/>
      <c r="S802" s="35"/>
      <c r="T802" s="35"/>
      <c r="U802" s="35"/>
      <c r="V802" s="35"/>
      <c r="W802" s="35"/>
      <c r="X802" s="35"/>
    </row>
    <row r="803" spans="1:24" ht="12.75" customHeight="1" x14ac:dyDescent="0.3">
      <c r="A803" s="35"/>
      <c r="B803" s="35"/>
      <c r="C803" s="35"/>
      <c r="D803" s="35"/>
      <c r="E803" s="35"/>
      <c r="F803" s="35"/>
      <c r="G803" s="35"/>
      <c r="H803" s="234" t="s">
        <v>1816</v>
      </c>
      <c r="I803" s="306" t="s">
        <v>1817</v>
      </c>
      <c r="J803" s="234">
        <f t="shared" si="28"/>
        <v>1.0135584753851232</v>
      </c>
      <c r="K803" s="315">
        <f t="shared" si="29"/>
        <v>1.3467381728147657E-2</v>
      </c>
      <c r="L803" s="234"/>
      <c r="M803" s="234"/>
      <c r="N803" s="234"/>
      <c r="O803" s="234"/>
      <c r="P803" s="234"/>
      <c r="Q803" s="234"/>
      <c r="R803" s="234"/>
      <c r="S803" s="35"/>
      <c r="T803" s="35"/>
      <c r="U803" s="35"/>
      <c r="V803" s="35"/>
      <c r="W803" s="35"/>
      <c r="X803" s="35"/>
    </row>
    <row r="804" spans="1:24" ht="12.75" customHeight="1" x14ac:dyDescent="0.3">
      <c r="A804" s="35"/>
      <c r="B804" s="35"/>
      <c r="C804" s="35"/>
      <c r="D804" s="35"/>
      <c r="E804" s="35"/>
      <c r="F804" s="35"/>
      <c r="G804" s="35"/>
      <c r="H804" s="234" t="s">
        <v>1818</v>
      </c>
      <c r="I804" s="306" t="s">
        <v>1819</v>
      </c>
      <c r="J804" s="234">
        <f t="shared" si="28"/>
        <v>0.9808050673222457</v>
      </c>
      <c r="K804" s="315">
        <f t="shared" si="29"/>
        <v>-1.9381547294117972E-2</v>
      </c>
      <c r="L804" s="234"/>
      <c r="M804" s="234"/>
      <c r="N804" s="234"/>
      <c r="O804" s="234"/>
      <c r="P804" s="234"/>
      <c r="Q804" s="234"/>
      <c r="R804" s="234"/>
      <c r="S804" s="35"/>
      <c r="T804" s="35"/>
      <c r="U804" s="35"/>
      <c r="V804" s="35"/>
      <c r="W804" s="35"/>
      <c r="X804" s="35"/>
    </row>
    <row r="805" spans="1:24" ht="12.75" customHeight="1" x14ac:dyDescent="0.3">
      <c r="A805" s="35"/>
      <c r="B805" s="35"/>
      <c r="C805" s="35"/>
      <c r="D805" s="35"/>
      <c r="E805" s="35"/>
      <c r="F805" s="35"/>
      <c r="G805" s="35"/>
      <c r="H805" s="234" t="s">
        <v>1820</v>
      </c>
      <c r="I805" s="306" t="s">
        <v>1821</v>
      </c>
      <c r="J805" s="234">
        <f t="shared" si="28"/>
        <v>0.99548855154634686</v>
      </c>
      <c r="K805" s="315">
        <f t="shared" si="29"/>
        <v>-4.5216557485876557E-3</v>
      </c>
      <c r="L805" s="234"/>
      <c r="M805" s="234"/>
      <c r="N805" s="234"/>
      <c r="O805" s="234"/>
      <c r="P805" s="234"/>
      <c r="Q805" s="234"/>
      <c r="R805" s="234"/>
      <c r="S805" s="35"/>
      <c r="T805" s="35"/>
      <c r="U805" s="35"/>
      <c r="V805" s="35"/>
      <c r="W805" s="35"/>
      <c r="X805" s="35"/>
    </row>
    <row r="806" spans="1:24" ht="12.75" customHeight="1" x14ac:dyDescent="0.3">
      <c r="A806" s="35"/>
      <c r="B806" s="35"/>
      <c r="C806" s="35"/>
      <c r="D806" s="35"/>
      <c r="E806" s="35"/>
      <c r="F806" s="35"/>
      <c r="G806" s="35"/>
      <c r="H806" s="234" t="s">
        <v>1822</v>
      </c>
      <c r="I806" s="306" t="s">
        <v>1823</v>
      </c>
      <c r="J806" s="234">
        <f t="shared" si="28"/>
        <v>0.99043371747981501</v>
      </c>
      <c r="K806" s="315">
        <f t="shared" si="29"/>
        <v>-9.6123333261552025E-3</v>
      </c>
      <c r="L806" s="234"/>
      <c r="M806" s="234"/>
      <c r="N806" s="234"/>
      <c r="O806" s="234"/>
      <c r="P806" s="234"/>
      <c r="Q806" s="234"/>
      <c r="R806" s="234"/>
      <c r="S806" s="35"/>
      <c r="T806" s="35"/>
      <c r="U806" s="35"/>
      <c r="V806" s="35"/>
      <c r="W806" s="35"/>
      <c r="X806" s="35"/>
    </row>
    <row r="807" spans="1:24" ht="12.75" customHeight="1" x14ac:dyDescent="0.3">
      <c r="A807" s="35"/>
      <c r="B807" s="35"/>
      <c r="C807" s="35"/>
      <c r="D807" s="35"/>
      <c r="E807" s="35"/>
      <c r="F807" s="35"/>
      <c r="G807" s="35"/>
      <c r="H807" s="234" t="s">
        <v>1824</v>
      </c>
      <c r="I807" s="306" t="s">
        <v>1825</v>
      </c>
      <c r="J807" s="234">
        <f t="shared" si="28"/>
        <v>0.99614184933449046</v>
      </c>
      <c r="K807" s="315">
        <f t="shared" si="29"/>
        <v>-3.8656125276307091E-3</v>
      </c>
      <c r="L807" s="234"/>
      <c r="M807" s="234"/>
      <c r="N807" s="234"/>
      <c r="O807" s="234"/>
      <c r="P807" s="234"/>
      <c r="Q807" s="234"/>
      <c r="R807" s="234"/>
      <c r="S807" s="35"/>
      <c r="T807" s="35"/>
      <c r="U807" s="35"/>
      <c r="V807" s="35"/>
      <c r="W807" s="35"/>
      <c r="X807" s="35"/>
    </row>
    <row r="808" spans="1:24" ht="12.75" customHeight="1" x14ac:dyDescent="0.3">
      <c r="A808" s="35"/>
      <c r="B808" s="35"/>
      <c r="C808" s="35"/>
      <c r="D808" s="35"/>
      <c r="E808" s="35"/>
      <c r="F808" s="35"/>
      <c r="G808" s="35"/>
      <c r="H808" s="234" t="s">
        <v>1826</v>
      </c>
      <c r="I808" s="306" t="s">
        <v>1827</v>
      </c>
      <c r="J808" s="234">
        <f t="shared" si="28"/>
        <v>0.98993705341953042</v>
      </c>
      <c r="K808" s="315">
        <f t="shared" si="29"/>
        <v>-1.0113920279462936E-2</v>
      </c>
      <c r="L808" s="234"/>
      <c r="M808" s="234"/>
      <c r="N808" s="234"/>
      <c r="O808" s="234"/>
      <c r="P808" s="234"/>
      <c r="Q808" s="234"/>
      <c r="R808" s="234"/>
      <c r="S808" s="35"/>
      <c r="T808" s="35"/>
      <c r="U808" s="35"/>
      <c r="V808" s="35"/>
      <c r="W808" s="35"/>
      <c r="X808" s="35"/>
    </row>
    <row r="809" spans="1:24" ht="12.75" customHeight="1" x14ac:dyDescent="0.3">
      <c r="A809" s="35"/>
      <c r="B809" s="35"/>
      <c r="C809" s="35"/>
      <c r="D809" s="35"/>
      <c r="E809" s="35"/>
      <c r="F809" s="35"/>
      <c r="G809" s="35"/>
      <c r="H809" s="234" t="s">
        <v>1828</v>
      </c>
      <c r="I809" s="306" t="s">
        <v>1829</v>
      </c>
      <c r="J809" s="234">
        <f t="shared" si="28"/>
        <v>1.0030716723549489</v>
      </c>
      <c r="K809" s="315">
        <f t="shared" si="29"/>
        <v>3.0669644078044306E-3</v>
      </c>
      <c r="L809" s="234"/>
      <c r="M809" s="234"/>
      <c r="N809" s="234"/>
      <c r="O809" s="234"/>
      <c r="P809" s="234"/>
      <c r="Q809" s="234"/>
      <c r="R809" s="234"/>
      <c r="S809" s="35"/>
      <c r="T809" s="35"/>
      <c r="U809" s="35"/>
      <c r="V809" s="35"/>
      <c r="W809" s="35"/>
      <c r="X809" s="35"/>
    </row>
    <row r="810" spans="1:24" ht="12.75" customHeight="1" x14ac:dyDescent="0.3">
      <c r="A810" s="35"/>
      <c r="B810" s="35"/>
      <c r="C810" s="35"/>
      <c r="D810" s="35"/>
      <c r="E810" s="35"/>
      <c r="F810" s="35"/>
      <c r="G810" s="35"/>
      <c r="H810" s="234" t="s">
        <v>1830</v>
      </c>
      <c r="I810" s="306" t="s">
        <v>1831</v>
      </c>
      <c r="J810" s="234">
        <f t="shared" si="28"/>
        <v>1.0083368464523235</v>
      </c>
      <c r="K810" s="315">
        <f t="shared" si="29"/>
        <v>8.3022868935745744E-3</v>
      </c>
      <c r="L810" s="234"/>
      <c r="M810" s="234"/>
      <c r="N810" s="234"/>
      <c r="O810" s="234"/>
      <c r="P810" s="234"/>
      <c r="Q810" s="234"/>
      <c r="R810" s="234"/>
      <c r="S810" s="35"/>
      <c r="T810" s="35"/>
      <c r="U810" s="35"/>
      <c r="V810" s="35"/>
      <c r="W810" s="35"/>
      <c r="X810" s="35"/>
    </row>
    <row r="811" spans="1:24" ht="12.75" customHeight="1" x14ac:dyDescent="0.3">
      <c r="A811" s="35"/>
      <c r="B811" s="35"/>
      <c r="C811" s="35"/>
      <c r="D811" s="35"/>
      <c r="E811" s="35"/>
      <c r="F811" s="35"/>
      <c r="G811" s="35"/>
      <c r="H811" s="234" t="s">
        <v>1832</v>
      </c>
      <c r="I811" s="306" t="s">
        <v>1833</v>
      </c>
      <c r="J811" s="234">
        <f t="shared" si="28"/>
        <v>1.0007232214349058</v>
      </c>
      <c r="K811" s="315">
        <f t="shared" si="29"/>
        <v>7.2296003630893993E-4</v>
      </c>
      <c r="L811" s="234"/>
      <c r="M811" s="234"/>
      <c r="N811" s="234"/>
      <c r="O811" s="234"/>
      <c r="P811" s="234"/>
      <c r="Q811" s="234"/>
      <c r="R811" s="234"/>
      <c r="S811" s="35"/>
      <c r="T811" s="35"/>
      <c r="U811" s="35"/>
      <c r="V811" s="35"/>
      <c r="W811" s="35"/>
      <c r="X811" s="35"/>
    </row>
    <row r="812" spans="1:24" ht="12.75" customHeight="1" x14ac:dyDescent="0.3">
      <c r="A812" s="35"/>
      <c r="B812" s="35"/>
      <c r="C812" s="35"/>
      <c r="D812" s="35"/>
      <c r="E812" s="35"/>
      <c r="F812" s="35"/>
      <c r="G812" s="35"/>
      <c r="H812" s="234" t="s">
        <v>1834</v>
      </c>
      <c r="I812" s="306" t="s">
        <v>1354</v>
      </c>
      <c r="J812" s="234">
        <f t="shared" si="28"/>
        <v>1.055421270718232</v>
      </c>
      <c r="K812" s="315">
        <f t="shared" si="29"/>
        <v>5.393999596317306E-2</v>
      </c>
      <c r="L812" s="234"/>
      <c r="M812" s="234"/>
      <c r="N812" s="234"/>
      <c r="O812" s="234"/>
      <c r="P812" s="234"/>
      <c r="Q812" s="234"/>
      <c r="R812" s="234"/>
      <c r="S812" s="35"/>
      <c r="T812" s="35"/>
      <c r="U812" s="35"/>
      <c r="V812" s="35"/>
      <c r="W812" s="35"/>
      <c r="X812" s="35"/>
    </row>
    <row r="813" spans="1:24" ht="12.75" customHeight="1" x14ac:dyDescent="0.3">
      <c r="A813" s="35"/>
      <c r="B813" s="35"/>
      <c r="C813" s="35"/>
      <c r="D813" s="35"/>
      <c r="E813" s="35"/>
      <c r="F813" s="35"/>
      <c r="G813" s="35"/>
      <c r="H813" s="234" t="s">
        <v>1835</v>
      </c>
      <c r="I813" s="306" t="s">
        <v>1836</v>
      </c>
      <c r="J813" s="234">
        <f t="shared" si="28"/>
        <v>1.0221429632932084</v>
      </c>
      <c r="K813" s="315">
        <f t="shared" si="29"/>
        <v>2.1901367803893425E-2</v>
      </c>
      <c r="L813" s="234"/>
      <c r="M813" s="234"/>
      <c r="N813" s="234"/>
      <c r="O813" s="234"/>
      <c r="P813" s="234"/>
      <c r="Q813" s="234"/>
      <c r="R813" s="234"/>
      <c r="S813" s="35"/>
      <c r="T813" s="35"/>
      <c r="U813" s="35"/>
      <c r="V813" s="35"/>
      <c r="W813" s="35"/>
      <c r="X813" s="35"/>
    </row>
    <row r="814" spans="1:24" ht="12.75" customHeight="1" x14ac:dyDescent="0.3">
      <c r="A814" s="35"/>
      <c r="B814" s="35"/>
      <c r="C814" s="35"/>
      <c r="D814" s="35"/>
      <c r="E814" s="35"/>
      <c r="F814" s="35"/>
      <c r="G814" s="35"/>
      <c r="H814" s="234" t="s">
        <v>1837</v>
      </c>
      <c r="I814" s="306" t="s">
        <v>1838</v>
      </c>
      <c r="J814" s="234">
        <f t="shared" si="28"/>
        <v>0.99276157456500291</v>
      </c>
      <c r="K814" s="315">
        <f t="shared" si="29"/>
        <v>-7.2647499453126251E-3</v>
      </c>
      <c r="L814" s="234"/>
      <c r="M814" s="234"/>
      <c r="N814" s="234"/>
      <c r="O814" s="234"/>
      <c r="P814" s="234"/>
      <c r="Q814" s="234"/>
      <c r="R814" s="234"/>
      <c r="S814" s="35"/>
      <c r="T814" s="35"/>
      <c r="U814" s="35"/>
      <c r="V814" s="35"/>
      <c r="W814" s="35"/>
      <c r="X814" s="35"/>
    </row>
    <row r="815" spans="1:24" ht="12.75" customHeight="1" x14ac:dyDescent="0.3">
      <c r="A815" s="35"/>
      <c r="B815" s="35"/>
      <c r="C815" s="35"/>
      <c r="D815" s="35"/>
      <c r="E815" s="35"/>
      <c r="F815" s="35"/>
      <c r="G815" s="35"/>
      <c r="H815" s="234" t="s">
        <v>1839</v>
      </c>
      <c r="I815" s="306" t="s">
        <v>1840</v>
      </c>
      <c r="J815" s="234">
        <f t="shared" si="28"/>
        <v>1.0006643476014283</v>
      </c>
      <c r="K815" s="315">
        <f t="shared" si="29"/>
        <v>6.6412702025018817E-4</v>
      </c>
      <c r="L815" s="234"/>
      <c r="M815" s="234"/>
      <c r="N815" s="234"/>
      <c r="O815" s="234"/>
      <c r="P815" s="234"/>
      <c r="Q815" s="234"/>
      <c r="R815" s="234"/>
      <c r="S815" s="35"/>
      <c r="T815" s="35"/>
      <c r="U815" s="35"/>
      <c r="V815" s="35"/>
      <c r="W815" s="35"/>
      <c r="X815" s="35"/>
    </row>
    <row r="816" spans="1:24" ht="12.75" customHeight="1" x14ac:dyDescent="0.3">
      <c r="A816" s="35"/>
      <c r="B816" s="35"/>
      <c r="C816" s="35"/>
      <c r="D816" s="35"/>
      <c r="E816" s="35"/>
      <c r="F816" s="35"/>
      <c r="G816" s="35"/>
      <c r="H816" s="234" t="s">
        <v>1841</v>
      </c>
      <c r="I816" s="306" t="s">
        <v>1842</v>
      </c>
      <c r="J816" s="234">
        <f t="shared" si="28"/>
        <v>0.99317277909129231</v>
      </c>
      <c r="K816" s="315">
        <f t="shared" si="29"/>
        <v>-6.8506330019112638E-3</v>
      </c>
      <c r="L816" s="234"/>
      <c r="M816" s="234"/>
      <c r="N816" s="234"/>
      <c r="O816" s="234"/>
      <c r="P816" s="234"/>
      <c r="Q816" s="234"/>
      <c r="R816" s="234"/>
      <c r="S816" s="35"/>
      <c r="T816" s="35"/>
      <c r="U816" s="35"/>
      <c r="V816" s="35"/>
      <c r="W816" s="35"/>
      <c r="X816" s="35"/>
    </row>
    <row r="817" spans="1:24" ht="12.75" customHeight="1" x14ac:dyDescent="0.3">
      <c r="A817" s="35"/>
      <c r="B817" s="35"/>
      <c r="C817" s="35"/>
      <c r="D817" s="35"/>
      <c r="E817" s="35"/>
      <c r="F817" s="35"/>
      <c r="G817" s="35"/>
      <c r="H817" s="234" t="s">
        <v>1843</v>
      </c>
      <c r="I817" s="306" t="s">
        <v>1844</v>
      </c>
      <c r="J817" s="234">
        <f t="shared" si="28"/>
        <v>0.97680663843957283</v>
      </c>
      <c r="K817" s="315">
        <f t="shared" si="29"/>
        <v>-2.3466560099426784E-2</v>
      </c>
      <c r="L817" s="234"/>
      <c r="M817" s="234"/>
      <c r="N817" s="234"/>
      <c r="O817" s="234"/>
      <c r="P817" s="234"/>
      <c r="Q817" s="234"/>
      <c r="R817" s="234"/>
      <c r="S817" s="35"/>
      <c r="T817" s="35"/>
      <c r="U817" s="35"/>
      <c r="V817" s="35"/>
      <c r="W817" s="35"/>
      <c r="X817" s="35"/>
    </row>
    <row r="818" spans="1:24" ht="12.75" customHeight="1" x14ac:dyDescent="0.3">
      <c r="A818" s="35"/>
      <c r="B818" s="35"/>
      <c r="C818" s="35"/>
      <c r="D818" s="35"/>
      <c r="E818" s="35"/>
      <c r="F818" s="35"/>
      <c r="G818" s="35"/>
      <c r="H818" s="234" t="s">
        <v>1845</v>
      </c>
      <c r="I818" s="306" t="s">
        <v>1846</v>
      </c>
      <c r="J818" s="234">
        <f t="shared" si="28"/>
        <v>0.97933724905759623</v>
      </c>
      <c r="K818" s="315">
        <f t="shared" si="29"/>
        <v>-2.0879212567443853E-2</v>
      </c>
      <c r="L818" s="234"/>
      <c r="M818" s="234"/>
      <c r="N818" s="234"/>
      <c r="O818" s="234"/>
      <c r="P818" s="234"/>
      <c r="Q818" s="234"/>
      <c r="R818" s="234"/>
      <c r="S818" s="35"/>
      <c r="T818" s="35"/>
      <c r="U818" s="35"/>
      <c r="V818" s="35"/>
      <c r="W818" s="35"/>
      <c r="X818" s="35"/>
    </row>
    <row r="819" spans="1:24" ht="12.75" customHeight="1" x14ac:dyDescent="0.3">
      <c r="A819" s="35"/>
      <c r="B819" s="35"/>
      <c r="C819" s="35"/>
      <c r="D819" s="35"/>
      <c r="E819" s="35"/>
      <c r="F819" s="35"/>
      <c r="G819" s="35"/>
      <c r="H819" s="234" t="s">
        <v>1847</v>
      </c>
      <c r="I819" s="306" t="s">
        <v>1848</v>
      </c>
      <c r="J819" s="234">
        <f t="shared" si="28"/>
        <v>1.0190098443836988</v>
      </c>
      <c r="K819" s="315">
        <f t="shared" si="29"/>
        <v>1.8831415021889675E-2</v>
      </c>
      <c r="L819" s="234"/>
      <c r="M819" s="234"/>
      <c r="N819" s="234"/>
      <c r="O819" s="234"/>
      <c r="P819" s="234"/>
      <c r="Q819" s="234"/>
      <c r="R819" s="234"/>
      <c r="S819" s="35"/>
      <c r="T819" s="35"/>
      <c r="U819" s="35"/>
      <c r="V819" s="35"/>
      <c r="W819" s="35"/>
      <c r="X819" s="35"/>
    </row>
    <row r="820" spans="1:24" ht="12.75" customHeight="1" x14ac:dyDescent="0.3">
      <c r="A820" s="35"/>
      <c r="B820" s="35"/>
      <c r="C820" s="35"/>
      <c r="D820" s="35"/>
      <c r="E820" s="35"/>
      <c r="F820" s="35"/>
      <c r="G820" s="35"/>
      <c r="H820" s="234" t="s">
        <v>1849</v>
      </c>
      <c r="I820" s="306" t="s">
        <v>1850</v>
      </c>
      <c r="J820" s="234">
        <f t="shared" si="28"/>
        <v>0.99488966111787547</v>
      </c>
      <c r="K820" s="315">
        <f t="shared" si="29"/>
        <v>-5.123441321535172E-3</v>
      </c>
      <c r="L820" s="234"/>
      <c r="M820" s="234"/>
      <c r="N820" s="234"/>
      <c r="O820" s="234"/>
      <c r="P820" s="234"/>
      <c r="Q820" s="234"/>
      <c r="R820" s="234"/>
      <c r="S820" s="35"/>
      <c r="T820" s="35"/>
      <c r="U820" s="35"/>
      <c r="V820" s="35"/>
      <c r="W820" s="35"/>
      <c r="X820" s="35"/>
    </row>
    <row r="821" spans="1:24" ht="12.75" customHeight="1" x14ac:dyDescent="0.3">
      <c r="A821" s="35"/>
      <c r="B821" s="35"/>
      <c r="C821" s="35"/>
      <c r="D821" s="35"/>
      <c r="E821" s="35"/>
      <c r="F821" s="35"/>
      <c r="G821" s="35"/>
      <c r="H821" s="234" t="s">
        <v>1851</v>
      </c>
      <c r="I821" s="306" t="s">
        <v>1852</v>
      </c>
      <c r="J821" s="234">
        <f t="shared" si="28"/>
        <v>1.0061972385176707</v>
      </c>
      <c r="K821" s="315">
        <f t="shared" si="29"/>
        <v>6.1781146046789373E-3</v>
      </c>
      <c r="L821" s="234"/>
      <c r="M821" s="234"/>
      <c r="N821" s="234"/>
      <c r="O821" s="234"/>
      <c r="P821" s="234"/>
      <c r="Q821" s="234"/>
      <c r="R821" s="234"/>
      <c r="S821" s="35"/>
      <c r="T821" s="35"/>
      <c r="U821" s="35"/>
      <c r="V821" s="35"/>
      <c r="W821" s="35"/>
      <c r="X821" s="35"/>
    </row>
    <row r="822" spans="1:24" ht="12.75" customHeight="1" x14ac:dyDescent="0.3">
      <c r="A822" s="35"/>
      <c r="B822" s="35"/>
      <c r="C822" s="35"/>
      <c r="D822" s="35"/>
      <c r="E822" s="35"/>
      <c r="F822" s="35"/>
      <c r="G822" s="35"/>
      <c r="H822" s="234" t="s">
        <v>1853</v>
      </c>
      <c r="I822" s="306" t="s">
        <v>1854</v>
      </c>
      <c r="J822" s="234">
        <f t="shared" si="28"/>
        <v>1.0232515578818298</v>
      </c>
      <c r="K822" s="315">
        <f t="shared" si="29"/>
        <v>2.2985358873291364E-2</v>
      </c>
      <c r="L822" s="234"/>
      <c r="M822" s="234"/>
      <c r="N822" s="234"/>
      <c r="O822" s="234"/>
      <c r="P822" s="234"/>
      <c r="Q822" s="234"/>
      <c r="R822" s="234"/>
      <c r="S822" s="35"/>
      <c r="T822" s="35"/>
      <c r="U822" s="35"/>
      <c r="V822" s="35"/>
      <c r="W822" s="35"/>
      <c r="X822" s="35"/>
    </row>
    <row r="823" spans="1:24" ht="12.75" customHeight="1" x14ac:dyDescent="0.3">
      <c r="A823" s="35"/>
      <c r="B823" s="35"/>
      <c r="C823" s="35"/>
      <c r="D823" s="35"/>
      <c r="E823" s="35"/>
      <c r="F823" s="35"/>
      <c r="G823" s="35"/>
      <c r="H823" s="234" t="s">
        <v>1855</v>
      </c>
      <c r="I823" s="306" t="s">
        <v>1856</v>
      </c>
      <c r="J823" s="234">
        <f t="shared" si="28"/>
        <v>0.99392456639775895</v>
      </c>
      <c r="K823" s="315">
        <f t="shared" si="29"/>
        <v>-6.0939641411301929E-3</v>
      </c>
      <c r="L823" s="234"/>
      <c r="M823" s="234"/>
      <c r="N823" s="234"/>
      <c r="O823" s="234"/>
      <c r="P823" s="234"/>
      <c r="Q823" s="234"/>
      <c r="R823" s="234"/>
      <c r="S823" s="35"/>
      <c r="T823" s="35"/>
      <c r="U823" s="35"/>
      <c r="V823" s="35"/>
      <c r="W823" s="35"/>
      <c r="X823" s="35"/>
    </row>
    <row r="824" spans="1:24" ht="12.75" customHeight="1" x14ac:dyDescent="0.3">
      <c r="A824" s="35"/>
      <c r="B824" s="35"/>
      <c r="C824" s="35"/>
      <c r="D824" s="35"/>
      <c r="E824" s="35"/>
      <c r="F824" s="35"/>
      <c r="G824" s="35"/>
      <c r="H824" s="234" t="s">
        <v>1857</v>
      </c>
      <c r="I824" s="306" t="s">
        <v>1858</v>
      </c>
      <c r="J824" s="234">
        <f t="shared" si="28"/>
        <v>0.99460862800437821</v>
      </c>
      <c r="K824" s="315">
        <f t="shared" si="29"/>
        <v>-5.4059578905647221E-3</v>
      </c>
      <c r="L824" s="234"/>
      <c r="M824" s="234"/>
      <c r="N824" s="234"/>
      <c r="O824" s="234"/>
      <c r="P824" s="234"/>
      <c r="Q824" s="234"/>
      <c r="R824" s="234"/>
      <c r="S824" s="35"/>
      <c r="T824" s="35"/>
      <c r="U824" s="35"/>
      <c r="V824" s="35"/>
      <c r="W824" s="35"/>
      <c r="X824" s="35"/>
    </row>
    <row r="825" spans="1:24" ht="12.75" customHeight="1" x14ac:dyDescent="0.3">
      <c r="A825" s="35"/>
      <c r="B825" s="35"/>
      <c r="C825" s="35"/>
      <c r="D825" s="35"/>
      <c r="E825" s="35"/>
      <c r="F825" s="35"/>
      <c r="G825" s="35"/>
      <c r="H825" s="234" t="s">
        <v>1859</v>
      </c>
      <c r="I825" s="306" t="s">
        <v>1860</v>
      </c>
      <c r="J825" s="234">
        <f t="shared" si="28"/>
        <v>0.99777063739913718</v>
      </c>
      <c r="K825" s="315">
        <f t="shared" si="29"/>
        <v>-2.2318513292057989E-3</v>
      </c>
      <c r="L825" s="234"/>
      <c r="M825" s="234"/>
      <c r="N825" s="234"/>
      <c r="O825" s="234"/>
      <c r="P825" s="234"/>
      <c r="Q825" s="234"/>
      <c r="R825" s="234"/>
      <c r="S825" s="35"/>
      <c r="T825" s="35"/>
      <c r="U825" s="35"/>
      <c r="V825" s="35"/>
      <c r="W825" s="35"/>
      <c r="X825" s="35"/>
    </row>
    <row r="826" spans="1:24" ht="12.75" customHeight="1" x14ac:dyDescent="0.3">
      <c r="A826" s="35"/>
      <c r="B826" s="35"/>
      <c r="C826" s="35"/>
      <c r="D826" s="35"/>
      <c r="E826" s="35"/>
      <c r="F826" s="35"/>
      <c r="G826" s="35"/>
      <c r="H826" s="234" t="s">
        <v>1861</v>
      </c>
      <c r="I826" s="306" t="s">
        <v>1862</v>
      </c>
      <c r="J826" s="234">
        <f t="shared" si="28"/>
        <v>0.97703663203936575</v>
      </c>
      <c r="K826" s="315">
        <f t="shared" si="29"/>
        <v>-2.3231133231437683E-2</v>
      </c>
      <c r="L826" s="234"/>
      <c r="M826" s="234"/>
      <c r="N826" s="234"/>
      <c r="O826" s="234"/>
      <c r="P826" s="234"/>
      <c r="Q826" s="234"/>
      <c r="R826" s="234"/>
      <c r="S826" s="35"/>
      <c r="T826" s="35"/>
      <c r="U826" s="35"/>
      <c r="V826" s="35"/>
      <c r="W826" s="35"/>
      <c r="X826" s="35"/>
    </row>
    <row r="827" spans="1:24" ht="12.75" customHeight="1" x14ac:dyDescent="0.3">
      <c r="A827" s="35"/>
      <c r="B827" s="35"/>
      <c r="C827" s="35"/>
      <c r="D827" s="35"/>
      <c r="E827" s="35"/>
      <c r="F827" s="35"/>
      <c r="G827" s="35"/>
      <c r="H827" s="234" t="s">
        <v>1863</v>
      </c>
      <c r="I827" s="306" t="s">
        <v>1864</v>
      </c>
      <c r="J827" s="234">
        <f t="shared" si="28"/>
        <v>1.0097144434451992</v>
      </c>
      <c r="K827" s="315">
        <f t="shared" si="29"/>
        <v>9.6675616155362572E-3</v>
      </c>
      <c r="L827" s="234"/>
      <c r="M827" s="234"/>
      <c r="N827" s="234"/>
      <c r="O827" s="234"/>
      <c r="P827" s="234"/>
      <c r="Q827" s="234"/>
      <c r="R827" s="234"/>
      <c r="S827" s="35"/>
      <c r="T827" s="35"/>
      <c r="U827" s="35"/>
      <c r="V827" s="35"/>
      <c r="W827" s="35"/>
      <c r="X827" s="35"/>
    </row>
    <row r="828" spans="1:24" ht="12.75" customHeight="1" x14ac:dyDescent="0.3">
      <c r="A828" s="35"/>
      <c r="B828" s="35"/>
      <c r="C828" s="35"/>
      <c r="D828" s="35"/>
      <c r="E828" s="35"/>
      <c r="F828" s="35"/>
      <c r="G828" s="35"/>
      <c r="H828" s="234" t="s">
        <v>1865</v>
      </c>
      <c r="I828" s="306" t="s">
        <v>1866</v>
      </c>
      <c r="J828" s="234">
        <f t="shared" si="28"/>
        <v>1.0216972034715526</v>
      </c>
      <c r="K828" s="315">
        <f t="shared" si="29"/>
        <v>2.146516947882645E-2</v>
      </c>
      <c r="L828" s="234"/>
      <c r="M828" s="234"/>
      <c r="N828" s="234"/>
      <c r="O828" s="234"/>
      <c r="P828" s="234"/>
      <c r="Q828" s="234"/>
      <c r="R828" s="234"/>
      <c r="S828" s="35"/>
      <c r="T828" s="35"/>
      <c r="U828" s="35"/>
      <c r="V828" s="35"/>
      <c r="W828" s="35"/>
      <c r="X828" s="35"/>
    </row>
    <row r="829" spans="1:24" ht="12.75" customHeight="1" x14ac:dyDescent="0.3">
      <c r="A829" s="35"/>
      <c r="B829" s="35"/>
      <c r="C829" s="35"/>
      <c r="D829" s="35"/>
      <c r="E829" s="35"/>
      <c r="F829" s="35"/>
      <c r="G829" s="35"/>
      <c r="H829" s="234" t="s">
        <v>1867</v>
      </c>
      <c r="I829" s="306" t="s">
        <v>1868</v>
      </c>
      <c r="J829" s="234">
        <f t="shared" si="28"/>
        <v>1.0013755910030882</v>
      </c>
      <c r="K829" s="315">
        <f t="shared" si="29"/>
        <v>1.3746457445443965E-3</v>
      </c>
      <c r="L829" s="234"/>
      <c r="M829" s="234"/>
      <c r="N829" s="234"/>
      <c r="O829" s="234"/>
      <c r="P829" s="234"/>
      <c r="Q829" s="234"/>
      <c r="R829" s="234"/>
      <c r="S829" s="35"/>
      <c r="T829" s="35"/>
      <c r="U829" s="35"/>
      <c r="V829" s="35"/>
      <c r="W829" s="35"/>
      <c r="X829" s="35"/>
    </row>
    <row r="830" spans="1:24" ht="12.75" customHeight="1" x14ac:dyDescent="0.3">
      <c r="A830" s="35"/>
      <c r="B830" s="35"/>
      <c r="C830" s="35"/>
      <c r="D830" s="35"/>
      <c r="E830" s="35"/>
      <c r="F830" s="35"/>
      <c r="G830" s="35"/>
      <c r="H830" s="234" t="s">
        <v>1869</v>
      </c>
      <c r="I830" s="306" t="s">
        <v>1870</v>
      </c>
      <c r="J830" s="234">
        <f t="shared" si="28"/>
        <v>0.97832500022281044</v>
      </c>
      <c r="K830" s="315">
        <f t="shared" si="29"/>
        <v>-2.1913353084144365E-2</v>
      </c>
      <c r="L830" s="234"/>
      <c r="M830" s="234"/>
      <c r="N830" s="234"/>
      <c r="O830" s="234"/>
      <c r="P830" s="234"/>
      <c r="Q830" s="234"/>
      <c r="R830" s="234"/>
      <c r="S830" s="35"/>
      <c r="T830" s="35"/>
      <c r="U830" s="35"/>
      <c r="V830" s="35"/>
      <c r="W830" s="35"/>
      <c r="X830" s="35"/>
    </row>
    <row r="831" spans="1:24" ht="12.75" customHeight="1" x14ac:dyDescent="0.3">
      <c r="A831" s="35"/>
      <c r="B831" s="35"/>
      <c r="C831" s="35"/>
      <c r="D831" s="35"/>
      <c r="E831" s="35"/>
      <c r="F831" s="35"/>
      <c r="G831" s="35"/>
      <c r="H831" s="234" t="s">
        <v>1871</v>
      </c>
      <c r="I831" s="306" t="s">
        <v>1872</v>
      </c>
      <c r="J831" s="234">
        <f t="shared" si="28"/>
        <v>1.0120413464660678</v>
      </c>
      <c r="K831" s="315">
        <f t="shared" si="29"/>
        <v>1.1969426222448936E-2</v>
      </c>
      <c r="L831" s="234"/>
      <c r="M831" s="234"/>
      <c r="N831" s="234"/>
      <c r="O831" s="234"/>
      <c r="P831" s="234"/>
      <c r="Q831" s="234"/>
      <c r="R831" s="234"/>
      <c r="S831" s="35"/>
      <c r="T831" s="35"/>
      <c r="U831" s="35"/>
      <c r="V831" s="35"/>
      <c r="W831" s="35"/>
      <c r="X831" s="35"/>
    </row>
    <row r="832" spans="1:24" ht="12.75" customHeight="1" x14ac:dyDescent="0.3">
      <c r="A832" s="35"/>
      <c r="B832" s="35"/>
      <c r="C832" s="35"/>
      <c r="D832" s="35"/>
      <c r="E832" s="35"/>
      <c r="F832" s="35"/>
      <c r="G832" s="35"/>
      <c r="H832" s="234" t="s">
        <v>1873</v>
      </c>
      <c r="I832" s="306" t="s">
        <v>1874</v>
      </c>
      <c r="J832" s="234">
        <f t="shared" si="28"/>
        <v>1.004157269787789</v>
      </c>
      <c r="K832" s="315">
        <f t="shared" si="29"/>
        <v>4.148652217199348E-3</v>
      </c>
      <c r="L832" s="234"/>
      <c r="M832" s="234"/>
      <c r="N832" s="234"/>
      <c r="O832" s="234"/>
      <c r="P832" s="234"/>
      <c r="Q832" s="234"/>
      <c r="R832" s="234"/>
      <c r="S832" s="35"/>
      <c r="T832" s="35"/>
      <c r="U832" s="35"/>
      <c r="V832" s="35"/>
      <c r="W832" s="35"/>
      <c r="X832" s="35"/>
    </row>
    <row r="833" spans="1:24" ht="12.75" customHeight="1" x14ac:dyDescent="0.3">
      <c r="A833" s="35"/>
      <c r="B833" s="35"/>
      <c r="C833" s="35"/>
      <c r="D833" s="35"/>
      <c r="E833" s="35"/>
      <c r="F833" s="35"/>
      <c r="G833" s="35"/>
      <c r="H833" s="234" t="s">
        <v>1875</v>
      </c>
      <c r="I833" s="306" t="s">
        <v>1876</v>
      </c>
      <c r="J833" s="234">
        <f t="shared" si="28"/>
        <v>1.0080804207297032</v>
      </c>
      <c r="K833" s="315">
        <f t="shared" si="29"/>
        <v>8.0479489366685007E-3</v>
      </c>
      <c r="L833" s="234"/>
      <c r="M833" s="234"/>
      <c r="N833" s="234"/>
      <c r="O833" s="234"/>
      <c r="P833" s="234"/>
      <c r="Q833" s="234"/>
      <c r="R833" s="234"/>
      <c r="S833" s="35"/>
      <c r="T833" s="35"/>
      <c r="U833" s="35"/>
      <c r="V833" s="35"/>
      <c r="W833" s="35"/>
      <c r="X833" s="35"/>
    </row>
    <row r="834" spans="1:24" ht="12.75" customHeight="1" x14ac:dyDescent="0.3">
      <c r="A834" s="35"/>
      <c r="B834" s="35"/>
      <c r="C834" s="35"/>
      <c r="D834" s="35"/>
      <c r="E834" s="35"/>
      <c r="F834" s="35"/>
      <c r="G834" s="35"/>
      <c r="H834" s="234" t="s">
        <v>1877</v>
      </c>
      <c r="I834" s="306" t="s">
        <v>1878</v>
      </c>
      <c r="J834" s="234">
        <f t="shared" si="28"/>
        <v>0.9917867265532323</v>
      </c>
      <c r="K834" s="315">
        <f t="shared" si="29"/>
        <v>-8.2471882055760466E-3</v>
      </c>
      <c r="L834" s="234"/>
      <c r="M834" s="234"/>
      <c r="N834" s="234"/>
      <c r="O834" s="234"/>
      <c r="P834" s="234"/>
      <c r="Q834" s="234"/>
      <c r="R834" s="234"/>
      <c r="S834" s="35"/>
      <c r="T834" s="35"/>
      <c r="U834" s="35"/>
      <c r="V834" s="35"/>
      <c r="W834" s="35"/>
      <c r="X834" s="35"/>
    </row>
    <row r="835" spans="1:24" ht="12.75" customHeight="1" x14ac:dyDescent="0.3">
      <c r="A835" s="35"/>
      <c r="B835" s="35"/>
      <c r="C835" s="35"/>
      <c r="D835" s="35"/>
      <c r="E835" s="35"/>
      <c r="F835" s="35"/>
      <c r="G835" s="35"/>
      <c r="H835" s="234" t="s">
        <v>1879</v>
      </c>
      <c r="I835" s="306" t="s">
        <v>1880</v>
      </c>
      <c r="J835" s="234">
        <f t="shared" si="28"/>
        <v>0.98315572055589684</v>
      </c>
      <c r="K835" s="315">
        <f t="shared" si="29"/>
        <v>-1.6987757794204097E-2</v>
      </c>
      <c r="L835" s="234"/>
      <c r="M835" s="234"/>
      <c r="N835" s="234"/>
      <c r="O835" s="234"/>
      <c r="P835" s="234"/>
      <c r="Q835" s="234"/>
      <c r="R835" s="234"/>
      <c r="S835" s="35"/>
      <c r="T835" s="35"/>
      <c r="U835" s="35"/>
      <c r="V835" s="35"/>
      <c r="W835" s="35"/>
      <c r="X835" s="35"/>
    </row>
    <row r="836" spans="1:24" ht="12.75" customHeight="1" x14ac:dyDescent="0.3">
      <c r="A836" s="35"/>
      <c r="B836" s="35"/>
      <c r="C836" s="35"/>
      <c r="D836" s="35"/>
      <c r="E836" s="35"/>
      <c r="F836" s="35"/>
      <c r="G836" s="35"/>
      <c r="H836" s="234" t="s">
        <v>1881</v>
      </c>
      <c r="I836" s="306" t="s">
        <v>1882</v>
      </c>
      <c r="J836" s="234">
        <f t="shared" si="28"/>
        <v>1.0002404359905963</v>
      </c>
      <c r="K836" s="315">
        <f t="shared" si="29"/>
        <v>2.4040709049584686E-4</v>
      </c>
      <c r="L836" s="234"/>
      <c r="M836" s="234"/>
      <c r="N836" s="234"/>
      <c r="O836" s="234"/>
      <c r="P836" s="234"/>
      <c r="Q836" s="234"/>
      <c r="R836" s="234"/>
      <c r="S836" s="35"/>
      <c r="T836" s="35"/>
      <c r="U836" s="35"/>
      <c r="V836" s="35"/>
      <c r="W836" s="35"/>
      <c r="X836" s="35"/>
    </row>
    <row r="837" spans="1:24" ht="12.75" customHeight="1" x14ac:dyDescent="0.3">
      <c r="A837" s="35"/>
      <c r="B837" s="35"/>
      <c r="C837" s="35"/>
      <c r="D837" s="35"/>
      <c r="E837" s="35"/>
      <c r="F837" s="35"/>
      <c r="G837" s="35"/>
      <c r="H837" s="234" t="s">
        <v>1883</v>
      </c>
      <c r="I837" s="306" t="s">
        <v>1884</v>
      </c>
      <c r="J837" s="234">
        <f t="shared" ref="J837:J900" si="30">I837/I838</f>
        <v>0.98910448944359786</v>
      </c>
      <c r="K837" s="315">
        <f t="shared" ref="K837:K900" si="31">LN(J837)</f>
        <v>-1.095530132884095E-2</v>
      </c>
      <c r="L837" s="234"/>
      <c r="M837" s="234"/>
      <c r="N837" s="234"/>
      <c r="O837" s="234"/>
      <c r="P837" s="234"/>
      <c r="Q837" s="234"/>
      <c r="R837" s="234"/>
      <c r="S837" s="35"/>
      <c r="T837" s="35"/>
      <c r="U837" s="35"/>
      <c r="V837" s="35"/>
      <c r="W837" s="35"/>
      <c r="X837" s="35"/>
    </row>
    <row r="838" spans="1:24" ht="12.75" customHeight="1" x14ac:dyDescent="0.3">
      <c r="A838" s="35"/>
      <c r="B838" s="35"/>
      <c r="C838" s="35"/>
      <c r="D838" s="35"/>
      <c r="E838" s="35"/>
      <c r="F838" s="35"/>
      <c r="G838" s="35"/>
      <c r="H838" s="234" t="s">
        <v>1885</v>
      </c>
      <c r="I838" s="306" t="s">
        <v>1886</v>
      </c>
      <c r="J838" s="234">
        <f t="shared" si="30"/>
        <v>1.0056245460504172</v>
      </c>
      <c r="K838" s="315">
        <f t="shared" si="31"/>
        <v>5.6087873540093926E-3</v>
      </c>
      <c r="L838" s="234"/>
      <c r="M838" s="234"/>
      <c r="N838" s="234"/>
      <c r="O838" s="234"/>
      <c r="P838" s="234"/>
      <c r="Q838" s="234"/>
      <c r="R838" s="234"/>
      <c r="S838" s="35"/>
      <c r="T838" s="35"/>
      <c r="U838" s="35"/>
      <c r="V838" s="35"/>
      <c r="W838" s="35"/>
      <c r="X838" s="35"/>
    </row>
    <row r="839" spans="1:24" ht="12.75" customHeight="1" x14ac:dyDescent="0.3">
      <c r="A839" s="35"/>
      <c r="B839" s="35"/>
      <c r="C839" s="35"/>
      <c r="D839" s="35"/>
      <c r="E839" s="35"/>
      <c r="F839" s="35"/>
      <c r="G839" s="35"/>
      <c r="H839" s="234" t="s">
        <v>1887</v>
      </c>
      <c r="I839" s="306" t="s">
        <v>1888</v>
      </c>
      <c r="J839" s="234">
        <f t="shared" si="30"/>
        <v>1.0003721556673992</v>
      </c>
      <c r="K839" s="315">
        <f t="shared" si="31"/>
        <v>3.7208643465521621E-4</v>
      </c>
      <c r="L839" s="234"/>
      <c r="M839" s="234"/>
      <c r="N839" s="234"/>
      <c r="O839" s="234"/>
      <c r="P839" s="234"/>
      <c r="Q839" s="234"/>
      <c r="R839" s="234"/>
      <c r="S839" s="35"/>
      <c r="T839" s="35"/>
      <c r="U839" s="35"/>
      <c r="V839" s="35"/>
      <c r="W839" s="35"/>
      <c r="X839" s="35"/>
    </row>
    <row r="840" spans="1:24" ht="12.75" customHeight="1" x14ac:dyDescent="0.3">
      <c r="A840" s="35"/>
      <c r="B840" s="35"/>
      <c r="C840" s="35"/>
      <c r="D840" s="35"/>
      <c r="E840" s="35"/>
      <c r="F840" s="35"/>
      <c r="G840" s="35"/>
      <c r="H840" s="234" t="s">
        <v>1889</v>
      </c>
      <c r="I840" s="306" t="s">
        <v>1890</v>
      </c>
      <c r="J840" s="234">
        <f t="shared" si="30"/>
        <v>1.021284297400999</v>
      </c>
      <c r="K840" s="315">
        <f t="shared" si="31"/>
        <v>2.1060950374542472E-2</v>
      </c>
      <c r="L840" s="234"/>
      <c r="M840" s="234"/>
      <c r="N840" s="234"/>
      <c r="O840" s="234"/>
      <c r="P840" s="234"/>
      <c r="Q840" s="234"/>
      <c r="R840" s="234"/>
      <c r="S840" s="35"/>
      <c r="T840" s="35"/>
      <c r="U840" s="35"/>
      <c r="V840" s="35"/>
      <c r="W840" s="35"/>
      <c r="X840" s="35"/>
    </row>
    <row r="841" spans="1:24" ht="12.75" customHeight="1" x14ac:dyDescent="0.3">
      <c r="A841" s="35"/>
      <c r="B841" s="35"/>
      <c r="C841" s="35"/>
      <c r="D841" s="35"/>
      <c r="E841" s="35"/>
      <c r="F841" s="35"/>
      <c r="G841" s="35"/>
      <c r="H841" s="234" t="s">
        <v>1891</v>
      </c>
      <c r="I841" s="306" t="s">
        <v>1892</v>
      </c>
      <c r="J841" s="234">
        <f t="shared" si="30"/>
        <v>0.9911828284912142</v>
      </c>
      <c r="K841" s="315">
        <f t="shared" si="31"/>
        <v>-8.8562727768964344E-3</v>
      </c>
      <c r="L841" s="234"/>
      <c r="M841" s="234"/>
      <c r="N841" s="234"/>
      <c r="O841" s="234"/>
      <c r="P841" s="234"/>
      <c r="Q841" s="234"/>
      <c r="R841" s="234"/>
      <c r="S841" s="35"/>
      <c r="T841" s="35"/>
      <c r="U841" s="35"/>
      <c r="V841" s="35"/>
      <c r="W841" s="35"/>
      <c r="X841" s="35"/>
    </row>
    <row r="842" spans="1:24" ht="12.75" customHeight="1" x14ac:dyDescent="0.3">
      <c r="A842" s="35"/>
      <c r="B842" s="35"/>
      <c r="C842" s="35"/>
      <c r="D842" s="35"/>
      <c r="E842" s="35"/>
      <c r="F842" s="35"/>
      <c r="G842" s="35"/>
      <c r="H842" s="234" t="s">
        <v>1893</v>
      </c>
      <c r="I842" s="306" t="s">
        <v>1894</v>
      </c>
      <c r="J842" s="234">
        <f t="shared" si="30"/>
        <v>0.97961461070057199</v>
      </c>
      <c r="K842" s="315">
        <f t="shared" si="31"/>
        <v>-2.0596039049475521E-2</v>
      </c>
      <c r="L842" s="234"/>
      <c r="M842" s="234"/>
      <c r="N842" s="234"/>
      <c r="O842" s="234"/>
      <c r="P842" s="234"/>
      <c r="Q842" s="234"/>
      <c r="R842" s="234"/>
      <c r="S842" s="35"/>
      <c r="T842" s="35"/>
      <c r="U842" s="35"/>
      <c r="V842" s="35"/>
      <c r="W842" s="35"/>
      <c r="X842" s="35"/>
    </row>
    <row r="843" spans="1:24" ht="12.75" customHeight="1" x14ac:dyDescent="0.3">
      <c r="A843" s="35"/>
      <c r="B843" s="35"/>
      <c r="C843" s="35"/>
      <c r="D843" s="35"/>
      <c r="E843" s="35"/>
      <c r="F843" s="35"/>
      <c r="G843" s="35"/>
      <c r="H843" s="234" t="s">
        <v>1895</v>
      </c>
      <c r="I843" s="306" t="s">
        <v>1896</v>
      </c>
      <c r="J843" s="234">
        <f t="shared" si="30"/>
        <v>1.0008706511415204</v>
      </c>
      <c r="K843" s="315">
        <f t="shared" si="31"/>
        <v>8.7027234466595545E-4</v>
      </c>
      <c r="L843" s="234"/>
      <c r="M843" s="234"/>
      <c r="N843" s="234"/>
      <c r="O843" s="234"/>
      <c r="P843" s="234"/>
      <c r="Q843" s="234"/>
      <c r="R843" s="234"/>
      <c r="S843" s="35"/>
      <c r="T843" s="35"/>
      <c r="U843" s="35"/>
      <c r="V843" s="35"/>
      <c r="W843" s="35"/>
      <c r="X843" s="35"/>
    </row>
    <row r="844" spans="1:24" ht="12.75" customHeight="1" x14ac:dyDescent="0.3">
      <c r="A844" s="35"/>
      <c r="B844" s="35"/>
      <c r="C844" s="35"/>
      <c r="D844" s="35"/>
      <c r="E844" s="35"/>
      <c r="F844" s="35"/>
      <c r="G844" s="35"/>
      <c r="H844" s="234" t="s">
        <v>1897</v>
      </c>
      <c r="I844" s="306" t="s">
        <v>1898</v>
      </c>
      <c r="J844" s="234">
        <f t="shared" si="30"/>
        <v>1.0017619903442929</v>
      </c>
      <c r="K844" s="315">
        <f t="shared" si="31"/>
        <v>1.7604398603309006E-3</v>
      </c>
      <c r="L844" s="234"/>
      <c r="M844" s="234"/>
      <c r="N844" s="234"/>
      <c r="O844" s="234"/>
      <c r="P844" s="234"/>
      <c r="Q844" s="234"/>
      <c r="R844" s="234"/>
      <c r="S844" s="35"/>
      <c r="T844" s="35"/>
      <c r="U844" s="35"/>
      <c r="V844" s="35"/>
      <c r="W844" s="35"/>
      <c r="X844" s="35"/>
    </row>
    <row r="845" spans="1:24" ht="12.75" customHeight="1" x14ac:dyDescent="0.3">
      <c r="A845" s="35"/>
      <c r="B845" s="35"/>
      <c r="C845" s="35"/>
      <c r="D845" s="35"/>
      <c r="E845" s="35"/>
      <c r="F845" s="35"/>
      <c r="G845" s="35"/>
      <c r="H845" s="234" t="s">
        <v>1899</v>
      </c>
      <c r="I845" s="306" t="s">
        <v>1900</v>
      </c>
      <c r="J845" s="234">
        <f t="shared" si="30"/>
        <v>1.0041934285259302</v>
      </c>
      <c r="K845" s="315">
        <f t="shared" si="31"/>
        <v>4.1846606077413882E-3</v>
      </c>
      <c r="L845" s="234"/>
      <c r="M845" s="234"/>
      <c r="N845" s="234"/>
      <c r="O845" s="234"/>
      <c r="P845" s="234"/>
      <c r="Q845" s="234"/>
      <c r="R845" s="234"/>
      <c r="S845" s="35"/>
      <c r="T845" s="35"/>
      <c r="U845" s="35"/>
      <c r="V845" s="35"/>
      <c r="W845" s="35"/>
      <c r="X845" s="35"/>
    </row>
    <row r="846" spans="1:24" ht="12.75" customHeight="1" x14ac:dyDescent="0.3">
      <c r="A846" s="35"/>
      <c r="B846" s="35"/>
      <c r="C846" s="35"/>
      <c r="D846" s="35"/>
      <c r="E846" s="35"/>
      <c r="F846" s="35"/>
      <c r="G846" s="35"/>
      <c r="H846" s="234" t="s">
        <v>1901</v>
      </c>
      <c r="I846" s="306" t="s">
        <v>1902</v>
      </c>
      <c r="J846" s="234">
        <f t="shared" si="30"/>
        <v>1.0023677139588709</v>
      </c>
      <c r="K846" s="315">
        <f t="shared" si="31"/>
        <v>2.3649153408561714E-3</v>
      </c>
      <c r="L846" s="234"/>
      <c r="M846" s="234"/>
      <c r="N846" s="234"/>
      <c r="O846" s="234"/>
      <c r="P846" s="234"/>
      <c r="Q846" s="234"/>
      <c r="R846" s="234"/>
      <c r="S846" s="35"/>
      <c r="T846" s="35"/>
      <c r="U846" s="35"/>
      <c r="V846" s="35"/>
      <c r="W846" s="35"/>
      <c r="X846" s="35"/>
    </row>
    <row r="847" spans="1:24" ht="12.75" customHeight="1" x14ac:dyDescent="0.3">
      <c r="A847" s="35"/>
      <c r="B847" s="35"/>
      <c r="C847" s="35"/>
      <c r="D847" s="35"/>
      <c r="E847" s="35"/>
      <c r="F847" s="35"/>
      <c r="G847" s="35"/>
      <c r="H847" s="234" t="s">
        <v>1903</v>
      </c>
      <c r="I847" s="306" t="s">
        <v>1904</v>
      </c>
      <c r="J847" s="234">
        <f t="shared" si="30"/>
        <v>1.0277894237955485</v>
      </c>
      <c r="K847" s="315">
        <f t="shared" si="31"/>
        <v>2.7410305384449867E-2</v>
      </c>
      <c r="L847" s="234"/>
      <c r="M847" s="234"/>
      <c r="N847" s="234"/>
      <c r="O847" s="234"/>
      <c r="P847" s="234"/>
      <c r="Q847" s="234"/>
      <c r="R847" s="234"/>
      <c r="S847" s="35"/>
      <c r="T847" s="35"/>
      <c r="U847" s="35"/>
      <c r="V847" s="35"/>
      <c r="W847" s="35"/>
      <c r="X847" s="35"/>
    </row>
    <row r="848" spans="1:24" ht="12.75" customHeight="1" x14ac:dyDescent="0.3">
      <c r="A848" s="35"/>
      <c r="B848" s="35"/>
      <c r="C848" s="35"/>
      <c r="D848" s="35"/>
      <c r="E848" s="35"/>
      <c r="F848" s="35"/>
      <c r="G848" s="35"/>
      <c r="H848" s="234" t="s">
        <v>1905</v>
      </c>
      <c r="I848" s="306" t="s">
        <v>1906</v>
      </c>
      <c r="J848" s="234">
        <f t="shared" si="30"/>
        <v>0.99530099060198118</v>
      </c>
      <c r="K848" s="315">
        <f t="shared" si="31"/>
        <v>-4.7100844508182506E-3</v>
      </c>
      <c r="L848" s="234"/>
      <c r="M848" s="234"/>
      <c r="N848" s="234"/>
      <c r="O848" s="234"/>
      <c r="P848" s="234"/>
      <c r="Q848" s="234"/>
      <c r="R848" s="234"/>
      <c r="S848" s="35"/>
      <c r="T848" s="35"/>
      <c r="U848" s="35"/>
      <c r="V848" s="35"/>
      <c r="W848" s="35"/>
      <c r="X848" s="35"/>
    </row>
    <row r="849" spans="1:24" ht="12.75" customHeight="1" x14ac:dyDescent="0.3">
      <c r="A849" s="35"/>
      <c r="B849" s="35"/>
      <c r="C849" s="35"/>
      <c r="D849" s="35"/>
      <c r="E849" s="35"/>
      <c r="F849" s="35"/>
      <c r="G849" s="35"/>
      <c r="H849" s="234" t="s">
        <v>1907</v>
      </c>
      <c r="I849" s="306" t="s">
        <v>1908</v>
      </c>
      <c r="J849" s="234">
        <f t="shared" si="30"/>
        <v>1.0145226306392534</v>
      </c>
      <c r="K849" s="315">
        <f t="shared" si="31"/>
        <v>1.4418187220000723E-2</v>
      </c>
      <c r="L849" s="234"/>
      <c r="M849" s="234"/>
      <c r="N849" s="234"/>
      <c r="O849" s="234"/>
      <c r="P849" s="234"/>
      <c r="Q849" s="234"/>
      <c r="R849" s="234"/>
      <c r="S849" s="35"/>
      <c r="T849" s="35"/>
      <c r="U849" s="35"/>
      <c r="V849" s="35"/>
      <c r="W849" s="35"/>
      <c r="X849" s="35"/>
    </row>
    <row r="850" spans="1:24" ht="12.75" customHeight="1" x14ac:dyDescent="0.3">
      <c r="A850" s="35"/>
      <c r="B850" s="35"/>
      <c r="C850" s="35"/>
      <c r="D850" s="35"/>
      <c r="E850" s="35"/>
      <c r="F850" s="35"/>
      <c r="G850" s="35"/>
      <c r="H850" s="234" t="s">
        <v>1909</v>
      </c>
      <c r="I850" s="306" t="s">
        <v>1910</v>
      </c>
      <c r="J850" s="234">
        <f t="shared" si="30"/>
        <v>1.0023523334225068</v>
      </c>
      <c r="K850" s="315">
        <f t="shared" si="31"/>
        <v>2.349571017458532E-3</v>
      </c>
      <c r="L850" s="234"/>
      <c r="M850" s="234"/>
      <c r="N850" s="234"/>
      <c r="O850" s="234"/>
      <c r="P850" s="234"/>
      <c r="Q850" s="234"/>
      <c r="R850" s="234"/>
      <c r="S850" s="35"/>
      <c r="T850" s="35"/>
      <c r="U850" s="35"/>
      <c r="V850" s="35"/>
      <c r="W850" s="35"/>
      <c r="X850" s="35"/>
    </row>
    <row r="851" spans="1:24" ht="12.75" customHeight="1" x14ac:dyDescent="0.3">
      <c r="A851" s="35"/>
      <c r="B851" s="35"/>
      <c r="C851" s="35"/>
      <c r="D851" s="35"/>
      <c r="E851" s="35"/>
      <c r="F851" s="35"/>
      <c r="G851" s="35"/>
      <c r="H851" s="234" t="s">
        <v>1911</v>
      </c>
      <c r="I851" s="306" t="s">
        <v>1912</v>
      </c>
      <c r="J851" s="234">
        <f t="shared" si="30"/>
        <v>1.0181266612192763</v>
      </c>
      <c r="K851" s="315">
        <f t="shared" si="31"/>
        <v>1.7964332018539423E-2</v>
      </c>
      <c r="L851" s="234"/>
      <c r="M851" s="234"/>
      <c r="N851" s="234"/>
      <c r="O851" s="234"/>
      <c r="P851" s="234"/>
      <c r="Q851" s="234"/>
      <c r="R851" s="234"/>
      <c r="S851" s="35"/>
      <c r="T851" s="35"/>
      <c r="U851" s="35"/>
      <c r="V851" s="35"/>
      <c r="W851" s="35"/>
      <c r="X851" s="35"/>
    </row>
    <row r="852" spans="1:24" ht="12.75" customHeight="1" x14ac:dyDescent="0.3">
      <c r="A852" s="35"/>
      <c r="B852" s="35"/>
      <c r="C852" s="35"/>
      <c r="D852" s="35"/>
      <c r="E852" s="35"/>
      <c r="F852" s="35"/>
      <c r="G852" s="35"/>
      <c r="H852" s="234" t="s">
        <v>1913</v>
      </c>
      <c r="I852" s="306" t="s">
        <v>1914</v>
      </c>
      <c r="J852" s="234">
        <f t="shared" si="30"/>
        <v>1.0054772270121726</v>
      </c>
      <c r="K852" s="315">
        <f t="shared" si="31"/>
        <v>5.4622815525811842E-3</v>
      </c>
      <c r="L852" s="234"/>
      <c r="M852" s="234"/>
      <c r="N852" s="234"/>
      <c r="O852" s="234"/>
      <c r="P852" s="234"/>
      <c r="Q852" s="234"/>
      <c r="R852" s="234"/>
      <c r="S852" s="35"/>
      <c r="T852" s="35"/>
      <c r="U852" s="35"/>
      <c r="V852" s="35"/>
      <c r="W852" s="35"/>
      <c r="X852" s="35"/>
    </row>
    <row r="853" spans="1:24" ht="12.75" customHeight="1" x14ac:dyDescent="0.3">
      <c r="A853" s="35"/>
      <c r="B853" s="35"/>
      <c r="C853" s="35"/>
      <c r="D853" s="35"/>
      <c r="E853" s="35"/>
      <c r="F853" s="35"/>
      <c r="G853" s="35"/>
      <c r="H853" s="234" t="s">
        <v>1915</v>
      </c>
      <c r="I853" s="306" t="s">
        <v>1916</v>
      </c>
      <c r="J853" s="234">
        <f t="shared" si="30"/>
        <v>1.0203898744423139</v>
      </c>
      <c r="K853" s="315">
        <f t="shared" si="31"/>
        <v>2.0184784110367334E-2</v>
      </c>
      <c r="L853" s="234"/>
      <c r="M853" s="234"/>
      <c r="N853" s="234"/>
      <c r="O853" s="234"/>
      <c r="P853" s="234"/>
      <c r="Q853" s="234"/>
      <c r="R853" s="234"/>
      <c r="S853" s="35"/>
      <c r="T853" s="35"/>
      <c r="U853" s="35"/>
      <c r="V853" s="35"/>
      <c r="W853" s="35"/>
      <c r="X853" s="35"/>
    </row>
    <row r="854" spans="1:24" ht="12.75" customHeight="1" x14ac:dyDescent="0.3">
      <c r="A854" s="35"/>
      <c r="B854" s="35"/>
      <c r="C854" s="35"/>
      <c r="D854" s="35"/>
      <c r="E854" s="35"/>
      <c r="F854" s="35"/>
      <c r="G854" s="35"/>
      <c r="H854" s="234" t="s">
        <v>1917</v>
      </c>
      <c r="I854" s="306" t="s">
        <v>1918</v>
      </c>
      <c r="J854" s="234">
        <f t="shared" si="30"/>
        <v>1.0040150151893346</v>
      </c>
      <c r="K854" s="315">
        <f t="shared" si="31"/>
        <v>4.0069765255701601E-3</v>
      </c>
      <c r="L854" s="234"/>
      <c r="M854" s="234"/>
      <c r="N854" s="234"/>
      <c r="O854" s="234"/>
      <c r="P854" s="234"/>
      <c r="Q854" s="234"/>
      <c r="R854" s="234"/>
      <c r="S854" s="35"/>
      <c r="T854" s="35"/>
      <c r="U854" s="35"/>
      <c r="V854" s="35"/>
      <c r="W854" s="35"/>
      <c r="X854" s="35"/>
    </row>
    <row r="855" spans="1:24" ht="12.75" customHeight="1" x14ac:dyDescent="0.3">
      <c r="A855" s="35"/>
      <c r="B855" s="35"/>
      <c r="C855" s="35"/>
      <c r="D855" s="35"/>
      <c r="E855" s="35"/>
      <c r="F855" s="35"/>
      <c r="G855" s="35"/>
      <c r="H855" s="234" t="s">
        <v>1919</v>
      </c>
      <c r="I855" s="306" t="s">
        <v>1920</v>
      </c>
      <c r="J855" s="234">
        <f t="shared" si="30"/>
        <v>1.0111225238444608</v>
      </c>
      <c r="K855" s="315">
        <f t="shared" si="31"/>
        <v>1.1061123441581141E-2</v>
      </c>
      <c r="L855" s="234"/>
      <c r="M855" s="234"/>
      <c r="N855" s="234"/>
      <c r="O855" s="234"/>
      <c r="P855" s="234"/>
      <c r="Q855" s="234"/>
      <c r="R855" s="234"/>
      <c r="S855" s="35"/>
      <c r="T855" s="35"/>
      <c r="U855" s="35"/>
      <c r="V855" s="35"/>
      <c r="W855" s="35"/>
      <c r="X855" s="35"/>
    </row>
    <row r="856" spans="1:24" ht="12.75" customHeight="1" x14ac:dyDescent="0.3">
      <c r="A856" s="35"/>
      <c r="B856" s="35"/>
      <c r="C856" s="35"/>
      <c r="D856" s="35"/>
      <c r="E856" s="35"/>
      <c r="F856" s="35"/>
      <c r="G856" s="35"/>
      <c r="H856" s="234" t="s">
        <v>1921</v>
      </c>
      <c r="I856" s="306" t="s">
        <v>1922</v>
      </c>
      <c r="J856" s="234">
        <f t="shared" si="30"/>
        <v>0.99088838268792712</v>
      </c>
      <c r="K856" s="315">
        <f t="shared" si="31"/>
        <v>-9.1533819864872482E-3</v>
      </c>
      <c r="L856" s="234"/>
      <c r="M856" s="234"/>
      <c r="N856" s="234"/>
      <c r="O856" s="234"/>
      <c r="P856" s="234"/>
      <c r="Q856" s="234"/>
      <c r="R856" s="234"/>
      <c r="S856" s="35"/>
      <c r="T856" s="35"/>
      <c r="U856" s="35"/>
      <c r="V856" s="35"/>
      <c r="W856" s="35"/>
      <c r="X856" s="35"/>
    </row>
    <row r="857" spans="1:24" ht="12.75" customHeight="1" x14ac:dyDescent="0.3">
      <c r="A857" s="35"/>
      <c r="B857" s="35"/>
      <c r="C857" s="35"/>
      <c r="D857" s="35"/>
      <c r="E857" s="35"/>
      <c r="F857" s="35"/>
      <c r="G857" s="35"/>
      <c r="H857" s="234" t="s">
        <v>1923</v>
      </c>
      <c r="I857" s="306" t="s">
        <v>1924</v>
      </c>
      <c r="J857" s="234">
        <f t="shared" si="30"/>
        <v>1.0055362242560699</v>
      </c>
      <c r="K857" s="315">
        <f t="shared" si="31"/>
        <v>5.5209556940963205E-3</v>
      </c>
      <c r="L857" s="234"/>
      <c r="M857" s="234"/>
      <c r="N857" s="234"/>
      <c r="O857" s="234"/>
      <c r="P857" s="234"/>
      <c r="Q857" s="234"/>
      <c r="R857" s="234"/>
      <c r="S857" s="35"/>
      <c r="T857" s="35"/>
      <c r="U857" s="35"/>
      <c r="V857" s="35"/>
      <c r="W857" s="35"/>
      <c r="X857" s="35"/>
    </row>
    <row r="858" spans="1:24" ht="12.75" customHeight="1" x14ac:dyDescent="0.3">
      <c r="A858" s="35"/>
      <c r="B858" s="35"/>
      <c r="C858" s="35"/>
      <c r="D858" s="35"/>
      <c r="E858" s="35"/>
      <c r="F858" s="35"/>
      <c r="G858" s="35"/>
      <c r="H858" s="234" t="s">
        <v>1925</v>
      </c>
      <c r="I858" s="306" t="s">
        <v>1926</v>
      </c>
      <c r="J858" s="234">
        <f t="shared" si="30"/>
        <v>1.0114356694302868</v>
      </c>
      <c r="K858" s="315">
        <f t="shared" si="31"/>
        <v>1.1370776423996658E-2</v>
      </c>
      <c r="L858" s="234"/>
      <c r="M858" s="234"/>
      <c r="N858" s="234"/>
      <c r="O858" s="234"/>
      <c r="P858" s="234"/>
      <c r="Q858" s="234"/>
      <c r="R858" s="234"/>
      <c r="S858" s="35"/>
      <c r="T858" s="35"/>
      <c r="U858" s="35"/>
      <c r="V858" s="35"/>
      <c r="W858" s="35"/>
      <c r="X858" s="35"/>
    </row>
    <row r="859" spans="1:24" ht="12.75" customHeight="1" x14ac:dyDescent="0.3">
      <c r="A859" s="35"/>
      <c r="B859" s="35"/>
      <c r="C859" s="35"/>
      <c r="D859" s="35"/>
      <c r="E859" s="35"/>
      <c r="F859" s="35"/>
      <c r="G859" s="35"/>
      <c r="H859" s="234" t="s">
        <v>1927</v>
      </c>
      <c r="I859" s="306" t="s">
        <v>1928</v>
      </c>
      <c r="J859" s="234">
        <f t="shared" si="30"/>
        <v>1.0166778587393384</v>
      </c>
      <c r="K859" s="315">
        <f t="shared" si="31"/>
        <v>1.6540310486686933E-2</v>
      </c>
      <c r="L859" s="234"/>
      <c r="M859" s="234"/>
      <c r="N859" s="234"/>
      <c r="O859" s="234"/>
      <c r="P859" s="234"/>
      <c r="Q859" s="234"/>
      <c r="R859" s="234"/>
      <c r="S859" s="35"/>
      <c r="T859" s="35"/>
      <c r="U859" s="35"/>
      <c r="V859" s="35"/>
      <c r="W859" s="35"/>
      <c r="X859" s="35"/>
    </row>
    <row r="860" spans="1:24" ht="12.75" customHeight="1" x14ac:dyDescent="0.3">
      <c r="A860" s="35"/>
      <c r="B860" s="35"/>
      <c r="C860" s="35"/>
      <c r="D860" s="35"/>
      <c r="E860" s="35"/>
      <c r="F860" s="35"/>
      <c r="G860" s="35"/>
      <c r="H860" s="234" t="s">
        <v>1929</v>
      </c>
      <c r="I860" s="306" t="s">
        <v>1930</v>
      </c>
      <c r="J860" s="234">
        <f t="shared" si="30"/>
        <v>0.99504338286626115</v>
      </c>
      <c r="K860" s="315">
        <f t="shared" si="31"/>
        <v>-4.9689419034203916E-3</v>
      </c>
      <c r="L860" s="234"/>
      <c r="M860" s="234"/>
      <c r="N860" s="234"/>
      <c r="O860" s="234"/>
      <c r="P860" s="234"/>
      <c r="Q860" s="234"/>
      <c r="R860" s="234"/>
      <c r="S860" s="35"/>
      <c r="T860" s="35"/>
      <c r="U860" s="35"/>
      <c r="V860" s="35"/>
      <c r="W860" s="35"/>
      <c r="X860" s="35"/>
    </row>
    <row r="861" spans="1:24" ht="12.75" customHeight="1" x14ac:dyDescent="0.3">
      <c r="A861" s="35"/>
      <c r="B861" s="35"/>
      <c r="C861" s="35"/>
      <c r="D861" s="35"/>
      <c r="E861" s="35"/>
      <c r="F861" s="35"/>
      <c r="G861" s="35"/>
      <c r="H861" s="234" t="s">
        <v>1931</v>
      </c>
      <c r="I861" s="306" t="s">
        <v>1932</v>
      </c>
      <c r="J861" s="234">
        <f t="shared" si="30"/>
        <v>1.013585912702424</v>
      </c>
      <c r="K861" s="315">
        <f t="shared" si="31"/>
        <v>1.3494451647255271E-2</v>
      </c>
      <c r="L861" s="234"/>
      <c r="M861" s="234"/>
      <c r="N861" s="234"/>
      <c r="O861" s="234"/>
      <c r="P861" s="234"/>
      <c r="Q861" s="234"/>
      <c r="R861" s="234"/>
      <c r="S861" s="35"/>
      <c r="T861" s="35"/>
      <c r="U861" s="35"/>
      <c r="V861" s="35"/>
      <c r="W861" s="35"/>
      <c r="X861" s="35"/>
    </row>
    <row r="862" spans="1:24" ht="12.75" customHeight="1" x14ac:dyDescent="0.3">
      <c r="A862" s="35"/>
      <c r="B862" s="35"/>
      <c r="C862" s="35"/>
      <c r="D862" s="35"/>
      <c r="E862" s="35"/>
      <c r="F862" s="35"/>
      <c r="G862" s="35"/>
      <c r="H862" s="234" t="s">
        <v>1933</v>
      </c>
      <c r="I862" s="306" t="s">
        <v>1934</v>
      </c>
      <c r="J862" s="234">
        <f t="shared" si="30"/>
        <v>0.99890946543611281</v>
      </c>
      <c r="K862" s="315">
        <f t="shared" si="31"/>
        <v>-1.0911296293703646E-3</v>
      </c>
      <c r="L862" s="234"/>
      <c r="M862" s="234"/>
      <c r="N862" s="234"/>
      <c r="O862" s="234"/>
      <c r="P862" s="234"/>
      <c r="Q862" s="234"/>
      <c r="R862" s="234"/>
      <c r="S862" s="35"/>
      <c r="T862" s="35"/>
      <c r="U862" s="35"/>
      <c r="V862" s="35"/>
      <c r="W862" s="35"/>
      <c r="X862" s="35"/>
    </row>
    <row r="863" spans="1:24" ht="12.75" customHeight="1" x14ac:dyDescent="0.3">
      <c r="A863" s="35"/>
      <c r="B863" s="35"/>
      <c r="C863" s="35"/>
      <c r="D863" s="35"/>
      <c r="E863" s="35"/>
      <c r="F863" s="35"/>
      <c r="G863" s="35"/>
      <c r="H863" s="234" t="s">
        <v>1935</v>
      </c>
      <c r="I863" s="306" t="s">
        <v>1936</v>
      </c>
      <c r="J863" s="234">
        <f t="shared" si="30"/>
        <v>1.0076104429928983</v>
      </c>
      <c r="K863" s="315">
        <f t="shared" si="31"/>
        <v>7.5816296673997243E-3</v>
      </c>
      <c r="L863" s="234"/>
      <c r="M863" s="234"/>
      <c r="N863" s="234"/>
      <c r="O863" s="234"/>
      <c r="P863" s="234"/>
      <c r="Q863" s="234"/>
      <c r="R863" s="234"/>
      <c r="S863" s="35"/>
      <c r="T863" s="35"/>
      <c r="U863" s="35"/>
      <c r="V863" s="35"/>
      <c r="W863" s="35"/>
      <c r="X863" s="35"/>
    </row>
    <row r="864" spans="1:24" ht="12.75" customHeight="1" x14ac:dyDescent="0.3">
      <c r="A864" s="35"/>
      <c r="B864" s="35"/>
      <c r="C864" s="35"/>
      <c r="D864" s="35"/>
      <c r="E864" s="35"/>
      <c r="F864" s="35"/>
      <c r="G864" s="35"/>
      <c r="H864" s="234" t="s">
        <v>1937</v>
      </c>
      <c r="I864" s="306" t="s">
        <v>1938</v>
      </c>
      <c r="J864" s="234">
        <f t="shared" si="30"/>
        <v>1.0004275070233297</v>
      </c>
      <c r="K864" s="315">
        <f t="shared" si="31"/>
        <v>4.2741566823792409E-4</v>
      </c>
      <c r="L864" s="234"/>
      <c r="M864" s="234"/>
      <c r="N864" s="234"/>
      <c r="O864" s="234"/>
      <c r="P864" s="234"/>
      <c r="Q864" s="234"/>
      <c r="R864" s="234"/>
      <c r="S864" s="35"/>
      <c r="T864" s="35"/>
      <c r="U864" s="35"/>
      <c r="V864" s="35"/>
      <c r="W864" s="35"/>
      <c r="X864" s="35"/>
    </row>
    <row r="865" spans="1:24" ht="12.75" customHeight="1" x14ac:dyDescent="0.3">
      <c r="A865" s="35"/>
      <c r="B865" s="35"/>
      <c r="C865" s="35"/>
      <c r="D865" s="35"/>
      <c r="E865" s="35"/>
      <c r="F865" s="35"/>
      <c r="G865" s="35"/>
      <c r="H865" s="234" t="s">
        <v>1939</v>
      </c>
      <c r="I865" s="306" t="s">
        <v>1940</v>
      </c>
      <c r="J865" s="234">
        <f t="shared" si="30"/>
        <v>1.0136607511349567</v>
      </c>
      <c r="K865" s="315">
        <f t="shared" si="31"/>
        <v>1.3568284233986457E-2</v>
      </c>
      <c r="L865" s="234"/>
      <c r="M865" s="234"/>
      <c r="N865" s="234"/>
      <c r="O865" s="234"/>
      <c r="P865" s="234"/>
      <c r="Q865" s="234"/>
      <c r="R865" s="234"/>
      <c r="S865" s="35"/>
      <c r="T865" s="35"/>
      <c r="U865" s="35"/>
      <c r="V865" s="35"/>
      <c r="W865" s="35"/>
      <c r="X865" s="35"/>
    </row>
    <row r="866" spans="1:24" ht="12.75" customHeight="1" x14ac:dyDescent="0.3">
      <c r="A866" s="35"/>
      <c r="B866" s="35"/>
      <c r="C866" s="35"/>
      <c r="D866" s="35"/>
      <c r="E866" s="35"/>
      <c r="F866" s="35"/>
      <c r="G866" s="35"/>
      <c r="H866" s="234" t="s">
        <v>1941</v>
      </c>
      <c r="I866" s="306" t="s">
        <v>1942</v>
      </c>
      <c r="J866" s="234">
        <f t="shared" si="30"/>
        <v>1.0038010212007913</v>
      </c>
      <c r="K866" s="315">
        <f t="shared" si="31"/>
        <v>3.7938155730973494E-3</v>
      </c>
      <c r="L866" s="234"/>
      <c r="M866" s="234"/>
      <c r="N866" s="234"/>
      <c r="O866" s="234"/>
      <c r="P866" s="234"/>
      <c r="Q866" s="234"/>
      <c r="R866" s="234"/>
      <c r="S866" s="35"/>
      <c r="T866" s="35"/>
      <c r="U866" s="35"/>
      <c r="V866" s="35"/>
      <c r="W866" s="35"/>
      <c r="X866" s="35"/>
    </row>
    <row r="867" spans="1:24" ht="12.75" customHeight="1" x14ac:dyDescent="0.3">
      <c r="A867" s="35"/>
      <c r="B867" s="35"/>
      <c r="C867" s="35"/>
      <c r="D867" s="35"/>
      <c r="E867" s="35"/>
      <c r="F867" s="35"/>
      <c r="G867" s="35"/>
      <c r="H867" s="234" t="s">
        <v>1943</v>
      </c>
      <c r="I867" s="306" t="s">
        <v>1944</v>
      </c>
      <c r="J867" s="234">
        <f t="shared" si="30"/>
        <v>1.004515236321643</v>
      </c>
      <c r="K867" s="315">
        <f t="shared" si="31"/>
        <v>4.505073223167011E-3</v>
      </c>
      <c r="L867" s="234"/>
      <c r="M867" s="234"/>
      <c r="N867" s="234"/>
      <c r="O867" s="234"/>
      <c r="P867" s="234"/>
      <c r="Q867" s="234"/>
      <c r="R867" s="234"/>
      <c r="S867" s="35"/>
      <c r="T867" s="35"/>
      <c r="U867" s="35"/>
      <c r="V867" s="35"/>
      <c r="W867" s="35"/>
      <c r="X867" s="35"/>
    </row>
    <row r="868" spans="1:24" ht="12.75" customHeight="1" x14ac:dyDescent="0.3">
      <c r="A868" s="35"/>
      <c r="B868" s="35"/>
      <c r="C868" s="35"/>
      <c r="D868" s="35"/>
      <c r="E868" s="35"/>
      <c r="F868" s="35"/>
      <c r="G868" s="35"/>
      <c r="H868" s="234" t="s">
        <v>1945</v>
      </c>
      <c r="I868" s="306" t="s">
        <v>1946</v>
      </c>
      <c r="J868" s="234">
        <f t="shared" si="30"/>
        <v>0.98201861482033936</v>
      </c>
      <c r="K868" s="315">
        <f t="shared" si="31"/>
        <v>-1.8145014778475587E-2</v>
      </c>
      <c r="L868" s="234"/>
      <c r="M868" s="234"/>
      <c r="N868" s="234"/>
      <c r="O868" s="234"/>
      <c r="P868" s="234"/>
      <c r="Q868" s="234"/>
      <c r="R868" s="234"/>
      <c r="S868" s="35"/>
      <c r="T868" s="35"/>
      <c r="U868" s="35"/>
      <c r="V868" s="35"/>
      <c r="W868" s="35"/>
      <c r="X868" s="35"/>
    </row>
    <row r="869" spans="1:24" ht="12.75" customHeight="1" x14ac:dyDescent="0.3">
      <c r="A869" s="35"/>
      <c r="B869" s="35"/>
      <c r="C869" s="35"/>
      <c r="D869" s="35"/>
      <c r="E869" s="35"/>
      <c r="F869" s="35"/>
      <c r="G869" s="35"/>
      <c r="H869" s="234" t="s">
        <v>1947</v>
      </c>
      <c r="I869" s="306" t="s">
        <v>1948</v>
      </c>
      <c r="J869" s="234">
        <f t="shared" si="30"/>
        <v>0.99614280771031372</v>
      </c>
      <c r="K869" s="315">
        <f t="shared" si="31"/>
        <v>-3.8646504403909484E-3</v>
      </c>
      <c r="L869" s="234"/>
      <c r="M869" s="234"/>
      <c r="N869" s="234"/>
      <c r="O869" s="234"/>
      <c r="P869" s="234"/>
      <c r="Q869" s="234"/>
      <c r="R869" s="234"/>
      <c r="S869" s="35"/>
      <c r="T869" s="35"/>
      <c r="U869" s="35"/>
      <c r="V869" s="35"/>
      <c r="W869" s="35"/>
      <c r="X869" s="35"/>
    </row>
    <row r="870" spans="1:24" ht="12.75" customHeight="1" x14ac:dyDescent="0.3">
      <c r="A870" s="35"/>
      <c r="B870" s="35"/>
      <c r="C870" s="35"/>
      <c r="D870" s="35"/>
      <c r="E870" s="35"/>
      <c r="F870" s="35"/>
      <c r="G870" s="35"/>
      <c r="H870" s="234" t="s">
        <v>1949</v>
      </c>
      <c r="I870" s="306" t="s">
        <v>1950</v>
      </c>
      <c r="J870" s="234">
        <f t="shared" si="30"/>
        <v>1.0004683745367164</v>
      </c>
      <c r="K870" s="315">
        <f t="shared" si="31"/>
        <v>4.6826488360093588E-4</v>
      </c>
      <c r="L870" s="234"/>
      <c r="M870" s="234"/>
      <c r="N870" s="234"/>
      <c r="O870" s="234"/>
      <c r="P870" s="234"/>
      <c r="Q870" s="234"/>
      <c r="R870" s="234"/>
      <c r="S870" s="35"/>
      <c r="T870" s="35"/>
      <c r="U870" s="35"/>
      <c r="V870" s="35"/>
      <c r="W870" s="35"/>
      <c r="X870" s="35"/>
    </row>
    <row r="871" spans="1:24" ht="12.75" customHeight="1" x14ac:dyDescent="0.3">
      <c r="A871" s="35"/>
      <c r="B871" s="35"/>
      <c r="C871" s="35"/>
      <c r="D871" s="35"/>
      <c r="E871" s="35"/>
      <c r="F871" s="35"/>
      <c r="G871" s="35"/>
      <c r="H871" s="234" t="s">
        <v>1951</v>
      </c>
      <c r="I871" s="306" t="s">
        <v>1952</v>
      </c>
      <c r="J871" s="234">
        <f t="shared" si="30"/>
        <v>0.97935820984822797</v>
      </c>
      <c r="K871" s="315">
        <f t="shared" si="31"/>
        <v>-2.085780976024661E-2</v>
      </c>
      <c r="L871" s="234"/>
      <c r="M871" s="234"/>
      <c r="N871" s="234"/>
      <c r="O871" s="234"/>
      <c r="P871" s="234"/>
      <c r="Q871" s="234"/>
      <c r="R871" s="234"/>
      <c r="S871" s="35"/>
      <c r="T871" s="35"/>
      <c r="U871" s="35"/>
      <c r="V871" s="35"/>
      <c r="W871" s="35"/>
      <c r="X871" s="35"/>
    </row>
    <row r="872" spans="1:24" ht="12.75" customHeight="1" x14ac:dyDescent="0.3">
      <c r="A872" s="35"/>
      <c r="B872" s="35"/>
      <c r="C872" s="35"/>
      <c r="D872" s="35"/>
      <c r="E872" s="35"/>
      <c r="F872" s="35"/>
      <c r="G872" s="35"/>
      <c r="H872" s="234" t="s">
        <v>1953</v>
      </c>
      <c r="I872" s="306" t="s">
        <v>1954</v>
      </c>
      <c r="J872" s="234">
        <f t="shared" si="30"/>
        <v>0.99553270063137833</v>
      </c>
      <c r="K872" s="315">
        <f t="shared" si="31"/>
        <v>-4.4773075679839366E-3</v>
      </c>
      <c r="L872" s="234"/>
      <c r="M872" s="234"/>
      <c r="N872" s="234"/>
      <c r="O872" s="234"/>
      <c r="P872" s="234"/>
      <c r="Q872" s="234"/>
      <c r="R872" s="234"/>
      <c r="S872" s="35"/>
      <c r="T872" s="35"/>
      <c r="U872" s="35"/>
      <c r="V872" s="35"/>
      <c r="W872" s="35"/>
      <c r="X872" s="35"/>
    </row>
    <row r="873" spans="1:24" ht="12.75" customHeight="1" x14ac:dyDescent="0.3">
      <c r="A873" s="35"/>
      <c r="B873" s="35"/>
      <c r="C873" s="35"/>
      <c r="D873" s="35"/>
      <c r="E873" s="35"/>
      <c r="F873" s="35"/>
      <c r="G873" s="35"/>
      <c r="H873" s="234" t="s">
        <v>1955</v>
      </c>
      <c r="I873" s="306" t="s">
        <v>1956</v>
      </c>
      <c r="J873" s="234">
        <f t="shared" si="30"/>
        <v>1.020360203399445</v>
      </c>
      <c r="K873" s="315">
        <f t="shared" si="31"/>
        <v>2.0155705544409513E-2</v>
      </c>
      <c r="L873" s="234"/>
      <c r="M873" s="234"/>
      <c r="N873" s="234"/>
      <c r="O873" s="234"/>
      <c r="P873" s="234"/>
      <c r="Q873" s="234"/>
      <c r="R873" s="234"/>
      <c r="S873" s="35"/>
      <c r="T873" s="35"/>
      <c r="U873" s="35"/>
      <c r="V873" s="35"/>
      <c r="W873" s="35"/>
      <c r="X873" s="35"/>
    </row>
    <row r="874" spans="1:24" ht="12.75" customHeight="1" x14ac:dyDescent="0.3">
      <c r="A874" s="35"/>
      <c r="B874" s="35"/>
      <c r="C874" s="35"/>
      <c r="D874" s="35"/>
      <c r="E874" s="35"/>
      <c r="F874" s="35"/>
      <c r="G874" s="35"/>
      <c r="H874" s="234" t="s">
        <v>1957</v>
      </c>
      <c r="I874" s="306" t="s">
        <v>1958</v>
      </c>
      <c r="J874" s="234">
        <f t="shared" si="30"/>
        <v>1.0043542840865161</v>
      </c>
      <c r="K874" s="315">
        <f t="shared" si="31"/>
        <v>4.3448316207770152E-3</v>
      </c>
      <c r="L874" s="234"/>
      <c r="M874" s="234"/>
      <c r="N874" s="234"/>
      <c r="O874" s="234"/>
      <c r="P874" s="234"/>
      <c r="Q874" s="234"/>
      <c r="R874" s="234"/>
      <c r="S874" s="35"/>
      <c r="T874" s="35"/>
      <c r="U874" s="35"/>
      <c r="V874" s="35"/>
      <c r="W874" s="35"/>
      <c r="X874" s="35"/>
    </row>
    <row r="875" spans="1:24" ht="12.75" customHeight="1" x14ac:dyDescent="0.3">
      <c r="A875" s="35"/>
      <c r="B875" s="35"/>
      <c r="C875" s="35"/>
      <c r="D875" s="35"/>
      <c r="E875" s="35"/>
      <c r="F875" s="35"/>
      <c r="G875" s="35"/>
      <c r="H875" s="234" t="s">
        <v>1959</v>
      </c>
      <c r="I875" s="306" t="s">
        <v>1960</v>
      </c>
      <c r="J875" s="234">
        <f t="shared" si="30"/>
        <v>0.99681567418465034</v>
      </c>
      <c r="K875" s="315">
        <f t="shared" si="31"/>
        <v>-3.1894065695169294E-3</v>
      </c>
      <c r="L875" s="234"/>
      <c r="M875" s="234"/>
      <c r="N875" s="234"/>
      <c r="O875" s="234"/>
      <c r="P875" s="234"/>
      <c r="Q875" s="234"/>
      <c r="R875" s="234"/>
      <c r="S875" s="35"/>
      <c r="T875" s="35"/>
      <c r="U875" s="35"/>
      <c r="V875" s="35"/>
      <c r="W875" s="35"/>
      <c r="X875" s="35"/>
    </row>
    <row r="876" spans="1:24" ht="12.75" customHeight="1" x14ac:dyDescent="0.3">
      <c r="A876" s="35"/>
      <c r="B876" s="35"/>
      <c r="C876" s="35"/>
      <c r="D876" s="35"/>
      <c r="E876" s="35"/>
      <c r="F876" s="35"/>
      <c r="G876" s="35"/>
      <c r="H876" s="234" t="s">
        <v>1961</v>
      </c>
      <c r="I876" s="306" t="s">
        <v>1962</v>
      </c>
      <c r="J876" s="234">
        <f t="shared" si="30"/>
        <v>0.99652356698197109</v>
      </c>
      <c r="K876" s="315">
        <f t="shared" si="31"/>
        <v>-3.4824898528212174E-3</v>
      </c>
      <c r="L876" s="234"/>
      <c r="M876" s="234"/>
      <c r="N876" s="234"/>
      <c r="O876" s="234"/>
      <c r="P876" s="234"/>
      <c r="Q876" s="234"/>
      <c r="R876" s="234"/>
      <c r="S876" s="35"/>
      <c r="T876" s="35"/>
      <c r="U876" s="35"/>
      <c r="V876" s="35"/>
      <c r="W876" s="35"/>
      <c r="X876" s="35"/>
    </row>
    <row r="877" spans="1:24" ht="12.75" customHeight="1" x14ac:dyDescent="0.3">
      <c r="A877" s="35"/>
      <c r="B877" s="35"/>
      <c r="C877" s="35"/>
      <c r="D877" s="35"/>
      <c r="E877" s="35"/>
      <c r="F877" s="35"/>
      <c r="G877" s="35"/>
      <c r="H877" s="234" t="s">
        <v>1963</v>
      </c>
      <c r="I877" s="306" t="s">
        <v>1964</v>
      </c>
      <c r="J877" s="234">
        <f t="shared" si="30"/>
        <v>1.004160662458647</v>
      </c>
      <c r="K877" s="315">
        <f t="shared" si="31"/>
        <v>4.1520308364941874E-3</v>
      </c>
      <c r="L877" s="234"/>
      <c r="M877" s="234"/>
      <c r="N877" s="234"/>
      <c r="O877" s="234"/>
      <c r="P877" s="234"/>
      <c r="Q877" s="234"/>
      <c r="R877" s="234"/>
      <c r="S877" s="35"/>
      <c r="T877" s="35"/>
      <c r="U877" s="35"/>
      <c r="V877" s="35"/>
      <c r="W877" s="35"/>
      <c r="X877" s="35"/>
    </row>
    <row r="878" spans="1:24" ht="12.75" customHeight="1" x14ac:dyDescent="0.3">
      <c r="A878" s="35"/>
      <c r="B878" s="35"/>
      <c r="C878" s="35"/>
      <c r="D878" s="35"/>
      <c r="E878" s="35"/>
      <c r="F878" s="35"/>
      <c r="G878" s="35"/>
      <c r="H878" s="234" t="s">
        <v>1965</v>
      </c>
      <c r="I878" s="306" t="s">
        <v>1966</v>
      </c>
      <c r="J878" s="234">
        <f t="shared" si="30"/>
        <v>0.98918880936367559</v>
      </c>
      <c r="K878" s="315">
        <f t="shared" si="31"/>
        <v>-1.0870056213589704E-2</v>
      </c>
      <c r="L878" s="234"/>
      <c r="M878" s="234"/>
      <c r="N878" s="234"/>
      <c r="O878" s="234"/>
      <c r="P878" s="234"/>
      <c r="Q878" s="234"/>
      <c r="R878" s="234"/>
      <c r="S878" s="35"/>
      <c r="T878" s="35"/>
      <c r="U878" s="35"/>
      <c r="V878" s="35"/>
      <c r="W878" s="35"/>
      <c r="X878" s="35"/>
    </row>
    <row r="879" spans="1:24" ht="12.75" customHeight="1" x14ac:dyDescent="0.3">
      <c r="A879" s="35"/>
      <c r="B879" s="35"/>
      <c r="C879" s="35"/>
      <c r="D879" s="35"/>
      <c r="E879" s="35"/>
      <c r="F879" s="35"/>
      <c r="G879" s="35"/>
      <c r="H879" s="234" t="s">
        <v>1967</v>
      </c>
      <c r="I879" s="306" t="s">
        <v>1968</v>
      </c>
      <c r="J879" s="234">
        <f t="shared" si="30"/>
        <v>0.99032726260537618</v>
      </c>
      <c r="K879" s="315">
        <f t="shared" si="31"/>
        <v>-9.7198221909012665E-3</v>
      </c>
      <c r="L879" s="234"/>
      <c r="M879" s="234"/>
      <c r="N879" s="234"/>
      <c r="O879" s="234"/>
      <c r="P879" s="234"/>
      <c r="Q879" s="234"/>
      <c r="R879" s="234"/>
      <c r="S879" s="35"/>
      <c r="T879" s="35"/>
      <c r="U879" s="35"/>
      <c r="V879" s="35"/>
      <c r="W879" s="35"/>
      <c r="X879" s="35"/>
    </row>
    <row r="880" spans="1:24" ht="12.75" customHeight="1" x14ac:dyDescent="0.3">
      <c r="A880" s="35"/>
      <c r="B880" s="35"/>
      <c r="C880" s="35"/>
      <c r="D880" s="35"/>
      <c r="E880" s="35"/>
      <c r="F880" s="35"/>
      <c r="G880" s="35"/>
      <c r="H880" s="234" t="s">
        <v>1969</v>
      </c>
      <c r="I880" s="306" t="s">
        <v>1970</v>
      </c>
      <c r="J880" s="234">
        <f t="shared" si="30"/>
        <v>0.99827322708056287</v>
      </c>
      <c r="K880" s="315">
        <f t="shared" si="31"/>
        <v>-1.7282655102858935E-3</v>
      </c>
      <c r="L880" s="234"/>
      <c r="M880" s="234"/>
      <c r="N880" s="234"/>
      <c r="O880" s="234"/>
      <c r="P880" s="234"/>
      <c r="Q880" s="234"/>
      <c r="R880" s="234"/>
      <c r="S880" s="35"/>
      <c r="T880" s="35"/>
      <c r="U880" s="35"/>
      <c r="V880" s="35"/>
      <c r="W880" s="35"/>
      <c r="X880" s="35"/>
    </row>
    <row r="881" spans="1:24" ht="12.75" customHeight="1" x14ac:dyDescent="0.3">
      <c r="A881" s="35"/>
      <c r="B881" s="35"/>
      <c r="C881" s="35"/>
      <c r="D881" s="35"/>
      <c r="E881" s="35"/>
      <c r="F881" s="35"/>
      <c r="G881" s="35"/>
      <c r="H881" s="234" t="s">
        <v>1971</v>
      </c>
      <c r="I881" s="306" t="s">
        <v>1972</v>
      </c>
      <c r="J881" s="234">
        <f t="shared" si="30"/>
        <v>1.0212114762903732</v>
      </c>
      <c r="K881" s="315">
        <f t="shared" si="31"/>
        <v>2.0989644365889112E-2</v>
      </c>
      <c r="L881" s="234"/>
      <c r="M881" s="234"/>
      <c r="N881" s="234"/>
      <c r="O881" s="234"/>
      <c r="P881" s="234"/>
      <c r="Q881" s="234"/>
      <c r="R881" s="234"/>
      <c r="S881" s="35"/>
      <c r="T881" s="35"/>
      <c r="U881" s="35"/>
      <c r="V881" s="35"/>
      <c r="W881" s="35"/>
      <c r="X881" s="35"/>
    </row>
    <row r="882" spans="1:24" ht="12.75" customHeight="1" x14ac:dyDescent="0.3">
      <c r="A882" s="35"/>
      <c r="B882" s="35"/>
      <c r="C882" s="35"/>
      <c r="D882" s="35"/>
      <c r="E882" s="35"/>
      <c r="F882" s="35"/>
      <c r="G882" s="35"/>
      <c r="H882" s="234" t="s">
        <v>1973</v>
      </c>
      <c r="I882" s="306" t="s">
        <v>1974</v>
      </c>
      <c r="J882" s="234">
        <f t="shared" si="30"/>
        <v>1.0060358275303065</v>
      </c>
      <c r="K882" s="315">
        <f t="shared" si="31"/>
        <v>6.0176848906126389E-3</v>
      </c>
      <c r="L882" s="234"/>
      <c r="M882" s="234"/>
      <c r="N882" s="234"/>
      <c r="O882" s="234"/>
      <c r="P882" s="234"/>
      <c r="Q882" s="234"/>
      <c r="R882" s="234"/>
      <c r="S882" s="35"/>
      <c r="T882" s="35"/>
      <c r="U882" s="35"/>
      <c r="V882" s="35"/>
      <c r="W882" s="35"/>
      <c r="X882" s="35"/>
    </row>
    <row r="883" spans="1:24" ht="12.75" customHeight="1" x14ac:dyDescent="0.3">
      <c r="A883" s="35"/>
      <c r="B883" s="35"/>
      <c r="C883" s="35"/>
      <c r="D883" s="35"/>
      <c r="E883" s="35"/>
      <c r="F883" s="35"/>
      <c r="G883" s="35"/>
      <c r="H883" s="234" t="s">
        <v>1975</v>
      </c>
      <c r="I883" s="306" t="s">
        <v>1976</v>
      </c>
      <c r="J883" s="234">
        <f t="shared" si="30"/>
        <v>0.98551088693065925</v>
      </c>
      <c r="K883" s="315">
        <f t="shared" si="31"/>
        <v>-1.4595105336571587E-2</v>
      </c>
      <c r="L883" s="234"/>
      <c r="M883" s="234"/>
      <c r="N883" s="234"/>
      <c r="O883" s="234"/>
      <c r="P883" s="234"/>
      <c r="Q883" s="234"/>
      <c r="R883" s="234"/>
      <c r="S883" s="35"/>
      <c r="T883" s="35"/>
      <c r="U883" s="35"/>
      <c r="V883" s="35"/>
      <c r="W883" s="35"/>
      <c r="X883" s="35"/>
    </row>
    <row r="884" spans="1:24" ht="12.75" customHeight="1" x14ac:dyDescent="0.3">
      <c r="A884" s="35"/>
      <c r="B884" s="35"/>
      <c r="C884" s="35"/>
      <c r="D884" s="35"/>
      <c r="E884" s="35"/>
      <c r="F884" s="35"/>
      <c r="G884" s="35"/>
      <c r="H884" s="234" t="s">
        <v>1977</v>
      </c>
      <c r="I884" s="306" t="s">
        <v>1978</v>
      </c>
      <c r="J884" s="234">
        <f t="shared" si="30"/>
        <v>0.99844499287706412</v>
      </c>
      <c r="K884" s="315">
        <f t="shared" si="31"/>
        <v>-1.5562174013358122E-3</v>
      </c>
      <c r="L884" s="234"/>
      <c r="M884" s="234"/>
      <c r="N884" s="234"/>
      <c r="O884" s="234"/>
      <c r="P884" s="234"/>
      <c r="Q884" s="234"/>
      <c r="R884" s="234"/>
      <c r="S884" s="35"/>
      <c r="T884" s="35"/>
      <c r="U884" s="35"/>
      <c r="V884" s="35"/>
      <c r="W884" s="35"/>
      <c r="X884" s="35"/>
    </row>
    <row r="885" spans="1:24" ht="12.75" customHeight="1" x14ac:dyDescent="0.3">
      <c r="A885" s="35"/>
      <c r="B885" s="35"/>
      <c r="C885" s="35"/>
      <c r="D885" s="35"/>
      <c r="E885" s="35"/>
      <c r="F885" s="35"/>
      <c r="G885" s="35"/>
      <c r="H885" s="234" t="s">
        <v>1979</v>
      </c>
      <c r="I885" s="306" t="s">
        <v>1980</v>
      </c>
      <c r="J885" s="234">
        <f t="shared" si="30"/>
        <v>0.99823742664289861</v>
      </c>
      <c r="K885" s="315">
        <f t="shared" si="31"/>
        <v>-1.7641285171787824E-3</v>
      </c>
      <c r="L885" s="234"/>
      <c r="M885" s="234"/>
      <c r="N885" s="234"/>
      <c r="O885" s="234"/>
      <c r="P885" s="234"/>
      <c r="Q885" s="234"/>
      <c r="R885" s="234"/>
      <c r="S885" s="35"/>
      <c r="T885" s="35"/>
      <c r="U885" s="35"/>
      <c r="V885" s="35"/>
      <c r="W885" s="35"/>
      <c r="X885" s="35"/>
    </row>
    <row r="886" spans="1:24" ht="12.75" customHeight="1" x14ac:dyDescent="0.3">
      <c r="A886" s="35"/>
      <c r="B886" s="35"/>
      <c r="C886" s="35"/>
      <c r="D886" s="35"/>
      <c r="E886" s="35"/>
      <c r="F886" s="35"/>
      <c r="G886" s="35"/>
      <c r="H886" s="234" t="s">
        <v>1981</v>
      </c>
      <c r="I886" s="306" t="s">
        <v>1982</v>
      </c>
      <c r="J886" s="234">
        <f t="shared" si="30"/>
        <v>1.0003005289309184</v>
      </c>
      <c r="K886" s="315">
        <f t="shared" si="31"/>
        <v>3.0048378114485398E-4</v>
      </c>
      <c r="L886" s="234"/>
      <c r="M886" s="234"/>
      <c r="N886" s="234"/>
      <c r="O886" s="234"/>
      <c r="P886" s="234"/>
      <c r="Q886" s="234"/>
      <c r="R886" s="234"/>
      <c r="S886" s="35"/>
      <c r="T886" s="35"/>
      <c r="U886" s="35"/>
      <c r="V886" s="35"/>
      <c r="W886" s="35"/>
      <c r="X886" s="35"/>
    </row>
    <row r="887" spans="1:24" ht="12.75" customHeight="1" x14ac:dyDescent="0.3">
      <c r="A887" s="35"/>
      <c r="B887" s="35"/>
      <c r="C887" s="35"/>
      <c r="D887" s="35"/>
      <c r="E887" s="35"/>
      <c r="F887" s="35"/>
      <c r="G887" s="35"/>
      <c r="H887" s="234" t="s">
        <v>1983</v>
      </c>
      <c r="I887" s="306" t="s">
        <v>1984</v>
      </c>
      <c r="J887" s="234">
        <f t="shared" si="30"/>
        <v>0.97105058365758756</v>
      </c>
      <c r="K887" s="315">
        <f t="shared" si="31"/>
        <v>-2.9376717652634183E-2</v>
      </c>
      <c r="L887" s="234"/>
      <c r="M887" s="234"/>
      <c r="N887" s="234"/>
      <c r="O887" s="234"/>
      <c r="P887" s="234"/>
      <c r="Q887" s="234"/>
      <c r="R887" s="234"/>
      <c r="S887" s="35"/>
      <c r="T887" s="35"/>
      <c r="U887" s="35"/>
      <c r="V887" s="35"/>
      <c r="W887" s="35"/>
      <c r="X887" s="35"/>
    </row>
    <row r="888" spans="1:24" ht="12.75" customHeight="1" x14ac:dyDescent="0.3">
      <c r="A888" s="35"/>
      <c r="B888" s="35"/>
      <c r="C888" s="35"/>
      <c r="D888" s="35"/>
      <c r="E888" s="35"/>
      <c r="F888" s="35"/>
      <c r="G888" s="35"/>
      <c r="H888" s="234" t="s">
        <v>1985</v>
      </c>
      <c r="I888" s="306" t="s">
        <v>1986</v>
      </c>
      <c r="J888" s="234">
        <f t="shared" si="30"/>
        <v>1.0071716894619274</v>
      </c>
      <c r="K888" s="315">
        <f t="shared" si="31"/>
        <v>7.1460951936331554E-3</v>
      </c>
      <c r="L888" s="234"/>
      <c r="M888" s="234"/>
      <c r="N888" s="234"/>
      <c r="O888" s="234"/>
      <c r="P888" s="234"/>
      <c r="Q888" s="234"/>
      <c r="R888" s="234"/>
      <c r="S888" s="35"/>
      <c r="T888" s="35"/>
      <c r="U888" s="35"/>
      <c r="V888" s="35"/>
      <c r="W888" s="35"/>
      <c r="X888" s="35"/>
    </row>
    <row r="889" spans="1:24" ht="12.75" customHeight="1" x14ac:dyDescent="0.3">
      <c r="A889" s="35"/>
      <c r="B889" s="35"/>
      <c r="C889" s="35"/>
      <c r="D889" s="35"/>
      <c r="E889" s="35"/>
      <c r="F889" s="35"/>
      <c r="G889" s="35"/>
      <c r="H889" s="234" t="s">
        <v>1987</v>
      </c>
      <c r="I889" s="306" t="s">
        <v>1988</v>
      </c>
      <c r="J889" s="234">
        <f t="shared" si="30"/>
        <v>0.99483420729448913</v>
      </c>
      <c r="K889" s="315">
        <f t="shared" si="31"/>
        <v>-5.1791815418552383E-3</v>
      </c>
      <c r="L889" s="234"/>
      <c r="M889" s="234"/>
      <c r="N889" s="234"/>
      <c r="O889" s="234"/>
      <c r="P889" s="234"/>
      <c r="Q889" s="234"/>
      <c r="R889" s="234"/>
      <c r="S889" s="35"/>
      <c r="T889" s="35"/>
      <c r="U889" s="35"/>
      <c r="V889" s="35"/>
      <c r="W889" s="35"/>
      <c r="X889" s="35"/>
    </row>
    <row r="890" spans="1:24" ht="12.75" customHeight="1" x14ac:dyDescent="0.3">
      <c r="A890" s="35"/>
      <c r="B890" s="35"/>
      <c r="C890" s="35"/>
      <c r="D890" s="35"/>
      <c r="E890" s="35"/>
      <c r="F890" s="35"/>
      <c r="G890" s="35"/>
      <c r="H890" s="234" t="s">
        <v>1989</v>
      </c>
      <c r="I890" s="306" t="s">
        <v>1990</v>
      </c>
      <c r="J890" s="234">
        <f t="shared" si="30"/>
        <v>0.97271417194432852</v>
      </c>
      <c r="K890" s="315">
        <f t="shared" si="31"/>
        <v>-2.7664999515821194E-2</v>
      </c>
      <c r="L890" s="234"/>
      <c r="M890" s="234"/>
      <c r="N890" s="234"/>
      <c r="O890" s="234"/>
      <c r="P890" s="234"/>
      <c r="Q890" s="234"/>
      <c r="R890" s="234"/>
      <c r="S890" s="35"/>
      <c r="T890" s="35"/>
      <c r="U890" s="35"/>
      <c r="V890" s="35"/>
      <c r="W890" s="35"/>
      <c r="X890" s="35"/>
    </row>
    <row r="891" spans="1:24" ht="12.75" customHeight="1" x14ac:dyDescent="0.3">
      <c r="A891" s="35"/>
      <c r="B891" s="35"/>
      <c r="C891" s="35"/>
      <c r="D891" s="35"/>
      <c r="E891" s="35"/>
      <c r="F891" s="35"/>
      <c r="G891" s="35"/>
      <c r="H891" s="234" t="s">
        <v>1991</v>
      </c>
      <c r="I891" s="306" t="s">
        <v>1992</v>
      </c>
      <c r="J891" s="234">
        <f t="shared" si="30"/>
        <v>0.98491936764060473</v>
      </c>
      <c r="K891" s="315">
        <f t="shared" si="31"/>
        <v>-1.5195501424127846E-2</v>
      </c>
      <c r="L891" s="234"/>
      <c r="M891" s="234"/>
      <c r="N891" s="234"/>
      <c r="O891" s="234"/>
      <c r="P891" s="234"/>
      <c r="Q891" s="234"/>
      <c r="R891" s="234"/>
      <c r="S891" s="35"/>
      <c r="T891" s="35"/>
      <c r="U891" s="35"/>
      <c r="V891" s="35"/>
      <c r="W891" s="35"/>
      <c r="X891" s="35"/>
    </row>
    <row r="892" spans="1:24" ht="12.75" customHeight="1" x14ac:dyDescent="0.3">
      <c r="A892" s="35"/>
      <c r="B892" s="35"/>
      <c r="C892" s="35"/>
      <c r="D892" s="35"/>
      <c r="E892" s="35"/>
      <c r="F892" s="35"/>
      <c r="G892" s="35"/>
      <c r="H892" s="234" t="s">
        <v>1993</v>
      </c>
      <c r="I892" s="306" t="s">
        <v>1994</v>
      </c>
      <c r="J892" s="234">
        <f t="shared" si="30"/>
        <v>0.98822519770778927</v>
      </c>
      <c r="K892" s="315">
        <f t="shared" si="31"/>
        <v>-1.1844674304405943E-2</v>
      </c>
      <c r="L892" s="234"/>
      <c r="M892" s="234"/>
      <c r="N892" s="234"/>
      <c r="O892" s="234"/>
      <c r="P892" s="234"/>
      <c r="Q892" s="234"/>
      <c r="R892" s="234"/>
      <c r="S892" s="35"/>
      <c r="T892" s="35"/>
      <c r="U892" s="35"/>
      <c r="V892" s="35"/>
      <c r="W892" s="35"/>
      <c r="X892" s="35"/>
    </row>
    <row r="893" spans="1:24" ht="12.75" customHeight="1" x14ac:dyDescent="0.3">
      <c r="A893" s="35"/>
      <c r="B893" s="35"/>
      <c r="C893" s="35"/>
      <c r="D893" s="35"/>
      <c r="E893" s="35"/>
      <c r="F893" s="35"/>
      <c r="G893" s="35"/>
      <c r="H893" s="234" t="s">
        <v>1995</v>
      </c>
      <c r="I893" s="306" t="s">
        <v>1996</v>
      </c>
      <c r="J893" s="234">
        <f t="shared" si="30"/>
        <v>0.98455486203857645</v>
      </c>
      <c r="K893" s="315">
        <f t="shared" si="31"/>
        <v>-1.5565656667285857E-2</v>
      </c>
      <c r="L893" s="234"/>
      <c r="M893" s="234"/>
      <c r="N893" s="234"/>
      <c r="O893" s="234"/>
      <c r="P893" s="234"/>
      <c r="Q893" s="234"/>
      <c r="R893" s="234"/>
      <c r="S893" s="35"/>
      <c r="T893" s="35"/>
      <c r="U893" s="35"/>
      <c r="V893" s="35"/>
      <c r="W893" s="35"/>
      <c r="X893" s="35"/>
    </row>
    <row r="894" spans="1:24" ht="12.75" customHeight="1" x14ac:dyDescent="0.3">
      <c r="A894" s="35"/>
      <c r="B894" s="35"/>
      <c r="C894" s="35"/>
      <c r="D894" s="35"/>
      <c r="E894" s="35"/>
      <c r="F894" s="35"/>
      <c r="G894" s="35"/>
      <c r="H894" s="234" t="s">
        <v>1997</v>
      </c>
      <c r="I894" s="306" t="s">
        <v>1998</v>
      </c>
      <c r="J894" s="234">
        <f t="shared" si="30"/>
        <v>0.99892907383037621</v>
      </c>
      <c r="K894" s="315">
        <f t="shared" si="31"/>
        <v>-1.0715000207922531E-3</v>
      </c>
      <c r="L894" s="234"/>
      <c r="M894" s="234"/>
      <c r="N894" s="234"/>
      <c r="O894" s="234"/>
      <c r="P894" s="234"/>
      <c r="Q894" s="234"/>
      <c r="R894" s="234"/>
      <c r="S894" s="35"/>
      <c r="T894" s="35"/>
      <c r="U894" s="35"/>
      <c r="V894" s="35"/>
      <c r="W894" s="35"/>
      <c r="X894" s="35"/>
    </row>
    <row r="895" spans="1:24" ht="12.75" customHeight="1" x14ac:dyDescent="0.3">
      <c r="A895" s="35"/>
      <c r="B895" s="35"/>
      <c r="C895" s="35"/>
      <c r="D895" s="35"/>
      <c r="E895" s="35"/>
      <c r="F895" s="35"/>
      <c r="G895" s="35"/>
      <c r="H895" s="234" t="s">
        <v>1999</v>
      </c>
      <c r="I895" s="306" t="s">
        <v>2000</v>
      </c>
      <c r="J895" s="234">
        <f t="shared" si="30"/>
        <v>0.99174632319850231</v>
      </c>
      <c r="K895" s="315">
        <f t="shared" si="31"/>
        <v>-8.2879269820140128E-3</v>
      </c>
      <c r="L895" s="234"/>
      <c r="M895" s="234"/>
      <c r="N895" s="234"/>
      <c r="O895" s="234"/>
      <c r="P895" s="234"/>
      <c r="Q895" s="234"/>
      <c r="R895" s="234"/>
      <c r="S895" s="35"/>
      <c r="T895" s="35"/>
      <c r="U895" s="35"/>
      <c r="V895" s="35"/>
      <c r="W895" s="35"/>
      <c r="X895" s="35"/>
    </row>
    <row r="896" spans="1:24" ht="12.75" customHeight="1" x14ac:dyDescent="0.3">
      <c r="A896" s="35"/>
      <c r="B896" s="35"/>
      <c r="C896" s="35"/>
      <c r="D896" s="35"/>
      <c r="E896" s="35"/>
      <c r="F896" s="35"/>
      <c r="G896" s="35"/>
      <c r="H896" s="234" t="s">
        <v>2001</v>
      </c>
      <c r="I896" s="306" t="s">
        <v>2002</v>
      </c>
      <c r="J896" s="234">
        <f t="shared" si="30"/>
        <v>0.98852231475549857</v>
      </c>
      <c r="K896" s="315">
        <f t="shared" si="31"/>
        <v>-1.1544062265616502E-2</v>
      </c>
      <c r="L896" s="234"/>
      <c r="M896" s="234"/>
      <c r="N896" s="234"/>
      <c r="O896" s="234"/>
      <c r="P896" s="234"/>
      <c r="Q896" s="234"/>
      <c r="R896" s="234"/>
      <c r="S896" s="35"/>
      <c r="T896" s="35"/>
      <c r="U896" s="35"/>
      <c r="V896" s="35"/>
      <c r="W896" s="35"/>
      <c r="X896" s="35"/>
    </row>
    <row r="897" spans="1:24" ht="12.75" customHeight="1" x14ac:dyDescent="0.3">
      <c r="A897" s="35"/>
      <c r="B897" s="35"/>
      <c r="C897" s="35"/>
      <c r="D897" s="35"/>
      <c r="E897" s="35"/>
      <c r="F897" s="35"/>
      <c r="G897" s="35"/>
      <c r="H897" s="234" t="s">
        <v>2003</v>
      </c>
      <c r="I897" s="306" t="s">
        <v>2004</v>
      </c>
      <c r="J897" s="234">
        <f t="shared" si="30"/>
        <v>1.0092400528003018</v>
      </c>
      <c r="K897" s="315">
        <f t="shared" si="31"/>
        <v>9.1976246709344917E-3</v>
      </c>
      <c r="L897" s="234"/>
      <c r="M897" s="234"/>
      <c r="N897" s="234"/>
      <c r="O897" s="234"/>
      <c r="P897" s="234"/>
      <c r="Q897" s="234"/>
      <c r="R897" s="234"/>
      <c r="S897" s="35"/>
      <c r="T897" s="35"/>
      <c r="U897" s="35"/>
      <c r="V897" s="35"/>
      <c r="W897" s="35"/>
      <c r="X897" s="35"/>
    </row>
    <row r="898" spans="1:24" ht="12.75" customHeight="1" x14ac:dyDescent="0.3">
      <c r="A898" s="35"/>
      <c r="B898" s="35"/>
      <c r="C898" s="35"/>
      <c r="D898" s="35"/>
      <c r="E898" s="35"/>
      <c r="F898" s="35"/>
      <c r="G898" s="35"/>
      <c r="H898" s="234" t="s">
        <v>2005</v>
      </c>
      <c r="I898" s="306" t="s">
        <v>2006</v>
      </c>
      <c r="J898" s="234">
        <f t="shared" si="30"/>
        <v>1.0001077673303338</v>
      </c>
      <c r="K898" s="315">
        <f t="shared" si="31"/>
        <v>1.0776152385221534E-4</v>
      </c>
      <c r="L898" s="234"/>
      <c r="M898" s="234"/>
      <c r="N898" s="234"/>
      <c r="O898" s="234"/>
      <c r="P898" s="234"/>
      <c r="Q898" s="234"/>
      <c r="R898" s="234"/>
      <c r="S898" s="35"/>
      <c r="T898" s="35"/>
      <c r="U898" s="35"/>
      <c r="V898" s="35"/>
      <c r="W898" s="35"/>
      <c r="X898" s="35"/>
    </row>
    <row r="899" spans="1:24" ht="12.75" customHeight="1" x14ac:dyDescent="0.3">
      <c r="A899" s="35"/>
      <c r="B899" s="35"/>
      <c r="C899" s="35"/>
      <c r="D899" s="35"/>
      <c r="E899" s="35"/>
      <c r="F899" s="35"/>
      <c r="G899" s="35"/>
      <c r="H899" s="234" t="s">
        <v>2007</v>
      </c>
      <c r="I899" s="306" t="s">
        <v>2008</v>
      </c>
      <c r="J899" s="234">
        <f t="shared" si="30"/>
        <v>1.0028369177564034</v>
      </c>
      <c r="K899" s="315">
        <f t="shared" si="31"/>
        <v>2.8329012996702501E-3</v>
      </c>
      <c r="L899" s="234"/>
      <c r="M899" s="234"/>
      <c r="N899" s="234"/>
      <c r="O899" s="234"/>
      <c r="P899" s="234"/>
      <c r="Q899" s="234"/>
      <c r="R899" s="234"/>
      <c r="S899" s="35"/>
      <c r="T899" s="35"/>
      <c r="U899" s="35"/>
      <c r="V899" s="35"/>
      <c r="W899" s="35"/>
      <c r="X899" s="35"/>
    </row>
    <row r="900" spans="1:24" ht="12.75" customHeight="1" x14ac:dyDescent="0.3">
      <c r="A900" s="35"/>
      <c r="B900" s="35"/>
      <c r="C900" s="35"/>
      <c r="D900" s="35"/>
      <c r="E900" s="35"/>
      <c r="F900" s="35"/>
      <c r="G900" s="35"/>
      <c r="H900" s="234" t="s">
        <v>2009</v>
      </c>
      <c r="I900" s="306" t="s">
        <v>2010</v>
      </c>
      <c r="J900" s="234">
        <f t="shared" si="30"/>
        <v>0.99188880154362891</v>
      </c>
      <c r="K900" s="315">
        <f t="shared" si="31"/>
        <v>-8.144273198518787E-3</v>
      </c>
      <c r="L900" s="234"/>
      <c r="M900" s="234"/>
      <c r="N900" s="234"/>
      <c r="O900" s="234"/>
      <c r="P900" s="234"/>
      <c r="Q900" s="234"/>
      <c r="R900" s="234"/>
      <c r="S900" s="35"/>
      <c r="T900" s="35"/>
      <c r="U900" s="35"/>
      <c r="V900" s="35"/>
      <c r="W900" s="35"/>
      <c r="X900" s="35"/>
    </row>
    <row r="901" spans="1:24" ht="12.75" customHeight="1" x14ac:dyDescent="0.3">
      <c r="A901" s="35"/>
      <c r="B901" s="35"/>
      <c r="C901" s="35"/>
      <c r="D901" s="35"/>
      <c r="E901" s="35"/>
      <c r="F901" s="35"/>
      <c r="G901" s="35"/>
      <c r="H901" s="234" t="s">
        <v>2011</v>
      </c>
      <c r="I901" s="306" t="s">
        <v>2012</v>
      </c>
      <c r="J901" s="234">
        <f t="shared" ref="J901:J964" si="32">I901/I902</f>
        <v>1.0004826168558405</v>
      </c>
      <c r="K901" s="315">
        <f t="shared" ref="K901:K964" si="33">LN(J901)</f>
        <v>4.8250043378238915E-4</v>
      </c>
      <c r="L901" s="234"/>
      <c r="M901" s="234"/>
      <c r="N901" s="234"/>
      <c r="O901" s="234"/>
      <c r="P901" s="234"/>
      <c r="Q901" s="234"/>
      <c r="R901" s="234"/>
      <c r="S901" s="35"/>
      <c r="T901" s="35"/>
      <c r="U901" s="35"/>
      <c r="V901" s="35"/>
      <c r="W901" s="35"/>
      <c r="X901" s="35"/>
    </row>
    <row r="902" spans="1:24" ht="12.75" customHeight="1" x14ac:dyDescent="0.3">
      <c r="A902" s="35"/>
      <c r="B902" s="35"/>
      <c r="C902" s="35"/>
      <c r="D902" s="35"/>
      <c r="E902" s="35"/>
      <c r="F902" s="35"/>
      <c r="G902" s="35"/>
      <c r="H902" s="234" t="s">
        <v>2013</v>
      </c>
      <c r="I902" s="306" t="s">
        <v>2014</v>
      </c>
      <c r="J902" s="234">
        <f t="shared" si="32"/>
        <v>1.011874078696293</v>
      </c>
      <c r="K902" s="315">
        <f t="shared" si="33"/>
        <v>1.180413495772898E-2</v>
      </c>
      <c r="L902" s="234"/>
      <c r="M902" s="234"/>
      <c r="N902" s="234"/>
      <c r="O902" s="234"/>
      <c r="P902" s="234"/>
      <c r="Q902" s="234"/>
      <c r="R902" s="234"/>
      <c r="S902" s="35"/>
      <c r="T902" s="35"/>
      <c r="U902" s="35"/>
      <c r="V902" s="35"/>
      <c r="W902" s="35"/>
      <c r="X902" s="35"/>
    </row>
    <row r="903" spans="1:24" ht="12.75" customHeight="1" x14ac:dyDescent="0.3">
      <c r="A903" s="35"/>
      <c r="B903" s="35"/>
      <c r="C903" s="35"/>
      <c r="D903" s="35"/>
      <c r="E903" s="35"/>
      <c r="F903" s="35"/>
      <c r="G903" s="35"/>
      <c r="H903" s="234" t="s">
        <v>2015</v>
      </c>
      <c r="I903" s="306" t="s">
        <v>2016</v>
      </c>
      <c r="J903" s="234">
        <f t="shared" si="32"/>
        <v>0.99997287032013027</v>
      </c>
      <c r="K903" s="315">
        <f t="shared" si="33"/>
        <v>-2.7130047886151739E-5</v>
      </c>
      <c r="L903" s="234"/>
      <c r="M903" s="234"/>
      <c r="N903" s="234"/>
      <c r="O903" s="234"/>
      <c r="P903" s="234"/>
      <c r="Q903" s="234"/>
      <c r="R903" s="234"/>
      <c r="S903" s="35"/>
      <c r="T903" s="35"/>
      <c r="U903" s="35"/>
      <c r="V903" s="35"/>
      <c r="W903" s="35"/>
      <c r="X903" s="35"/>
    </row>
    <row r="904" spans="1:24" ht="12.75" customHeight="1" x14ac:dyDescent="0.3">
      <c r="A904" s="35"/>
      <c r="B904" s="35"/>
      <c r="C904" s="35"/>
      <c r="D904" s="35"/>
      <c r="E904" s="35"/>
      <c r="F904" s="35"/>
      <c r="G904" s="35"/>
      <c r="H904" s="234" t="s">
        <v>2017</v>
      </c>
      <c r="I904" s="306" t="s">
        <v>2018</v>
      </c>
      <c r="J904" s="234">
        <f t="shared" si="32"/>
        <v>1.0021750951604134</v>
      </c>
      <c r="K904" s="315">
        <f t="shared" si="33"/>
        <v>2.1727330655022881E-3</v>
      </c>
      <c r="L904" s="234"/>
      <c r="M904" s="234"/>
      <c r="N904" s="234"/>
      <c r="O904" s="234"/>
      <c r="P904" s="234"/>
      <c r="Q904" s="234"/>
      <c r="R904" s="234"/>
      <c r="S904" s="35"/>
      <c r="T904" s="35"/>
      <c r="U904" s="35"/>
      <c r="V904" s="35"/>
      <c r="W904" s="35"/>
      <c r="X904" s="35"/>
    </row>
    <row r="905" spans="1:24" ht="12.75" customHeight="1" x14ac:dyDescent="0.3">
      <c r="A905" s="35"/>
      <c r="B905" s="35"/>
      <c r="C905" s="35"/>
      <c r="D905" s="35"/>
      <c r="E905" s="35"/>
      <c r="F905" s="35"/>
      <c r="G905" s="35"/>
      <c r="H905" s="234" t="s">
        <v>2019</v>
      </c>
      <c r="I905" s="306" t="s">
        <v>2020</v>
      </c>
      <c r="J905" s="234">
        <f t="shared" si="32"/>
        <v>1.0169585253456221</v>
      </c>
      <c r="K905" s="315">
        <f t="shared" si="33"/>
        <v>1.6816334863770505E-2</v>
      </c>
      <c r="L905" s="234"/>
      <c r="M905" s="234"/>
      <c r="N905" s="234"/>
      <c r="O905" s="234"/>
      <c r="P905" s="234"/>
      <c r="Q905" s="234"/>
      <c r="R905" s="234"/>
      <c r="S905" s="35"/>
      <c r="T905" s="35"/>
      <c r="U905" s="35"/>
      <c r="V905" s="35"/>
      <c r="W905" s="35"/>
      <c r="X905" s="35"/>
    </row>
    <row r="906" spans="1:24" ht="12.75" customHeight="1" x14ac:dyDescent="0.3">
      <c r="A906" s="35"/>
      <c r="B906" s="35"/>
      <c r="C906" s="35"/>
      <c r="D906" s="35"/>
      <c r="E906" s="35"/>
      <c r="F906" s="35"/>
      <c r="G906" s="35"/>
      <c r="H906" s="234" t="s">
        <v>2021</v>
      </c>
      <c r="I906" s="306" t="s">
        <v>2022</v>
      </c>
      <c r="J906" s="234">
        <f t="shared" si="32"/>
        <v>1.0134882678224482</v>
      </c>
      <c r="K906" s="315">
        <f t="shared" si="33"/>
        <v>1.339811094005321E-2</v>
      </c>
      <c r="L906" s="234"/>
      <c r="M906" s="234"/>
      <c r="N906" s="234"/>
      <c r="O906" s="234"/>
      <c r="P906" s="234"/>
      <c r="Q906" s="234"/>
      <c r="R906" s="234"/>
      <c r="S906" s="35"/>
      <c r="T906" s="35"/>
      <c r="U906" s="35"/>
      <c r="V906" s="35"/>
      <c r="W906" s="35"/>
      <c r="X906" s="35"/>
    </row>
    <row r="907" spans="1:24" ht="12.75" customHeight="1" x14ac:dyDescent="0.3">
      <c r="A907" s="35"/>
      <c r="B907" s="35"/>
      <c r="C907" s="35"/>
      <c r="D907" s="35"/>
      <c r="E907" s="35"/>
      <c r="F907" s="35"/>
      <c r="G907" s="35"/>
      <c r="H907" s="234" t="s">
        <v>2023</v>
      </c>
      <c r="I907" s="306" t="s">
        <v>2024</v>
      </c>
      <c r="J907" s="234">
        <f t="shared" si="32"/>
        <v>1.0075953656034409</v>
      </c>
      <c r="K907" s="315">
        <f t="shared" si="33"/>
        <v>7.5666660449316362E-3</v>
      </c>
      <c r="L907" s="234"/>
      <c r="M907" s="234"/>
      <c r="N907" s="234"/>
      <c r="O907" s="234"/>
      <c r="P907" s="234"/>
      <c r="Q907" s="234"/>
      <c r="R907" s="234"/>
      <c r="S907" s="35"/>
      <c r="T907" s="35"/>
      <c r="U907" s="35"/>
      <c r="V907" s="35"/>
      <c r="W907" s="35"/>
      <c r="X907" s="35"/>
    </row>
    <row r="908" spans="1:24" ht="12.75" customHeight="1" x14ac:dyDescent="0.3">
      <c r="A908" s="35"/>
      <c r="B908" s="35"/>
      <c r="C908" s="35"/>
      <c r="D908" s="35"/>
      <c r="E908" s="35"/>
      <c r="F908" s="35"/>
      <c r="G908" s="35"/>
      <c r="H908" s="234" t="s">
        <v>2025</v>
      </c>
      <c r="I908" s="306" t="s">
        <v>2026</v>
      </c>
      <c r="J908" s="234">
        <f t="shared" si="32"/>
        <v>0.9766610287899401</v>
      </c>
      <c r="K908" s="315">
        <f t="shared" si="33"/>
        <v>-2.36156382258223E-2</v>
      </c>
      <c r="L908" s="234"/>
      <c r="M908" s="234"/>
      <c r="N908" s="234"/>
      <c r="O908" s="234"/>
      <c r="P908" s="234"/>
      <c r="Q908" s="234"/>
      <c r="R908" s="234"/>
      <c r="S908" s="35"/>
      <c r="T908" s="35"/>
      <c r="U908" s="35"/>
      <c r="V908" s="35"/>
      <c r="W908" s="35"/>
      <c r="X908" s="35"/>
    </row>
    <row r="909" spans="1:24" ht="12.75" customHeight="1" x14ac:dyDescent="0.3">
      <c r="A909" s="35"/>
      <c r="B909" s="35"/>
      <c r="C909" s="35"/>
      <c r="D909" s="35"/>
      <c r="E909" s="35"/>
      <c r="F909" s="35"/>
      <c r="G909" s="35"/>
      <c r="H909" s="234" t="s">
        <v>2027</v>
      </c>
      <c r="I909" s="306" t="s">
        <v>2028</v>
      </c>
      <c r="J909" s="234">
        <f t="shared" si="32"/>
        <v>1.0050071134268241</v>
      </c>
      <c r="K909" s="315">
        <f t="shared" si="33"/>
        <v>4.9946195226308245E-3</v>
      </c>
      <c r="L909" s="234"/>
      <c r="M909" s="234"/>
      <c r="N909" s="234"/>
      <c r="O909" s="234"/>
      <c r="P909" s="234"/>
      <c r="Q909" s="234"/>
      <c r="R909" s="234"/>
      <c r="S909" s="35"/>
      <c r="T909" s="35"/>
      <c r="U909" s="35"/>
      <c r="V909" s="35"/>
      <c r="W909" s="35"/>
      <c r="X909" s="35"/>
    </row>
    <row r="910" spans="1:24" ht="12.75" customHeight="1" x14ac:dyDescent="0.3">
      <c r="A910" s="35"/>
      <c r="B910" s="35"/>
      <c r="C910" s="35"/>
      <c r="D910" s="35"/>
      <c r="E910" s="35"/>
      <c r="F910" s="35"/>
      <c r="G910" s="35"/>
      <c r="H910" s="234" t="s">
        <v>2029</v>
      </c>
      <c r="I910" s="306" t="s">
        <v>2030</v>
      </c>
      <c r="J910" s="234">
        <f t="shared" si="32"/>
        <v>1.0123544540565816</v>
      </c>
      <c r="K910" s="315">
        <f t="shared" si="33"/>
        <v>1.2278760585748559E-2</v>
      </c>
      <c r="L910" s="234"/>
      <c r="M910" s="234"/>
      <c r="N910" s="234"/>
      <c r="O910" s="234"/>
      <c r="P910" s="234"/>
      <c r="Q910" s="234"/>
      <c r="R910" s="234"/>
      <c r="S910" s="35"/>
      <c r="T910" s="35"/>
      <c r="U910" s="35"/>
      <c r="V910" s="35"/>
      <c r="W910" s="35"/>
      <c r="X910" s="35"/>
    </row>
    <row r="911" spans="1:24" ht="12.75" customHeight="1" x14ac:dyDescent="0.3">
      <c r="A911" s="35"/>
      <c r="B911" s="35"/>
      <c r="C911" s="35"/>
      <c r="D911" s="35"/>
      <c r="E911" s="35"/>
      <c r="F911" s="35"/>
      <c r="G911" s="35"/>
      <c r="H911" s="234" t="s">
        <v>2031</v>
      </c>
      <c r="I911" s="306" t="s">
        <v>2032</v>
      </c>
      <c r="J911" s="234">
        <f t="shared" si="32"/>
        <v>1.0116755447483703</v>
      </c>
      <c r="K911" s="315">
        <f t="shared" si="33"/>
        <v>1.1607911503399506E-2</v>
      </c>
      <c r="L911" s="234"/>
      <c r="M911" s="234"/>
      <c r="N911" s="234"/>
      <c r="O911" s="234"/>
      <c r="P911" s="234"/>
      <c r="Q911" s="234"/>
      <c r="R911" s="234"/>
      <c r="S911" s="35"/>
      <c r="T911" s="35"/>
      <c r="U911" s="35"/>
      <c r="V911" s="35"/>
      <c r="W911" s="35"/>
      <c r="X911" s="35"/>
    </row>
    <row r="912" spans="1:24" ht="12.75" customHeight="1" x14ac:dyDescent="0.3">
      <c r="A912" s="35"/>
      <c r="B912" s="35"/>
      <c r="C912" s="35"/>
      <c r="D912" s="35"/>
      <c r="E912" s="35"/>
      <c r="F912" s="35"/>
      <c r="G912" s="35"/>
      <c r="H912" s="234" t="s">
        <v>2033</v>
      </c>
      <c r="I912" s="306" t="s">
        <v>2034</v>
      </c>
      <c r="J912" s="234">
        <f t="shared" si="32"/>
        <v>1.0124143876622445</v>
      </c>
      <c r="K912" s="315">
        <f t="shared" si="33"/>
        <v>1.2337961028234069E-2</v>
      </c>
      <c r="L912" s="234"/>
      <c r="M912" s="234"/>
      <c r="N912" s="234"/>
      <c r="O912" s="234"/>
      <c r="P912" s="234"/>
      <c r="Q912" s="234"/>
      <c r="R912" s="234"/>
      <c r="S912" s="35"/>
      <c r="T912" s="35"/>
      <c r="U912" s="35"/>
      <c r="V912" s="35"/>
      <c r="W912" s="35"/>
      <c r="X912" s="35"/>
    </row>
    <row r="913" spans="1:24" ht="12.75" customHeight="1" x14ac:dyDescent="0.3">
      <c r="A913" s="35"/>
      <c r="B913" s="35"/>
      <c r="C913" s="35"/>
      <c r="D913" s="35"/>
      <c r="E913" s="35"/>
      <c r="F913" s="35"/>
      <c r="G913" s="35"/>
      <c r="H913" s="234" t="s">
        <v>2035</v>
      </c>
      <c r="I913" s="306" t="s">
        <v>2036</v>
      </c>
      <c r="J913" s="234">
        <f t="shared" si="32"/>
        <v>1.0124624187760645</v>
      </c>
      <c r="K913" s="315">
        <f t="shared" si="33"/>
        <v>1.2385402051486744E-2</v>
      </c>
      <c r="L913" s="234"/>
      <c r="M913" s="234"/>
      <c r="N913" s="234"/>
      <c r="O913" s="234"/>
      <c r="P913" s="234"/>
      <c r="Q913" s="234"/>
      <c r="R913" s="234"/>
      <c r="S913" s="35"/>
      <c r="T913" s="35"/>
      <c r="U913" s="35"/>
      <c r="V913" s="35"/>
      <c r="W913" s="35"/>
      <c r="X913" s="35"/>
    </row>
    <row r="914" spans="1:24" ht="12.75" customHeight="1" x14ac:dyDescent="0.3">
      <c r="A914" s="35"/>
      <c r="B914" s="35"/>
      <c r="C914" s="35"/>
      <c r="D914" s="35"/>
      <c r="E914" s="35"/>
      <c r="F914" s="35"/>
      <c r="G914" s="35"/>
      <c r="H914" s="234" t="s">
        <v>2037</v>
      </c>
      <c r="I914" s="306" t="s">
        <v>2038</v>
      </c>
      <c r="J914" s="234">
        <f t="shared" si="32"/>
        <v>0.9986343957927768</v>
      </c>
      <c r="K914" s="315">
        <f t="shared" si="33"/>
        <v>-1.366537494412634E-3</v>
      </c>
      <c r="L914" s="234"/>
      <c r="M914" s="234"/>
      <c r="N914" s="234"/>
      <c r="O914" s="234"/>
      <c r="P914" s="234"/>
      <c r="Q914" s="234"/>
      <c r="R914" s="234"/>
      <c r="S914" s="35"/>
      <c r="T914" s="35"/>
      <c r="U914" s="35"/>
      <c r="V914" s="35"/>
      <c r="W914" s="35"/>
      <c r="X914" s="35"/>
    </row>
    <row r="915" spans="1:24" ht="12.75" customHeight="1" x14ac:dyDescent="0.3">
      <c r="A915" s="35"/>
      <c r="B915" s="35"/>
      <c r="C915" s="35"/>
      <c r="D915" s="35"/>
      <c r="E915" s="35"/>
      <c r="F915" s="35"/>
      <c r="G915" s="35"/>
      <c r="H915" s="234" t="s">
        <v>2039</v>
      </c>
      <c r="I915" s="306" t="s">
        <v>2040</v>
      </c>
      <c r="J915" s="234">
        <f t="shared" si="32"/>
        <v>0.98232311219781365</v>
      </c>
      <c r="K915" s="315">
        <f t="shared" si="33"/>
        <v>-1.7834989923100324E-2</v>
      </c>
      <c r="L915" s="234"/>
      <c r="M915" s="234"/>
      <c r="N915" s="234"/>
      <c r="O915" s="234"/>
      <c r="P915" s="234"/>
      <c r="Q915" s="234"/>
      <c r="R915" s="234"/>
      <c r="S915" s="35"/>
      <c r="T915" s="35"/>
      <c r="U915" s="35"/>
      <c r="V915" s="35"/>
      <c r="W915" s="35"/>
      <c r="X915" s="35"/>
    </row>
    <row r="916" spans="1:24" ht="12.75" customHeight="1" x14ac:dyDescent="0.3">
      <c r="A916" s="35"/>
      <c r="B916" s="35"/>
      <c r="C916" s="35"/>
      <c r="D916" s="35"/>
      <c r="E916" s="35"/>
      <c r="F916" s="35"/>
      <c r="G916" s="35"/>
      <c r="H916" s="234" t="s">
        <v>2041</v>
      </c>
      <c r="I916" s="306" t="s">
        <v>2042</v>
      </c>
      <c r="J916" s="234">
        <f t="shared" si="32"/>
        <v>0.99815769731156756</v>
      </c>
      <c r="K916" s="315">
        <f t="shared" si="33"/>
        <v>-1.8440018152216129E-3</v>
      </c>
      <c r="L916" s="234"/>
      <c r="M916" s="234"/>
      <c r="N916" s="234"/>
      <c r="O916" s="234"/>
      <c r="P916" s="234"/>
      <c r="Q916" s="234"/>
      <c r="R916" s="234"/>
      <c r="S916" s="35"/>
      <c r="T916" s="35"/>
      <c r="U916" s="35"/>
      <c r="V916" s="35"/>
      <c r="W916" s="35"/>
      <c r="X916" s="35"/>
    </row>
    <row r="917" spans="1:24" ht="12.75" customHeight="1" x14ac:dyDescent="0.3">
      <c r="A917" s="35"/>
      <c r="B917" s="35"/>
      <c r="C917" s="35"/>
      <c r="D917" s="35"/>
      <c r="E917" s="35"/>
      <c r="F917" s="35"/>
      <c r="G917" s="35"/>
      <c r="H917" s="234" t="s">
        <v>2043</v>
      </c>
      <c r="I917" s="306" t="s">
        <v>2044</v>
      </c>
      <c r="J917" s="234">
        <f t="shared" si="32"/>
        <v>0.97199479402235611</v>
      </c>
      <c r="K917" s="315">
        <f t="shared" si="33"/>
        <v>-2.8404830480119169E-2</v>
      </c>
      <c r="L917" s="234"/>
      <c r="M917" s="234"/>
      <c r="N917" s="234"/>
      <c r="O917" s="234"/>
      <c r="P917" s="234"/>
      <c r="Q917" s="234"/>
      <c r="R917" s="234"/>
      <c r="S917" s="35"/>
      <c r="T917" s="35"/>
      <c r="U917" s="35"/>
      <c r="V917" s="35"/>
      <c r="W917" s="35"/>
      <c r="X917" s="35"/>
    </row>
    <row r="918" spans="1:24" ht="12.75" customHeight="1" x14ac:dyDescent="0.3">
      <c r="A918" s="35"/>
      <c r="B918" s="35"/>
      <c r="C918" s="35"/>
      <c r="D918" s="35"/>
      <c r="E918" s="35"/>
      <c r="F918" s="35"/>
      <c r="G918" s="35"/>
      <c r="H918" s="234" t="s">
        <v>2045</v>
      </c>
      <c r="I918" s="306" t="s">
        <v>2046</v>
      </c>
      <c r="J918" s="234">
        <f t="shared" si="32"/>
        <v>1.0169719043640699</v>
      </c>
      <c r="K918" s="315">
        <f t="shared" si="33"/>
        <v>1.6829490690786559E-2</v>
      </c>
      <c r="L918" s="234"/>
      <c r="M918" s="234"/>
      <c r="N918" s="234"/>
      <c r="O918" s="234"/>
      <c r="P918" s="234"/>
      <c r="Q918" s="234"/>
      <c r="R918" s="234"/>
      <c r="S918" s="35"/>
      <c r="T918" s="35"/>
      <c r="U918" s="35"/>
      <c r="V918" s="35"/>
      <c r="W918" s="35"/>
      <c r="X918" s="35"/>
    </row>
    <row r="919" spans="1:24" ht="12.75" customHeight="1" x14ac:dyDescent="0.3">
      <c r="A919" s="35"/>
      <c r="B919" s="35"/>
      <c r="C919" s="35"/>
      <c r="D919" s="35"/>
      <c r="E919" s="35"/>
      <c r="F919" s="35"/>
      <c r="G919" s="35"/>
      <c r="H919" s="234" t="s">
        <v>2047</v>
      </c>
      <c r="I919" s="306" t="s">
        <v>2048</v>
      </c>
      <c r="J919" s="234">
        <f t="shared" si="32"/>
        <v>0.9989591147786947</v>
      </c>
      <c r="K919" s="315">
        <f t="shared" si="33"/>
        <v>-1.0414273185339082E-3</v>
      </c>
      <c r="L919" s="234"/>
      <c r="M919" s="234"/>
      <c r="N919" s="234"/>
      <c r="O919" s="234"/>
      <c r="P919" s="234"/>
      <c r="Q919" s="234"/>
      <c r="R919" s="234"/>
      <c r="S919" s="35"/>
      <c r="T919" s="35"/>
      <c r="U919" s="35"/>
      <c r="V919" s="35"/>
      <c r="W919" s="35"/>
      <c r="X919" s="35"/>
    </row>
    <row r="920" spans="1:24" ht="12.75" customHeight="1" x14ac:dyDescent="0.3">
      <c r="A920" s="35"/>
      <c r="B920" s="35"/>
      <c r="C920" s="35"/>
      <c r="D920" s="35"/>
      <c r="E920" s="35"/>
      <c r="F920" s="35"/>
      <c r="G920" s="35"/>
      <c r="H920" s="234" t="s">
        <v>2049</v>
      </c>
      <c r="I920" s="306" t="s">
        <v>2050</v>
      </c>
      <c r="J920" s="234">
        <f t="shared" si="32"/>
        <v>0.98854240053394637</v>
      </c>
      <c r="K920" s="315">
        <f t="shared" si="33"/>
        <v>-1.1523743478585233E-2</v>
      </c>
      <c r="L920" s="234"/>
      <c r="M920" s="234"/>
      <c r="N920" s="234"/>
      <c r="O920" s="234"/>
      <c r="P920" s="234"/>
      <c r="Q920" s="234"/>
      <c r="R920" s="234"/>
      <c r="S920" s="35"/>
      <c r="T920" s="35"/>
      <c r="U920" s="35"/>
      <c r="V920" s="35"/>
      <c r="W920" s="35"/>
      <c r="X920" s="35"/>
    </row>
    <row r="921" spans="1:24" ht="12.75" customHeight="1" x14ac:dyDescent="0.3">
      <c r="A921" s="35"/>
      <c r="B921" s="35"/>
      <c r="C921" s="35"/>
      <c r="D921" s="35"/>
      <c r="E921" s="35"/>
      <c r="F921" s="35"/>
      <c r="G921" s="35"/>
      <c r="H921" s="234" t="s">
        <v>2051</v>
      </c>
      <c r="I921" s="306" t="s">
        <v>2052</v>
      </c>
      <c r="J921" s="234">
        <f t="shared" si="32"/>
        <v>0.98138680155019009</v>
      </c>
      <c r="K921" s="315">
        <f t="shared" si="33"/>
        <v>-1.878860401041901E-2</v>
      </c>
      <c r="L921" s="234"/>
      <c r="M921" s="234"/>
      <c r="N921" s="234"/>
      <c r="O921" s="234"/>
      <c r="P921" s="234"/>
      <c r="Q921" s="234"/>
      <c r="R921" s="234"/>
      <c r="S921" s="35"/>
      <c r="T921" s="35"/>
      <c r="U921" s="35"/>
      <c r="V921" s="35"/>
      <c r="W921" s="35"/>
      <c r="X921" s="35"/>
    </row>
    <row r="922" spans="1:24" ht="12.75" customHeight="1" x14ac:dyDescent="0.3">
      <c r="A922" s="35"/>
      <c r="B922" s="35"/>
      <c r="C922" s="35"/>
      <c r="D922" s="35"/>
      <c r="E922" s="35"/>
      <c r="F922" s="35"/>
      <c r="G922" s="35"/>
      <c r="H922" s="234" t="s">
        <v>2053</v>
      </c>
      <c r="I922" s="306" t="s">
        <v>1868</v>
      </c>
      <c r="J922" s="234">
        <f t="shared" si="32"/>
        <v>1.005240102790149</v>
      </c>
      <c r="K922" s="315">
        <f t="shared" si="33"/>
        <v>5.2264212259124114E-3</v>
      </c>
      <c r="L922" s="234"/>
      <c r="M922" s="234"/>
      <c r="N922" s="234"/>
      <c r="O922" s="234"/>
      <c r="P922" s="234"/>
      <c r="Q922" s="234"/>
      <c r="R922" s="234"/>
      <c r="S922" s="35"/>
      <c r="T922" s="35"/>
      <c r="U922" s="35"/>
      <c r="V922" s="35"/>
      <c r="W922" s="35"/>
      <c r="X922" s="35"/>
    </row>
    <row r="923" spans="1:24" ht="12.75" customHeight="1" x14ac:dyDescent="0.3">
      <c r="A923" s="35"/>
      <c r="B923" s="35"/>
      <c r="C923" s="35"/>
      <c r="D923" s="35"/>
      <c r="E923" s="35"/>
      <c r="F923" s="35"/>
      <c r="G923" s="35"/>
      <c r="H923" s="234" t="s">
        <v>2054</v>
      </c>
      <c r="I923" s="306" t="s">
        <v>2055</v>
      </c>
      <c r="J923" s="234">
        <f t="shared" si="32"/>
        <v>1.0104884765372317</v>
      </c>
      <c r="K923" s="315">
        <f t="shared" si="33"/>
        <v>1.0433854072845958E-2</v>
      </c>
      <c r="L923" s="234"/>
      <c r="M923" s="234"/>
      <c r="N923" s="234"/>
      <c r="O923" s="234"/>
      <c r="P923" s="234"/>
      <c r="Q923" s="234"/>
      <c r="R923" s="234"/>
      <c r="S923" s="35"/>
      <c r="T923" s="35"/>
      <c r="U923" s="35"/>
      <c r="V923" s="35"/>
      <c r="W923" s="35"/>
      <c r="X923" s="35"/>
    </row>
    <row r="924" spans="1:24" ht="12.75" customHeight="1" x14ac:dyDescent="0.3">
      <c r="A924" s="35"/>
      <c r="B924" s="35"/>
      <c r="C924" s="35"/>
      <c r="D924" s="35"/>
      <c r="E924" s="35"/>
      <c r="F924" s="35"/>
      <c r="G924" s="35"/>
      <c r="H924" s="234" t="s">
        <v>2056</v>
      </c>
      <c r="I924" s="306" t="s">
        <v>2057</v>
      </c>
      <c r="J924" s="234">
        <f t="shared" si="32"/>
        <v>0.97768421813450901</v>
      </c>
      <c r="K924" s="315">
        <f t="shared" si="33"/>
        <v>-2.256854642905343E-2</v>
      </c>
      <c r="L924" s="234"/>
      <c r="M924" s="234"/>
      <c r="N924" s="234"/>
      <c r="O924" s="234"/>
      <c r="P924" s="234"/>
      <c r="Q924" s="234"/>
      <c r="R924" s="234"/>
      <c r="S924" s="35"/>
      <c r="T924" s="35"/>
      <c r="U924" s="35"/>
      <c r="V924" s="35"/>
      <c r="W924" s="35"/>
      <c r="X924" s="35"/>
    </row>
    <row r="925" spans="1:24" ht="12.75" customHeight="1" x14ac:dyDescent="0.3">
      <c r="A925" s="35"/>
      <c r="B925" s="35"/>
      <c r="C925" s="35"/>
      <c r="D925" s="35"/>
      <c r="E925" s="35"/>
      <c r="F925" s="35"/>
      <c r="G925" s="35"/>
      <c r="H925" s="234" t="s">
        <v>2058</v>
      </c>
      <c r="I925" s="306" t="s">
        <v>2059</v>
      </c>
      <c r="J925" s="234">
        <f t="shared" si="32"/>
        <v>0.9964619138075389</v>
      </c>
      <c r="K925" s="315">
        <f t="shared" si="33"/>
        <v>-3.5443600220182643E-3</v>
      </c>
      <c r="L925" s="234"/>
      <c r="M925" s="234"/>
      <c r="N925" s="234"/>
      <c r="O925" s="234"/>
      <c r="P925" s="234"/>
      <c r="Q925" s="234"/>
      <c r="R925" s="234"/>
      <c r="S925" s="35"/>
      <c r="T925" s="35"/>
      <c r="U925" s="35"/>
      <c r="V925" s="35"/>
      <c r="W925" s="35"/>
      <c r="X925" s="35"/>
    </row>
    <row r="926" spans="1:24" ht="12.75" customHeight="1" x14ac:dyDescent="0.3">
      <c r="A926" s="35"/>
      <c r="B926" s="35"/>
      <c r="C926" s="35"/>
      <c r="D926" s="35"/>
      <c r="E926" s="35"/>
      <c r="F926" s="35"/>
      <c r="G926" s="35"/>
      <c r="H926" s="234" t="s">
        <v>2060</v>
      </c>
      <c r="I926" s="306" t="s">
        <v>2061</v>
      </c>
      <c r="J926" s="234">
        <f t="shared" si="32"/>
        <v>0.97143681729533071</v>
      </c>
      <c r="K926" s="315">
        <f t="shared" si="33"/>
        <v>-2.8979048517026283E-2</v>
      </c>
      <c r="L926" s="234"/>
      <c r="M926" s="234"/>
      <c r="N926" s="234"/>
      <c r="O926" s="234"/>
      <c r="P926" s="234"/>
      <c r="Q926" s="234"/>
      <c r="R926" s="234"/>
      <c r="S926" s="35"/>
      <c r="T926" s="35"/>
      <c r="U926" s="35"/>
      <c r="V926" s="35"/>
      <c r="W926" s="35"/>
      <c r="X926" s="35"/>
    </row>
    <row r="927" spans="1:24" ht="12.75" customHeight="1" x14ac:dyDescent="0.3">
      <c r="A927" s="35"/>
      <c r="B927" s="35"/>
      <c r="C927" s="35"/>
      <c r="D927" s="35"/>
      <c r="E927" s="35"/>
      <c r="F927" s="35"/>
      <c r="G927" s="35"/>
      <c r="H927" s="234" t="s">
        <v>2062</v>
      </c>
      <c r="I927" s="306" t="s">
        <v>2063</v>
      </c>
      <c r="J927" s="234">
        <f t="shared" si="32"/>
        <v>0.9937943801767819</v>
      </c>
      <c r="K927" s="315">
        <f t="shared" si="33"/>
        <v>-6.2249547134015379E-3</v>
      </c>
      <c r="L927" s="234"/>
      <c r="M927" s="234"/>
      <c r="N927" s="234"/>
      <c r="O927" s="234"/>
      <c r="P927" s="234"/>
      <c r="Q927" s="234"/>
      <c r="R927" s="234"/>
      <c r="S927" s="35"/>
      <c r="T927" s="35"/>
      <c r="U927" s="35"/>
      <c r="V927" s="35"/>
      <c r="W927" s="35"/>
      <c r="X927" s="35"/>
    </row>
    <row r="928" spans="1:24" ht="12.75" customHeight="1" x14ac:dyDescent="0.3">
      <c r="A928" s="35"/>
      <c r="B928" s="35"/>
      <c r="C928" s="35"/>
      <c r="D928" s="35"/>
      <c r="E928" s="35"/>
      <c r="F928" s="35"/>
      <c r="G928" s="35"/>
      <c r="H928" s="234" t="s">
        <v>2064</v>
      </c>
      <c r="I928" s="306" t="s">
        <v>2065</v>
      </c>
      <c r="J928" s="234">
        <f t="shared" si="32"/>
        <v>0.99455427143931474</v>
      </c>
      <c r="K928" s="315">
        <f t="shared" si="33"/>
        <v>-5.4606105940634706E-3</v>
      </c>
      <c r="L928" s="234"/>
      <c r="M928" s="234"/>
      <c r="N928" s="234"/>
      <c r="O928" s="234"/>
      <c r="P928" s="234"/>
      <c r="Q928" s="234"/>
      <c r="R928" s="234"/>
      <c r="S928" s="35"/>
      <c r="T928" s="35"/>
      <c r="U928" s="35"/>
      <c r="V928" s="35"/>
      <c r="W928" s="35"/>
      <c r="X928" s="35"/>
    </row>
    <row r="929" spans="1:24" ht="12.75" customHeight="1" x14ac:dyDescent="0.3">
      <c r="A929" s="35"/>
      <c r="B929" s="35"/>
      <c r="C929" s="35"/>
      <c r="D929" s="35"/>
      <c r="E929" s="35"/>
      <c r="F929" s="35"/>
      <c r="G929" s="35"/>
      <c r="H929" s="234" t="s">
        <v>2066</v>
      </c>
      <c r="I929" s="306" t="s">
        <v>2067</v>
      </c>
      <c r="J929" s="234">
        <f t="shared" si="32"/>
        <v>0.99573944328725617</v>
      </c>
      <c r="K929" s="315">
        <f t="shared" si="33"/>
        <v>-4.26965874685008E-3</v>
      </c>
      <c r="L929" s="234"/>
      <c r="M929" s="234"/>
      <c r="N929" s="234"/>
      <c r="O929" s="234"/>
      <c r="P929" s="234"/>
      <c r="Q929" s="234"/>
      <c r="R929" s="234"/>
      <c r="S929" s="35"/>
      <c r="T929" s="35"/>
      <c r="U929" s="35"/>
      <c r="V929" s="35"/>
      <c r="W929" s="35"/>
      <c r="X929" s="35"/>
    </row>
    <row r="930" spans="1:24" ht="12.75" customHeight="1" x14ac:dyDescent="0.3">
      <c r="A930" s="35"/>
      <c r="B930" s="35"/>
      <c r="C930" s="35"/>
      <c r="D930" s="35"/>
      <c r="E930" s="35"/>
      <c r="F930" s="35"/>
      <c r="G930" s="35"/>
      <c r="H930" s="234" t="s">
        <v>2068</v>
      </c>
      <c r="I930" s="306" t="s">
        <v>2069</v>
      </c>
      <c r="J930" s="234">
        <f t="shared" si="32"/>
        <v>0.99487074095957395</v>
      </c>
      <c r="K930" s="315">
        <f t="shared" si="33"/>
        <v>-5.142458845737918E-3</v>
      </c>
      <c r="L930" s="234"/>
      <c r="M930" s="234"/>
      <c r="N930" s="234"/>
      <c r="O930" s="234"/>
      <c r="P930" s="234"/>
      <c r="Q930" s="234"/>
      <c r="R930" s="234"/>
      <c r="S930" s="35"/>
      <c r="T930" s="35"/>
      <c r="U930" s="35"/>
      <c r="V930" s="35"/>
      <c r="W930" s="35"/>
      <c r="X930" s="35"/>
    </row>
    <row r="931" spans="1:24" ht="12.75" customHeight="1" x14ac:dyDescent="0.3">
      <c r="A931" s="35"/>
      <c r="B931" s="35"/>
      <c r="C931" s="35"/>
      <c r="D931" s="35"/>
      <c r="E931" s="35"/>
      <c r="F931" s="35"/>
      <c r="G931" s="35"/>
      <c r="H931" s="234" t="s">
        <v>2070</v>
      </c>
      <c r="I931" s="306" t="s">
        <v>2071</v>
      </c>
      <c r="J931" s="234">
        <f t="shared" si="32"/>
        <v>1.0054326302195438</v>
      </c>
      <c r="K931" s="315">
        <f t="shared" si="33"/>
        <v>5.4179267124318514E-3</v>
      </c>
      <c r="L931" s="234"/>
      <c r="M931" s="234"/>
      <c r="N931" s="234"/>
      <c r="O931" s="234"/>
      <c r="P931" s="234"/>
      <c r="Q931" s="234"/>
      <c r="R931" s="234"/>
      <c r="S931" s="35"/>
      <c r="T931" s="35"/>
      <c r="U931" s="35"/>
      <c r="V931" s="35"/>
      <c r="W931" s="35"/>
      <c r="X931" s="35"/>
    </row>
    <row r="932" spans="1:24" ht="12.75" customHeight="1" x14ac:dyDescent="0.3">
      <c r="A932" s="35"/>
      <c r="B932" s="35"/>
      <c r="C932" s="35"/>
      <c r="D932" s="35"/>
      <c r="E932" s="35"/>
      <c r="F932" s="35"/>
      <c r="G932" s="35"/>
      <c r="H932" s="234" t="s">
        <v>2072</v>
      </c>
      <c r="I932" s="306" t="s">
        <v>2073</v>
      </c>
      <c r="J932" s="234">
        <f t="shared" si="32"/>
        <v>0.9930490838983268</v>
      </c>
      <c r="K932" s="315">
        <f t="shared" si="33"/>
        <v>-6.9751862509015257E-3</v>
      </c>
      <c r="L932" s="234"/>
      <c r="M932" s="234"/>
      <c r="N932" s="234"/>
      <c r="O932" s="234"/>
      <c r="P932" s="234"/>
      <c r="Q932" s="234"/>
      <c r="R932" s="234"/>
      <c r="S932" s="35"/>
      <c r="T932" s="35"/>
      <c r="U932" s="35"/>
      <c r="V932" s="35"/>
      <c r="W932" s="35"/>
      <c r="X932" s="35"/>
    </row>
    <row r="933" spans="1:24" ht="12.75" customHeight="1" x14ac:dyDescent="0.3">
      <c r="A933" s="35"/>
      <c r="B933" s="35"/>
      <c r="C933" s="35"/>
      <c r="D933" s="35"/>
      <c r="E933" s="35"/>
      <c r="F933" s="35"/>
      <c r="G933" s="35"/>
      <c r="H933" s="234" t="s">
        <v>2074</v>
      </c>
      <c r="I933" s="306" t="s">
        <v>2075</v>
      </c>
      <c r="J933" s="234">
        <f t="shared" si="32"/>
        <v>0.98853110209601081</v>
      </c>
      <c r="K933" s="315">
        <f t="shared" si="33"/>
        <v>-1.1535172935224719E-2</v>
      </c>
      <c r="L933" s="234"/>
      <c r="M933" s="234"/>
      <c r="N933" s="234"/>
      <c r="O933" s="234"/>
      <c r="P933" s="234"/>
      <c r="Q933" s="234"/>
      <c r="R933" s="234"/>
      <c r="S933" s="35"/>
      <c r="T933" s="35"/>
      <c r="U933" s="35"/>
      <c r="V933" s="35"/>
      <c r="W933" s="35"/>
      <c r="X933" s="35"/>
    </row>
    <row r="934" spans="1:24" ht="12.75" customHeight="1" x14ac:dyDescent="0.3">
      <c r="A934" s="35"/>
      <c r="B934" s="35"/>
      <c r="C934" s="35"/>
      <c r="D934" s="35"/>
      <c r="E934" s="35"/>
      <c r="F934" s="35"/>
      <c r="G934" s="35"/>
      <c r="H934" s="234" t="s">
        <v>2076</v>
      </c>
      <c r="I934" s="306" t="s">
        <v>2077</v>
      </c>
      <c r="J934" s="234">
        <f t="shared" si="32"/>
        <v>0.99544846501375561</v>
      </c>
      <c r="K934" s="315">
        <f t="shared" si="33"/>
        <v>-4.5619247598755385E-3</v>
      </c>
      <c r="L934" s="234"/>
      <c r="M934" s="234"/>
      <c r="N934" s="234"/>
      <c r="O934" s="234"/>
      <c r="P934" s="234"/>
      <c r="Q934" s="234"/>
      <c r="R934" s="234"/>
      <c r="S934" s="35"/>
      <c r="T934" s="35"/>
      <c r="U934" s="35"/>
      <c r="V934" s="35"/>
      <c r="W934" s="35"/>
      <c r="X934" s="35"/>
    </row>
    <row r="935" spans="1:24" ht="12.75" customHeight="1" x14ac:dyDescent="0.3">
      <c r="A935" s="35"/>
      <c r="B935" s="35"/>
      <c r="C935" s="35"/>
      <c r="D935" s="35"/>
      <c r="E935" s="35"/>
      <c r="F935" s="35"/>
      <c r="G935" s="35"/>
      <c r="H935" s="234" t="s">
        <v>2078</v>
      </c>
      <c r="I935" s="306" t="s">
        <v>2079</v>
      </c>
      <c r="J935" s="234">
        <f t="shared" si="32"/>
        <v>1.0053710689696005</v>
      </c>
      <c r="K935" s="315">
        <f t="shared" si="33"/>
        <v>5.3566962203780181E-3</v>
      </c>
      <c r="L935" s="234"/>
      <c r="M935" s="234"/>
      <c r="N935" s="234"/>
      <c r="O935" s="234"/>
      <c r="P935" s="234"/>
      <c r="Q935" s="234"/>
      <c r="R935" s="234"/>
      <c r="S935" s="35"/>
      <c r="T935" s="35"/>
      <c r="U935" s="35"/>
      <c r="V935" s="35"/>
      <c r="W935" s="35"/>
      <c r="X935" s="35"/>
    </row>
    <row r="936" spans="1:24" ht="12.75" customHeight="1" x14ac:dyDescent="0.3">
      <c r="A936" s="35"/>
      <c r="B936" s="35"/>
      <c r="C936" s="35"/>
      <c r="D936" s="35"/>
      <c r="E936" s="35"/>
      <c r="F936" s="35"/>
      <c r="G936" s="35"/>
      <c r="H936" s="234" t="s">
        <v>2080</v>
      </c>
      <c r="I936" s="306" t="s">
        <v>2081</v>
      </c>
      <c r="J936" s="234">
        <f t="shared" si="32"/>
        <v>0.99445682802708502</v>
      </c>
      <c r="K936" s="315">
        <f t="shared" si="33"/>
        <v>-5.5585923623239141E-3</v>
      </c>
      <c r="L936" s="234"/>
      <c r="M936" s="234"/>
      <c r="N936" s="234"/>
      <c r="O936" s="234"/>
      <c r="P936" s="234"/>
      <c r="Q936" s="234"/>
      <c r="R936" s="234"/>
      <c r="S936" s="35"/>
      <c r="T936" s="35"/>
      <c r="U936" s="35"/>
      <c r="V936" s="35"/>
      <c r="W936" s="35"/>
      <c r="X936" s="35"/>
    </row>
    <row r="937" spans="1:24" ht="12.75" customHeight="1" x14ac:dyDescent="0.3">
      <c r="A937" s="35"/>
      <c r="B937" s="35"/>
      <c r="C937" s="35"/>
      <c r="D937" s="35"/>
      <c r="E937" s="35"/>
      <c r="F937" s="35"/>
      <c r="G937" s="35"/>
      <c r="H937" s="234" t="s">
        <v>2082</v>
      </c>
      <c r="I937" s="306" t="s">
        <v>2083</v>
      </c>
      <c r="J937" s="234">
        <f t="shared" si="32"/>
        <v>0.98026039132908416</v>
      </c>
      <c r="K937" s="315">
        <f t="shared" si="33"/>
        <v>-1.9937037173116685E-2</v>
      </c>
      <c r="L937" s="234"/>
      <c r="M937" s="234"/>
      <c r="N937" s="234"/>
      <c r="O937" s="234"/>
      <c r="P937" s="234"/>
      <c r="Q937" s="234"/>
      <c r="R937" s="234"/>
      <c r="S937" s="35"/>
      <c r="T937" s="35"/>
      <c r="U937" s="35"/>
      <c r="V937" s="35"/>
      <c r="W937" s="35"/>
      <c r="X937" s="35"/>
    </row>
    <row r="938" spans="1:24" ht="12.75" customHeight="1" x14ac:dyDescent="0.3">
      <c r="A938" s="35"/>
      <c r="B938" s="35"/>
      <c r="C938" s="35"/>
      <c r="D938" s="35"/>
      <c r="E938" s="35"/>
      <c r="F938" s="35"/>
      <c r="G938" s="35"/>
      <c r="H938" s="234" t="s">
        <v>2084</v>
      </c>
      <c r="I938" s="306" t="s">
        <v>2085</v>
      </c>
      <c r="J938" s="234">
        <f t="shared" si="32"/>
        <v>0.99761452343936363</v>
      </c>
      <c r="K938" s="315">
        <f t="shared" si="33"/>
        <v>-2.3883263428081647E-3</v>
      </c>
      <c r="L938" s="234"/>
      <c r="M938" s="234"/>
      <c r="N938" s="234"/>
      <c r="O938" s="234"/>
      <c r="P938" s="234"/>
      <c r="Q938" s="234"/>
      <c r="R938" s="234"/>
      <c r="S938" s="35"/>
      <c r="T938" s="35"/>
      <c r="U938" s="35"/>
      <c r="V938" s="35"/>
      <c r="W938" s="35"/>
      <c r="X938" s="35"/>
    </row>
    <row r="939" spans="1:24" ht="12.75" customHeight="1" x14ac:dyDescent="0.3">
      <c r="A939" s="35"/>
      <c r="B939" s="35"/>
      <c r="C939" s="35"/>
      <c r="D939" s="35"/>
      <c r="E939" s="35"/>
      <c r="F939" s="35"/>
      <c r="G939" s="35"/>
      <c r="H939" s="234" t="s">
        <v>2086</v>
      </c>
      <c r="I939" s="306" t="s">
        <v>2087</v>
      </c>
      <c r="J939" s="234">
        <f t="shared" si="32"/>
        <v>1.0130665577786853</v>
      </c>
      <c r="K939" s="315">
        <f t="shared" si="33"/>
        <v>1.2981926739633349E-2</v>
      </c>
      <c r="L939" s="234"/>
      <c r="M939" s="234"/>
      <c r="N939" s="234"/>
      <c r="O939" s="234"/>
      <c r="P939" s="234"/>
      <c r="Q939" s="234"/>
      <c r="R939" s="234"/>
      <c r="S939" s="35"/>
      <c r="T939" s="35"/>
      <c r="U939" s="35"/>
      <c r="V939" s="35"/>
      <c r="W939" s="35"/>
      <c r="X939" s="35"/>
    </row>
    <row r="940" spans="1:24" ht="12.75" customHeight="1" x14ac:dyDescent="0.3">
      <c r="A940" s="35"/>
      <c r="B940" s="35"/>
      <c r="C940" s="35"/>
      <c r="D940" s="35"/>
      <c r="E940" s="35"/>
      <c r="F940" s="35"/>
      <c r="G940" s="35"/>
      <c r="H940" s="234" t="s">
        <v>2088</v>
      </c>
      <c r="I940" s="306" t="s">
        <v>2089</v>
      </c>
      <c r="J940" s="234">
        <f t="shared" si="32"/>
        <v>0.99783803560589057</v>
      </c>
      <c r="K940" s="315">
        <f t="shared" si="33"/>
        <v>-2.1643048130067844E-3</v>
      </c>
      <c r="L940" s="234"/>
      <c r="M940" s="234"/>
      <c r="N940" s="234"/>
      <c r="O940" s="234"/>
      <c r="P940" s="234"/>
      <c r="Q940" s="234"/>
      <c r="R940" s="234"/>
      <c r="S940" s="35"/>
      <c r="T940" s="35"/>
      <c r="U940" s="35"/>
      <c r="V940" s="35"/>
      <c r="W940" s="35"/>
      <c r="X940" s="35"/>
    </row>
    <row r="941" spans="1:24" ht="12.75" customHeight="1" x14ac:dyDescent="0.3">
      <c r="A941" s="35"/>
      <c r="B941" s="35"/>
      <c r="C941" s="35"/>
      <c r="D941" s="35"/>
      <c r="E941" s="35"/>
      <c r="F941" s="35"/>
      <c r="G941" s="35"/>
      <c r="H941" s="234" t="s">
        <v>2090</v>
      </c>
      <c r="I941" s="306" t="s">
        <v>2091</v>
      </c>
      <c r="J941" s="234">
        <f t="shared" si="32"/>
        <v>1.0020664428020298</v>
      </c>
      <c r="K941" s="315">
        <f t="shared" si="33"/>
        <v>2.0643106459166446E-3</v>
      </c>
      <c r="L941" s="234"/>
      <c r="M941" s="234"/>
      <c r="N941" s="234"/>
      <c r="O941" s="234"/>
      <c r="P941" s="234"/>
      <c r="Q941" s="234"/>
      <c r="R941" s="234"/>
      <c r="S941" s="35"/>
      <c r="T941" s="35"/>
      <c r="U941" s="35"/>
      <c r="V941" s="35"/>
      <c r="W941" s="35"/>
      <c r="X941" s="35"/>
    </row>
    <row r="942" spans="1:24" ht="12.75" customHeight="1" x14ac:dyDescent="0.3">
      <c r="A942" s="35"/>
      <c r="B942" s="35"/>
      <c r="C942" s="35"/>
      <c r="D942" s="35"/>
      <c r="E942" s="35"/>
      <c r="F942" s="35"/>
      <c r="G942" s="35"/>
      <c r="H942" s="234" t="s">
        <v>2092</v>
      </c>
      <c r="I942" s="306" t="s">
        <v>2093</v>
      </c>
      <c r="J942" s="234">
        <f t="shared" si="32"/>
        <v>1.0107209028128685</v>
      </c>
      <c r="K942" s="315">
        <f t="shared" si="33"/>
        <v>1.0663841405218255E-2</v>
      </c>
      <c r="L942" s="234"/>
      <c r="M942" s="234"/>
      <c r="N942" s="234"/>
      <c r="O942" s="234"/>
      <c r="P942" s="234"/>
      <c r="Q942" s="234"/>
      <c r="R942" s="234"/>
      <c r="S942" s="35"/>
      <c r="T942" s="35"/>
      <c r="U942" s="35"/>
      <c r="V942" s="35"/>
      <c r="W942" s="35"/>
      <c r="X942" s="35"/>
    </row>
    <row r="943" spans="1:24" ht="12.75" customHeight="1" x14ac:dyDescent="0.3">
      <c r="A943" s="35"/>
      <c r="B943" s="35"/>
      <c r="C943" s="35"/>
      <c r="D943" s="35"/>
      <c r="E943" s="35"/>
      <c r="F943" s="35"/>
      <c r="G943" s="35"/>
      <c r="H943" s="234" t="s">
        <v>2094</v>
      </c>
      <c r="I943" s="306" t="s">
        <v>2095</v>
      </c>
      <c r="J943" s="234">
        <f t="shared" si="32"/>
        <v>0.99712802942510204</v>
      </c>
      <c r="K943" s="315">
        <f t="shared" si="33"/>
        <v>-2.8761025956471802E-3</v>
      </c>
      <c r="L943" s="234"/>
      <c r="M943" s="234"/>
      <c r="N943" s="234"/>
      <c r="O943" s="234"/>
      <c r="P943" s="234"/>
      <c r="Q943" s="234"/>
      <c r="R943" s="234"/>
      <c r="S943" s="35"/>
      <c r="T943" s="35"/>
      <c r="U943" s="35"/>
      <c r="V943" s="35"/>
      <c r="W943" s="35"/>
      <c r="X943" s="35"/>
    </row>
    <row r="944" spans="1:24" ht="12.75" customHeight="1" x14ac:dyDescent="0.3">
      <c r="A944" s="35"/>
      <c r="B944" s="35"/>
      <c r="C944" s="35"/>
      <c r="D944" s="35"/>
      <c r="E944" s="35"/>
      <c r="F944" s="35"/>
      <c r="G944" s="35"/>
      <c r="H944" s="234" t="s">
        <v>2096</v>
      </c>
      <c r="I944" s="306" t="s">
        <v>2097</v>
      </c>
      <c r="J944" s="234">
        <f t="shared" si="32"/>
        <v>1.0001679797080512</v>
      </c>
      <c r="K944" s="315">
        <f t="shared" si="33"/>
        <v>1.6796560103977186E-4</v>
      </c>
      <c r="L944" s="234"/>
      <c r="M944" s="234"/>
      <c r="N944" s="234"/>
      <c r="O944" s="234"/>
      <c r="P944" s="234"/>
      <c r="Q944" s="234"/>
      <c r="R944" s="234"/>
      <c r="S944" s="35"/>
      <c r="T944" s="35"/>
      <c r="U944" s="35"/>
      <c r="V944" s="35"/>
      <c r="W944" s="35"/>
      <c r="X944" s="35"/>
    </row>
    <row r="945" spans="1:24" ht="12.75" customHeight="1" x14ac:dyDescent="0.3">
      <c r="A945" s="35"/>
      <c r="B945" s="35"/>
      <c r="C945" s="35"/>
      <c r="D945" s="35"/>
      <c r="E945" s="35"/>
      <c r="F945" s="35"/>
      <c r="G945" s="35"/>
      <c r="H945" s="234" t="s">
        <v>2098</v>
      </c>
      <c r="I945" s="306" t="s">
        <v>2099</v>
      </c>
      <c r="J945" s="234">
        <f t="shared" si="32"/>
        <v>1.0136386855099608</v>
      </c>
      <c r="K945" s="315">
        <f t="shared" si="33"/>
        <v>1.3546515742763238E-2</v>
      </c>
      <c r="L945" s="234"/>
      <c r="M945" s="234"/>
      <c r="N945" s="234"/>
      <c r="O945" s="234"/>
      <c r="P945" s="234"/>
      <c r="Q945" s="234"/>
      <c r="R945" s="234"/>
      <c r="S945" s="35"/>
      <c r="T945" s="35"/>
      <c r="U945" s="35"/>
      <c r="V945" s="35"/>
      <c r="W945" s="35"/>
      <c r="X945" s="35"/>
    </row>
    <row r="946" spans="1:24" ht="12.75" customHeight="1" x14ac:dyDescent="0.3">
      <c r="A946" s="35"/>
      <c r="B946" s="35"/>
      <c r="C946" s="35"/>
      <c r="D946" s="35"/>
      <c r="E946" s="35"/>
      <c r="F946" s="35"/>
      <c r="G946" s="35"/>
      <c r="H946" s="234" t="s">
        <v>2100</v>
      </c>
      <c r="I946" s="306" t="s">
        <v>2101</v>
      </c>
      <c r="J946" s="234">
        <f t="shared" si="32"/>
        <v>1.00162019271766</v>
      </c>
      <c r="K946" s="315">
        <f t="shared" si="33"/>
        <v>1.618881621400198E-3</v>
      </c>
      <c r="L946" s="234"/>
      <c r="M946" s="234"/>
      <c r="N946" s="234"/>
      <c r="O946" s="234"/>
      <c r="P946" s="234"/>
      <c r="Q946" s="234"/>
      <c r="R946" s="234"/>
      <c r="S946" s="35"/>
      <c r="T946" s="35"/>
      <c r="U946" s="35"/>
      <c r="V946" s="35"/>
      <c r="W946" s="35"/>
      <c r="X946" s="35"/>
    </row>
    <row r="947" spans="1:24" ht="12.75" customHeight="1" x14ac:dyDescent="0.3">
      <c r="A947" s="35"/>
      <c r="B947" s="35"/>
      <c r="C947" s="35"/>
      <c r="D947" s="35"/>
      <c r="E947" s="35"/>
      <c r="F947" s="35"/>
      <c r="G947" s="35"/>
      <c r="H947" s="234" t="s">
        <v>2102</v>
      </c>
      <c r="I947" s="306" t="s">
        <v>2103</v>
      </c>
      <c r="J947" s="234">
        <f t="shared" si="32"/>
        <v>1.0095818590356156</v>
      </c>
      <c r="K947" s="315">
        <f t="shared" si="33"/>
        <v>9.5362441762765742E-3</v>
      </c>
      <c r="L947" s="234"/>
      <c r="M947" s="234"/>
      <c r="N947" s="234"/>
      <c r="O947" s="234"/>
      <c r="P947" s="234"/>
      <c r="Q947" s="234"/>
      <c r="R947" s="234"/>
      <c r="S947" s="35"/>
      <c r="T947" s="35"/>
      <c r="U947" s="35"/>
      <c r="V947" s="35"/>
      <c r="W947" s="35"/>
      <c r="X947" s="35"/>
    </row>
    <row r="948" spans="1:24" ht="12.75" customHeight="1" x14ac:dyDescent="0.3">
      <c r="A948" s="35"/>
      <c r="B948" s="35"/>
      <c r="C948" s="35"/>
      <c r="D948" s="35"/>
      <c r="E948" s="35"/>
      <c r="F948" s="35"/>
      <c r="G948" s="35"/>
      <c r="H948" s="234" t="s">
        <v>2104</v>
      </c>
      <c r="I948" s="306" t="s">
        <v>2105</v>
      </c>
      <c r="J948" s="234">
        <f t="shared" si="32"/>
        <v>1.0073716253132941</v>
      </c>
      <c r="K948" s="315">
        <f t="shared" si="33"/>
        <v>7.3445876763281095E-3</v>
      </c>
      <c r="L948" s="234"/>
      <c r="M948" s="234"/>
      <c r="N948" s="234"/>
      <c r="O948" s="234"/>
      <c r="P948" s="234"/>
      <c r="Q948" s="234"/>
      <c r="R948" s="234"/>
      <c r="S948" s="35"/>
      <c r="T948" s="35"/>
      <c r="U948" s="35"/>
      <c r="V948" s="35"/>
      <c r="W948" s="35"/>
      <c r="X948" s="35"/>
    </row>
    <row r="949" spans="1:24" ht="12.75" customHeight="1" x14ac:dyDescent="0.3">
      <c r="A949" s="35"/>
      <c r="B949" s="35"/>
      <c r="C949" s="35"/>
      <c r="D949" s="35"/>
      <c r="E949" s="35"/>
      <c r="F949" s="35"/>
      <c r="G949" s="35"/>
      <c r="H949" s="234" t="s">
        <v>2106</v>
      </c>
      <c r="I949" s="306" t="s">
        <v>2107</v>
      </c>
      <c r="J949" s="234">
        <f t="shared" si="32"/>
        <v>1.019730093034773</v>
      </c>
      <c r="K949" s="315">
        <f t="shared" si="33"/>
        <v>1.9537977607748881E-2</v>
      </c>
      <c r="L949" s="234"/>
      <c r="M949" s="234"/>
      <c r="N949" s="234"/>
      <c r="O949" s="234"/>
      <c r="P949" s="234"/>
      <c r="Q949" s="234"/>
      <c r="R949" s="234"/>
      <c r="S949" s="35"/>
      <c r="T949" s="35"/>
      <c r="U949" s="35"/>
      <c r="V949" s="35"/>
      <c r="W949" s="35"/>
      <c r="X949" s="35"/>
    </row>
    <row r="950" spans="1:24" ht="12.75" customHeight="1" x14ac:dyDescent="0.3">
      <c r="A950" s="35"/>
      <c r="B950" s="35"/>
      <c r="C950" s="35"/>
      <c r="D950" s="35"/>
      <c r="E950" s="35"/>
      <c r="F950" s="35"/>
      <c r="G950" s="35"/>
      <c r="H950" s="234" t="s">
        <v>2108</v>
      </c>
      <c r="I950" s="306" t="s">
        <v>2109</v>
      </c>
      <c r="J950" s="234">
        <f t="shared" si="32"/>
        <v>1.0176666996661057</v>
      </c>
      <c r="K950" s="315">
        <f t="shared" si="33"/>
        <v>1.7512457511200192E-2</v>
      </c>
      <c r="L950" s="234"/>
      <c r="M950" s="234"/>
      <c r="N950" s="234"/>
      <c r="O950" s="234"/>
      <c r="P950" s="234"/>
      <c r="Q950" s="234"/>
      <c r="R950" s="234"/>
      <c r="S950" s="35"/>
      <c r="T950" s="35"/>
      <c r="U950" s="35"/>
      <c r="V950" s="35"/>
      <c r="W950" s="35"/>
      <c r="X950" s="35"/>
    </row>
    <row r="951" spans="1:24" ht="12.75" customHeight="1" x14ac:dyDescent="0.3">
      <c r="A951" s="35"/>
      <c r="B951" s="35"/>
      <c r="C951" s="35"/>
      <c r="D951" s="35"/>
      <c r="E951" s="35"/>
      <c r="F951" s="35"/>
      <c r="G951" s="35"/>
      <c r="H951" s="234" t="s">
        <v>2110</v>
      </c>
      <c r="I951" s="306" t="s">
        <v>2111</v>
      </c>
      <c r="J951" s="234">
        <f t="shared" si="32"/>
        <v>1.0197782631839791</v>
      </c>
      <c r="K951" s="315">
        <f t="shared" si="33"/>
        <v>1.958521462844378E-2</v>
      </c>
      <c r="L951" s="234"/>
      <c r="M951" s="234"/>
      <c r="N951" s="234"/>
      <c r="O951" s="234"/>
      <c r="P951" s="234"/>
      <c r="Q951" s="234"/>
      <c r="R951" s="234"/>
      <c r="S951" s="35"/>
      <c r="T951" s="35"/>
      <c r="U951" s="35"/>
      <c r="V951" s="35"/>
      <c r="W951" s="35"/>
      <c r="X951" s="35"/>
    </row>
    <row r="952" spans="1:24" ht="12.75" customHeight="1" x14ac:dyDescent="0.3">
      <c r="A952" s="35"/>
      <c r="B952" s="35"/>
      <c r="C952" s="35"/>
      <c r="D952" s="35"/>
      <c r="E952" s="35"/>
      <c r="F952" s="35"/>
      <c r="G952" s="35"/>
      <c r="H952" s="234" t="s">
        <v>2112</v>
      </c>
      <c r="I952" s="306" t="s">
        <v>2113</v>
      </c>
      <c r="J952" s="234">
        <f t="shared" si="32"/>
        <v>0.99120309301796683</v>
      </c>
      <c r="K952" s="315">
        <f t="shared" si="33"/>
        <v>-8.8358281938982746E-3</v>
      </c>
      <c r="L952" s="234"/>
      <c r="M952" s="234"/>
      <c r="N952" s="234"/>
      <c r="O952" s="234"/>
      <c r="P952" s="234"/>
      <c r="Q952" s="234"/>
      <c r="R952" s="234"/>
      <c r="S952" s="35"/>
      <c r="T952" s="35"/>
      <c r="U952" s="35"/>
      <c r="V952" s="35"/>
      <c r="W952" s="35"/>
      <c r="X952" s="35"/>
    </row>
    <row r="953" spans="1:24" ht="12.75" customHeight="1" x14ac:dyDescent="0.3">
      <c r="A953" s="35"/>
      <c r="B953" s="35"/>
      <c r="C953" s="35"/>
      <c r="D953" s="35"/>
      <c r="E953" s="35"/>
      <c r="F953" s="35"/>
      <c r="G953" s="35"/>
      <c r="H953" s="234" t="s">
        <v>2114</v>
      </c>
      <c r="I953" s="306" t="s">
        <v>2115</v>
      </c>
      <c r="J953" s="234">
        <f t="shared" si="32"/>
        <v>0.98396827670163634</v>
      </c>
      <c r="K953" s="315">
        <f t="shared" si="33"/>
        <v>-1.6161621573928687E-2</v>
      </c>
      <c r="L953" s="234"/>
      <c r="M953" s="234"/>
      <c r="N953" s="234"/>
      <c r="O953" s="234"/>
      <c r="P953" s="234"/>
      <c r="Q953" s="234"/>
      <c r="R953" s="234"/>
      <c r="S953" s="35"/>
      <c r="T953" s="35"/>
      <c r="U953" s="35"/>
      <c r="V953" s="35"/>
      <c r="W953" s="35"/>
      <c r="X953" s="35"/>
    </row>
    <row r="954" spans="1:24" ht="12.75" customHeight="1" x14ac:dyDescent="0.3">
      <c r="A954" s="35"/>
      <c r="B954" s="35"/>
      <c r="C954" s="35"/>
      <c r="D954" s="35"/>
      <c r="E954" s="35"/>
      <c r="F954" s="35"/>
      <c r="G954" s="35"/>
      <c r="H954" s="234" t="s">
        <v>2116</v>
      </c>
      <c r="I954" s="306" t="s">
        <v>2117</v>
      </c>
      <c r="J954" s="234">
        <f t="shared" si="32"/>
        <v>0.98286176801801806</v>
      </c>
      <c r="K954" s="315">
        <f t="shared" si="33"/>
        <v>-1.7286791288847594E-2</v>
      </c>
      <c r="L954" s="234"/>
      <c r="M954" s="234"/>
      <c r="N954" s="234"/>
      <c r="O954" s="234"/>
      <c r="P954" s="234"/>
      <c r="Q954" s="234"/>
      <c r="R954" s="234"/>
      <c r="S954" s="35"/>
      <c r="T954" s="35"/>
      <c r="U954" s="35"/>
      <c r="V954" s="35"/>
      <c r="W954" s="35"/>
      <c r="X954" s="35"/>
    </row>
    <row r="955" spans="1:24" ht="12.75" customHeight="1" x14ac:dyDescent="0.3">
      <c r="A955" s="35"/>
      <c r="B955" s="35"/>
      <c r="C955" s="35"/>
      <c r="D955" s="35"/>
      <c r="E955" s="35"/>
      <c r="F955" s="35"/>
      <c r="G955" s="35"/>
      <c r="H955" s="234" t="s">
        <v>2118</v>
      </c>
      <c r="I955" s="306" t="s">
        <v>2119</v>
      </c>
      <c r="J955" s="234">
        <f t="shared" si="32"/>
        <v>0.99792800702370499</v>
      </c>
      <c r="K955" s="315">
        <f t="shared" si="33"/>
        <v>-2.0741425234862944E-3</v>
      </c>
      <c r="L955" s="234"/>
      <c r="M955" s="234"/>
      <c r="N955" s="234"/>
      <c r="O955" s="234"/>
      <c r="P955" s="234"/>
      <c r="Q955" s="234"/>
      <c r="R955" s="234"/>
      <c r="S955" s="35"/>
      <c r="T955" s="35"/>
      <c r="U955" s="35"/>
      <c r="V955" s="35"/>
      <c r="W955" s="35"/>
      <c r="X955" s="35"/>
    </row>
    <row r="956" spans="1:24" ht="12.75" customHeight="1" x14ac:dyDescent="0.3">
      <c r="A956" s="35"/>
      <c r="B956" s="35"/>
      <c r="C956" s="35"/>
      <c r="D956" s="35"/>
      <c r="E956" s="35"/>
      <c r="F956" s="35"/>
      <c r="G956" s="35"/>
      <c r="H956" s="234" t="s">
        <v>2120</v>
      </c>
      <c r="I956" s="306" t="s">
        <v>2121</v>
      </c>
      <c r="J956" s="234">
        <f t="shared" si="32"/>
        <v>1.0241884722596888</v>
      </c>
      <c r="K956" s="315">
        <f t="shared" si="33"/>
        <v>2.3900564622385777E-2</v>
      </c>
      <c r="L956" s="234"/>
      <c r="M956" s="234"/>
      <c r="N956" s="234"/>
      <c r="O956" s="234"/>
      <c r="P956" s="234"/>
      <c r="Q956" s="234"/>
      <c r="R956" s="234"/>
      <c r="S956" s="35"/>
      <c r="T956" s="35"/>
      <c r="U956" s="35"/>
      <c r="V956" s="35"/>
      <c r="W956" s="35"/>
      <c r="X956" s="35"/>
    </row>
    <row r="957" spans="1:24" ht="12.75" customHeight="1" x14ac:dyDescent="0.3">
      <c r="A957" s="35"/>
      <c r="B957" s="35"/>
      <c r="C957" s="35"/>
      <c r="D957" s="35"/>
      <c r="E957" s="35"/>
      <c r="F957" s="35"/>
      <c r="G957" s="35"/>
      <c r="H957" s="234" t="s">
        <v>2122</v>
      </c>
      <c r="I957" s="306" t="s">
        <v>2123</v>
      </c>
      <c r="J957" s="234">
        <f t="shared" si="32"/>
        <v>0.99655895478251522</v>
      </c>
      <c r="K957" s="315">
        <f t="shared" si="33"/>
        <v>-3.4469792302941394E-3</v>
      </c>
      <c r="L957" s="234"/>
      <c r="M957" s="234"/>
      <c r="N957" s="234"/>
      <c r="O957" s="234"/>
      <c r="P957" s="234"/>
      <c r="Q957" s="234"/>
      <c r="R957" s="234"/>
      <c r="S957" s="35"/>
      <c r="T957" s="35"/>
      <c r="U957" s="35"/>
      <c r="V957" s="35"/>
      <c r="W957" s="35"/>
      <c r="X957" s="35"/>
    </row>
    <row r="958" spans="1:24" ht="12.75" customHeight="1" x14ac:dyDescent="0.3">
      <c r="A958" s="35"/>
      <c r="B958" s="35"/>
      <c r="C958" s="35"/>
      <c r="D958" s="35"/>
      <c r="E958" s="35"/>
      <c r="F958" s="35"/>
      <c r="G958" s="35"/>
      <c r="H958" s="234" t="s">
        <v>2124</v>
      </c>
      <c r="I958" s="306" t="s">
        <v>2125</v>
      </c>
      <c r="J958" s="234">
        <f t="shared" si="32"/>
        <v>0.97488402973730881</v>
      </c>
      <c r="K958" s="315">
        <f t="shared" si="33"/>
        <v>-2.5436758917842119E-2</v>
      </c>
      <c r="L958" s="234"/>
      <c r="M958" s="234"/>
      <c r="N958" s="234"/>
      <c r="O958" s="234"/>
      <c r="P958" s="234"/>
      <c r="Q958" s="234"/>
      <c r="R958" s="234"/>
      <c r="S958" s="35"/>
      <c r="T958" s="35"/>
      <c r="U958" s="35"/>
      <c r="V958" s="35"/>
      <c r="W958" s="35"/>
      <c r="X958" s="35"/>
    </row>
    <row r="959" spans="1:24" ht="12.75" customHeight="1" x14ac:dyDescent="0.3">
      <c r="A959" s="35"/>
      <c r="B959" s="35"/>
      <c r="C959" s="35"/>
      <c r="D959" s="35"/>
      <c r="E959" s="35"/>
      <c r="F959" s="35"/>
      <c r="G959" s="35"/>
      <c r="H959" s="234" t="s">
        <v>2126</v>
      </c>
      <c r="I959" s="306" t="s">
        <v>2127</v>
      </c>
      <c r="J959" s="234">
        <f t="shared" si="32"/>
        <v>0.99394786655783829</v>
      </c>
      <c r="K959" s="315">
        <f t="shared" si="33"/>
        <v>-6.0705218319617249E-3</v>
      </c>
      <c r="L959" s="234"/>
      <c r="M959" s="234"/>
      <c r="N959" s="234"/>
      <c r="O959" s="234"/>
      <c r="P959" s="234"/>
      <c r="Q959" s="234"/>
      <c r="R959" s="234"/>
      <c r="S959" s="35"/>
      <c r="T959" s="35"/>
      <c r="U959" s="35"/>
      <c r="V959" s="35"/>
      <c r="W959" s="35"/>
      <c r="X959" s="35"/>
    </row>
    <row r="960" spans="1:24" ht="12.75" customHeight="1" x14ac:dyDescent="0.3">
      <c r="A960" s="35"/>
      <c r="B960" s="35"/>
      <c r="C960" s="35"/>
      <c r="D960" s="35"/>
      <c r="E960" s="35"/>
      <c r="F960" s="35"/>
      <c r="G960" s="35"/>
      <c r="H960" s="234" t="s">
        <v>2128</v>
      </c>
      <c r="I960" s="306" t="s">
        <v>2129</v>
      </c>
      <c r="J960" s="234">
        <f t="shared" si="32"/>
        <v>0.99993922186623596</v>
      </c>
      <c r="K960" s="315">
        <f t="shared" si="33"/>
        <v>-6.0779980829652058E-5</v>
      </c>
      <c r="L960" s="234"/>
      <c r="M960" s="234"/>
      <c r="N960" s="234"/>
      <c r="O960" s="234"/>
      <c r="P960" s="234"/>
      <c r="Q960" s="234"/>
      <c r="R960" s="234"/>
      <c r="S960" s="35"/>
      <c r="T960" s="35"/>
      <c r="U960" s="35"/>
      <c r="V960" s="35"/>
      <c r="W960" s="35"/>
      <c r="X960" s="35"/>
    </row>
    <row r="961" spans="1:24" ht="12.75" customHeight="1" x14ac:dyDescent="0.3">
      <c r="A961" s="35"/>
      <c r="B961" s="35"/>
      <c r="C961" s="35"/>
      <c r="D961" s="35"/>
      <c r="E961" s="35"/>
      <c r="F961" s="35"/>
      <c r="G961" s="35"/>
      <c r="H961" s="234" t="s">
        <v>2130</v>
      </c>
      <c r="I961" s="306" t="s">
        <v>2131</v>
      </c>
      <c r="J961" s="234">
        <f t="shared" si="32"/>
        <v>1.0179418965380094</v>
      </c>
      <c r="K961" s="315">
        <f t="shared" si="33"/>
        <v>1.778284040710015E-2</v>
      </c>
      <c r="L961" s="234"/>
      <c r="M961" s="234"/>
      <c r="N961" s="234"/>
      <c r="O961" s="234"/>
      <c r="P961" s="234"/>
      <c r="Q961" s="234"/>
      <c r="R961" s="234"/>
      <c r="S961" s="35"/>
      <c r="T961" s="35"/>
      <c r="U961" s="35"/>
      <c r="V961" s="35"/>
      <c r="W961" s="35"/>
      <c r="X961" s="35"/>
    </row>
    <row r="962" spans="1:24" ht="12.75" customHeight="1" x14ac:dyDescent="0.3">
      <c r="A962" s="35"/>
      <c r="B962" s="35"/>
      <c r="C962" s="35"/>
      <c r="D962" s="35"/>
      <c r="E962" s="35"/>
      <c r="F962" s="35"/>
      <c r="G962" s="35"/>
      <c r="H962" s="234" t="s">
        <v>2132</v>
      </c>
      <c r="I962" s="306" t="s">
        <v>2133</v>
      </c>
      <c r="J962" s="234">
        <f t="shared" si="32"/>
        <v>1.0139079316432329</v>
      </c>
      <c r="K962" s="315">
        <f t="shared" si="33"/>
        <v>1.3812103850653701E-2</v>
      </c>
      <c r="L962" s="234"/>
      <c r="M962" s="234"/>
      <c r="N962" s="234"/>
      <c r="O962" s="234"/>
      <c r="P962" s="234"/>
      <c r="Q962" s="234"/>
      <c r="R962" s="234"/>
      <c r="S962" s="35"/>
      <c r="T962" s="35"/>
      <c r="U962" s="35"/>
      <c r="V962" s="35"/>
      <c r="W962" s="35"/>
      <c r="X962" s="35"/>
    </row>
    <row r="963" spans="1:24" ht="12.75" customHeight="1" x14ac:dyDescent="0.3">
      <c r="A963" s="35"/>
      <c r="B963" s="35"/>
      <c r="C963" s="35"/>
      <c r="D963" s="35"/>
      <c r="E963" s="35"/>
      <c r="F963" s="35"/>
      <c r="G963" s="35"/>
      <c r="H963" s="234" t="s">
        <v>2134</v>
      </c>
      <c r="I963" s="306" t="s">
        <v>2135</v>
      </c>
      <c r="J963" s="234">
        <f t="shared" si="32"/>
        <v>0.99633931839894285</v>
      </c>
      <c r="K963" s="315">
        <f t="shared" si="33"/>
        <v>-3.6673982927392899E-3</v>
      </c>
      <c r="L963" s="234"/>
      <c r="M963" s="234"/>
      <c r="N963" s="234"/>
      <c r="O963" s="234"/>
      <c r="P963" s="234"/>
      <c r="Q963" s="234"/>
      <c r="R963" s="234"/>
      <c r="S963" s="35"/>
      <c r="T963" s="35"/>
      <c r="U963" s="35"/>
      <c r="V963" s="35"/>
      <c r="W963" s="35"/>
      <c r="X963" s="35"/>
    </row>
    <row r="964" spans="1:24" ht="12.75" customHeight="1" x14ac:dyDescent="0.3">
      <c r="A964" s="35"/>
      <c r="B964" s="35"/>
      <c r="C964" s="35"/>
      <c r="D964" s="35"/>
      <c r="E964" s="35"/>
      <c r="F964" s="35"/>
      <c r="G964" s="35"/>
      <c r="H964" s="234" t="s">
        <v>2136</v>
      </c>
      <c r="I964" s="306" t="s">
        <v>2137</v>
      </c>
      <c r="J964" s="234">
        <f t="shared" si="32"/>
        <v>0.99210750097438261</v>
      </c>
      <c r="K964" s="315">
        <f t="shared" si="33"/>
        <v>-7.9238096509184792E-3</v>
      </c>
      <c r="L964" s="234"/>
      <c r="M964" s="234"/>
      <c r="N964" s="234"/>
      <c r="O964" s="234"/>
      <c r="P964" s="234"/>
      <c r="Q964" s="234"/>
      <c r="R964" s="234"/>
      <c r="S964" s="35"/>
      <c r="T964" s="35"/>
      <c r="U964" s="35"/>
      <c r="V964" s="35"/>
      <c r="W964" s="35"/>
      <c r="X964" s="35"/>
    </row>
    <row r="965" spans="1:24" ht="12.75" customHeight="1" x14ac:dyDescent="0.3">
      <c r="A965" s="35"/>
      <c r="B965" s="35"/>
      <c r="C965" s="35"/>
      <c r="D965" s="35"/>
      <c r="E965" s="35"/>
      <c r="F965" s="35"/>
      <c r="G965" s="35"/>
      <c r="H965" s="234" t="s">
        <v>2138</v>
      </c>
      <c r="I965" s="306" t="s">
        <v>2139</v>
      </c>
      <c r="J965" s="234">
        <f t="shared" ref="J965:J1028" si="34">I965/I966</f>
        <v>1.0104272020192075</v>
      </c>
      <c r="K965" s="315">
        <f t="shared" ref="K965:K1028" si="35">LN(J965)</f>
        <v>1.0373213721847518E-2</v>
      </c>
      <c r="L965" s="234"/>
      <c r="M965" s="234"/>
      <c r="N965" s="234"/>
      <c r="O965" s="234"/>
      <c r="P965" s="234"/>
      <c r="Q965" s="234"/>
      <c r="R965" s="234"/>
      <c r="S965" s="35"/>
      <c r="T965" s="35"/>
      <c r="U965" s="35"/>
      <c r="V965" s="35"/>
      <c r="W965" s="35"/>
      <c r="X965" s="35"/>
    </row>
    <row r="966" spans="1:24" ht="12.75" customHeight="1" x14ac:dyDescent="0.3">
      <c r="A966" s="35"/>
      <c r="B966" s="35"/>
      <c r="C966" s="35"/>
      <c r="D966" s="35"/>
      <c r="E966" s="35"/>
      <c r="F966" s="35"/>
      <c r="G966" s="35"/>
      <c r="H966" s="234" t="s">
        <v>2140</v>
      </c>
      <c r="I966" s="306" t="s">
        <v>2141</v>
      </c>
      <c r="J966" s="234">
        <f t="shared" si="34"/>
        <v>0.98978561304039692</v>
      </c>
      <c r="K966" s="315">
        <f t="shared" si="35"/>
        <v>-1.0266911788823885E-2</v>
      </c>
      <c r="L966" s="234"/>
      <c r="M966" s="234"/>
      <c r="N966" s="234"/>
      <c r="O966" s="234"/>
      <c r="P966" s="234"/>
      <c r="Q966" s="234"/>
      <c r="R966" s="234"/>
      <c r="S966" s="35"/>
      <c r="T966" s="35"/>
      <c r="U966" s="35"/>
      <c r="V966" s="35"/>
      <c r="W966" s="35"/>
      <c r="X966" s="35"/>
    </row>
    <row r="967" spans="1:24" ht="12.75" customHeight="1" x14ac:dyDescent="0.3">
      <c r="A967" s="35"/>
      <c r="B967" s="35"/>
      <c r="C967" s="35"/>
      <c r="D967" s="35"/>
      <c r="E967" s="35"/>
      <c r="F967" s="35"/>
      <c r="G967" s="35"/>
      <c r="H967" s="234" t="s">
        <v>2142</v>
      </c>
      <c r="I967" s="306" t="s">
        <v>2143</v>
      </c>
      <c r="J967" s="234">
        <f t="shared" si="34"/>
        <v>0.99423961104162628</v>
      </c>
      <c r="K967" s="315">
        <f t="shared" si="35"/>
        <v>-5.7770439892844121E-3</v>
      </c>
      <c r="L967" s="234"/>
      <c r="M967" s="234"/>
      <c r="N967" s="234"/>
      <c r="O967" s="234"/>
      <c r="P967" s="234"/>
      <c r="Q967" s="234"/>
      <c r="R967" s="234"/>
      <c r="S967" s="35"/>
      <c r="T967" s="35"/>
      <c r="U967" s="35"/>
      <c r="V967" s="35"/>
      <c r="W967" s="35"/>
      <c r="X967" s="35"/>
    </row>
    <row r="968" spans="1:24" ht="12.75" customHeight="1" x14ac:dyDescent="0.3">
      <c r="A968" s="35"/>
      <c r="B968" s="35"/>
      <c r="C968" s="35"/>
      <c r="D968" s="35"/>
      <c r="E968" s="35"/>
      <c r="F968" s="35"/>
      <c r="G968" s="35"/>
      <c r="H968" s="234" t="s">
        <v>2144</v>
      </c>
      <c r="I968" s="306" t="s">
        <v>2145</v>
      </c>
      <c r="J968" s="234">
        <f t="shared" si="34"/>
        <v>0.98570076661949457</v>
      </c>
      <c r="K968" s="315">
        <f t="shared" si="35"/>
        <v>-1.4402452569852562E-2</v>
      </c>
      <c r="L968" s="234"/>
      <c r="M968" s="234"/>
      <c r="N968" s="234"/>
      <c r="O968" s="234"/>
      <c r="P968" s="234"/>
      <c r="Q968" s="234"/>
      <c r="R968" s="234"/>
      <c r="S968" s="35"/>
      <c r="T968" s="35"/>
      <c r="U968" s="35"/>
      <c r="V968" s="35"/>
      <c r="W968" s="35"/>
      <c r="X968" s="35"/>
    </row>
    <row r="969" spans="1:24" ht="12.75" customHeight="1" x14ac:dyDescent="0.3">
      <c r="A969" s="35"/>
      <c r="B969" s="35"/>
      <c r="C969" s="35"/>
      <c r="D969" s="35"/>
      <c r="E969" s="35"/>
      <c r="F969" s="35"/>
      <c r="G969" s="35"/>
      <c r="H969" s="234" t="s">
        <v>2146</v>
      </c>
      <c r="I969" s="306" t="s">
        <v>2147</v>
      </c>
      <c r="J969" s="234">
        <f t="shared" si="34"/>
        <v>1.0030566925019595</v>
      </c>
      <c r="K969" s="315">
        <f t="shared" si="35"/>
        <v>3.0520303155977049E-3</v>
      </c>
      <c r="L969" s="234"/>
      <c r="M969" s="234"/>
      <c r="N969" s="234"/>
      <c r="O969" s="234"/>
      <c r="P969" s="234"/>
      <c r="Q969" s="234"/>
      <c r="R969" s="234"/>
      <c r="S969" s="35"/>
      <c r="T969" s="35"/>
      <c r="U969" s="35"/>
      <c r="V969" s="35"/>
      <c r="W969" s="35"/>
      <c r="X969" s="35"/>
    </row>
    <row r="970" spans="1:24" ht="12.75" customHeight="1" x14ac:dyDescent="0.3">
      <c r="A970" s="35"/>
      <c r="B970" s="35"/>
      <c r="C970" s="35"/>
      <c r="D970" s="35"/>
      <c r="E970" s="35"/>
      <c r="F970" s="35"/>
      <c r="G970" s="35"/>
      <c r="H970" s="234" t="s">
        <v>2148</v>
      </c>
      <c r="I970" s="306" t="s">
        <v>2149</v>
      </c>
      <c r="J970" s="234">
        <f t="shared" si="34"/>
        <v>1.0081208024230719</v>
      </c>
      <c r="K970" s="315">
        <f t="shared" si="35"/>
        <v>8.0880061421799467E-3</v>
      </c>
      <c r="L970" s="234"/>
      <c r="M970" s="234"/>
      <c r="N970" s="234"/>
      <c r="O970" s="234"/>
      <c r="P970" s="234"/>
      <c r="Q970" s="234"/>
      <c r="R970" s="234"/>
      <c r="S970" s="35"/>
      <c r="T970" s="35"/>
      <c r="U970" s="35"/>
      <c r="V970" s="35"/>
      <c r="W970" s="35"/>
      <c r="X970" s="35"/>
    </row>
    <row r="971" spans="1:24" ht="12.75" customHeight="1" x14ac:dyDescent="0.3">
      <c r="A971" s="35"/>
      <c r="B971" s="35"/>
      <c r="C971" s="35"/>
      <c r="D971" s="35"/>
      <c r="E971" s="35"/>
      <c r="F971" s="35"/>
      <c r="G971" s="35"/>
      <c r="H971" s="234" t="s">
        <v>2150</v>
      </c>
      <c r="I971" s="306" t="s">
        <v>2151</v>
      </c>
      <c r="J971" s="234">
        <f t="shared" si="34"/>
        <v>1.002305465360823</v>
      </c>
      <c r="K971" s="315">
        <f t="shared" si="35"/>
        <v>2.3028118531554348E-3</v>
      </c>
      <c r="L971" s="234"/>
      <c r="M971" s="234"/>
      <c r="N971" s="234"/>
      <c r="O971" s="234"/>
      <c r="P971" s="234"/>
      <c r="Q971" s="234"/>
      <c r="R971" s="234"/>
      <c r="S971" s="35"/>
      <c r="T971" s="35"/>
      <c r="U971" s="35"/>
      <c r="V971" s="35"/>
      <c r="W971" s="35"/>
      <c r="X971" s="35"/>
    </row>
    <row r="972" spans="1:24" ht="12.75" customHeight="1" x14ac:dyDescent="0.3">
      <c r="A972" s="35"/>
      <c r="B972" s="35"/>
      <c r="C972" s="35"/>
      <c r="D972" s="35"/>
      <c r="E972" s="35"/>
      <c r="F972" s="35"/>
      <c r="G972" s="35"/>
      <c r="H972" s="234" t="s">
        <v>2152</v>
      </c>
      <c r="I972" s="306" t="s">
        <v>2153</v>
      </c>
      <c r="J972" s="234">
        <f t="shared" si="34"/>
        <v>1.0024257286006633</v>
      </c>
      <c r="K972" s="315">
        <f t="shared" si="35"/>
        <v>2.4227912701932732E-3</v>
      </c>
      <c r="L972" s="234"/>
      <c r="M972" s="234"/>
      <c r="N972" s="234"/>
      <c r="O972" s="234"/>
      <c r="P972" s="234"/>
      <c r="Q972" s="234"/>
      <c r="R972" s="234"/>
      <c r="S972" s="35"/>
      <c r="T972" s="35"/>
      <c r="U972" s="35"/>
      <c r="V972" s="35"/>
      <c r="W972" s="35"/>
      <c r="X972" s="35"/>
    </row>
    <row r="973" spans="1:24" ht="12.75" customHeight="1" x14ac:dyDescent="0.3">
      <c r="A973" s="35"/>
      <c r="B973" s="35"/>
      <c r="C973" s="35"/>
      <c r="D973" s="35"/>
      <c r="E973" s="35"/>
      <c r="F973" s="35"/>
      <c r="G973" s="35"/>
      <c r="H973" s="234" t="s">
        <v>2154</v>
      </c>
      <c r="I973" s="306" t="s">
        <v>2155</v>
      </c>
      <c r="J973" s="234">
        <f t="shared" si="34"/>
        <v>1.0080560544895165</v>
      </c>
      <c r="K973" s="315">
        <f t="shared" si="35"/>
        <v>8.0237777156352795E-3</v>
      </c>
      <c r="L973" s="234"/>
      <c r="M973" s="234"/>
      <c r="N973" s="234"/>
      <c r="O973" s="234"/>
      <c r="P973" s="234"/>
      <c r="Q973" s="234"/>
      <c r="R973" s="234"/>
      <c r="S973" s="35"/>
      <c r="T973" s="35"/>
      <c r="U973" s="35"/>
      <c r="V973" s="35"/>
      <c r="W973" s="35"/>
      <c r="X973" s="35"/>
    </row>
    <row r="974" spans="1:24" ht="12.75" customHeight="1" x14ac:dyDescent="0.3">
      <c r="A974" s="35"/>
      <c r="B974" s="35"/>
      <c r="C974" s="35"/>
      <c r="D974" s="35"/>
      <c r="E974" s="35"/>
      <c r="F974" s="35"/>
      <c r="G974" s="35"/>
      <c r="H974" s="234" t="s">
        <v>2156</v>
      </c>
      <c r="I974" s="306" t="s">
        <v>2157</v>
      </c>
      <c r="J974" s="234">
        <f t="shared" si="34"/>
        <v>1.0020403981003805</v>
      </c>
      <c r="K974" s="315">
        <f t="shared" si="35"/>
        <v>2.0383193153954717E-3</v>
      </c>
      <c r="L974" s="234"/>
      <c r="M974" s="234"/>
      <c r="N974" s="234"/>
      <c r="O974" s="234"/>
      <c r="P974" s="234"/>
      <c r="Q974" s="234"/>
      <c r="R974" s="234"/>
      <c r="S974" s="35"/>
      <c r="T974" s="35"/>
      <c r="U974" s="35"/>
      <c r="V974" s="35"/>
      <c r="W974" s="35"/>
      <c r="X974" s="35"/>
    </row>
    <row r="975" spans="1:24" ht="12.75" customHeight="1" x14ac:dyDescent="0.3">
      <c r="A975" s="35"/>
      <c r="B975" s="35"/>
      <c r="C975" s="35"/>
      <c r="D975" s="35"/>
      <c r="E975" s="35"/>
      <c r="F975" s="35"/>
      <c r="G975" s="35"/>
      <c r="H975" s="234" t="s">
        <v>2158</v>
      </c>
      <c r="I975" s="306" t="s">
        <v>2159</v>
      </c>
      <c r="J975" s="234">
        <f t="shared" si="34"/>
        <v>1.0021250948703067</v>
      </c>
      <c r="K975" s="315">
        <f t="shared" si="35"/>
        <v>2.1228400501089035E-3</v>
      </c>
      <c r="L975" s="234"/>
      <c r="M975" s="234"/>
      <c r="N975" s="234"/>
      <c r="O975" s="234"/>
      <c r="P975" s="234"/>
      <c r="Q975" s="234"/>
      <c r="R975" s="234"/>
      <c r="S975" s="35"/>
      <c r="T975" s="35"/>
      <c r="U975" s="35"/>
      <c r="V975" s="35"/>
      <c r="W975" s="35"/>
      <c r="X975" s="35"/>
    </row>
    <row r="976" spans="1:24" ht="12.75" customHeight="1" x14ac:dyDescent="0.3">
      <c r="A976" s="35"/>
      <c r="B976" s="35"/>
      <c r="C976" s="35"/>
      <c r="D976" s="35"/>
      <c r="E976" s="35"/>
      <c r="F976" s="35"/>
      <c r="G976" s="35"/>
      <c r="H976" s="234" t="s">
        <v>2160</v>
      </c>
      <c r="I976" s="306" t="s">
        <v>2161</v>
      </c>
      <c r="J976" s="234">
        <f t="shared" si="34"/>
        <v>0.99775495113455148</v>
      </c>
      <c r="K976" s="315">
        <f t="shared" si="35"/>
        <v>-2.2475727658800844E-3</v>
      </c>
      <c r="L976" s="234"/>
      <c r="M976" s="234"/>
      <c r="N976" s="234"/>
      <c r="O976" s="234"/>
      <c r="P976" s="234"/>
      <c r="Q976" s="234"/>
      <c r="R976" s="234"/>
      <c r="S976" s="35"/>
      <c r="T976" s="35"/>
      <c r="U976" s="35"/>
      <c r="V976" s="35"/>
      <c r="W976" s="35"/>
      <c r="X976" s="35"/>
    </row>
    <row r="977" spans="1:24" ht="12.75" customHeight="1" x14ac:dyDescent="0.3">
      <c r="A977" s="35"/>
      <c r="B977" s="35"/>
      <c r="C977" s="35"/>
      <c r="D977" s="35"/>
      <c r="E977" s="35"/>
      <c r="F977" s="35"/>
      <c r="G977" s="35"/>
      <c r="H977" s="234" t="s">
        <v>2162</v>
      </c>
      <c r="I977" s="306" t="s">
        <v>2163</v>
      </c>
      <c r="J977" s="234">
        <f t="shared" si="34"/>
        <v>1.0049330325168313</v>
      </c>
      <c r="K977" s="315">
        <f t="shared" si="35"/>
        <v>4.9209049792640625E-3</v>
      </c>
      <c r="L977" s="234"/>
      <c r="M977" s="234"/>
      <c r="N977" s="234"/>
      <c r="O977" s="234"/>
      <c r="P977" s="234"/>
      <c r="Q977" s="234"/>
      <c r="R977" s="234"/>
      <c r="S977" s="35"/>
      <c r="T977" s="35"/>
      <c r="U977" s="35"/>
      <c r="V977" s="35"/>
      <c r="W977" s="35"/>
      <c r="X977" s="35"/>
    </row>
    <row r="978" spans="1:24" ht="12.75" customHeight="1" x14ac:dyDescent="0.3">
      <c r="A978" s="35"/>
      <c r="B978" s="35"/>
      <c r="C978" s="35"/>
      <c r="D978" s="35"/>
      <c r="E978" s="35"/>
      <c r="F978" s="35"/>
      <c r="G978" s="35"/>
      <c r="H978" s="234" t="s">
        <v>2164</v>
      </c>
      <c r="I978" s="306" t="s">
        <v>2165</v>
      </c>
      <c r="J978" s="234">
        <f t="shared" si="34"/>
        <v>0.9982037051931687</v>
      </c>
      <c r="K978" s="315">
        <f t="shared" si="35"/>
        <v>-1.7979100789742969E-3</v>
      </c>
      <c r="L978" s="234"/>
      <c r="M978" s="234"/>
      <c r="N978" s="234"/>
      <c r="O978" s="234"/>
      <c r="P978" s="234"/>
      <c r="Q978" s="234"/>
      <c r="R978" s="234"/>
      <c r="S978" s="35"/>
      <c r="T978" s="35"/>
      <c r="U978" s="35"/>
      <c r="V978" s="35"/>
      <c r="W978" s="35"/>
      <c r="X978" s="35"/>
    </row>
    <row r="979" spans="1:24" ht="12.75" customHeight="1" x14ac:dyDescent="0.3">
      <c r="A979" s="35"/>
      <c r="B979" s="35"/>
      <c r="C979" s="35"/>
      <c r="D979" s="35"/>
      <c r="E979" s="35"/>
      <c r="F979" s="35"/>
      <c r="G979" s="35"/>
      <c r="H979" s="234" t="s">
        <v>2166</v>
      </c>
      <c r="I979" s="306" t="s">
        <v>2167</v>
      </c>
      <c r="J979" s="234">
        <f t="shared" si="34"/>
        <v>0.98824495707775462</v>
      </c>
      <c r="K979" s="315">
        <f t="shared" si="35"/>
        <v>-1.1824679699460192E-2</v>
      </c>
      <c r="L979" s="234"/>
      <c r="M979" s="234"/>
      <c r="N979" s="234"/>
      <c r="O979" s="234"/>
      <c r="P979" s="234"/>
      <c r="Q979" s="234"/>
      <c r="R979" s="234"/>
      <c r="S979" s="35"/>
      <c r="T979" s="35"/>
      <c r="U979" s="35"/>
      <c r="V979" s="35"/>
      <c r="W979" s="35"/>
      <c r="X979" s="35"/>
    </row>
    <row r="980" spans="1:24" ht="12.75" customHeight="1" x14ac:dyDescent="0.3">
      <c r="A980" s="35"/>
      <c r="B980" s="35"/>
      <c r="C980" s="35"/>
      <c r="D980" s="35"/>
      <c r="E980" s="35"/>
      <c r="F980" s="35"/>
      <c r="G980" s="35"/>
      <c r="H980" s="234" t="s">
        <v>2168</v>
      </c>
      <c r="I980" s="306" t="s">
        <v>2169</v>
      </c>
      <c r="J980" s="234">
        <f t="shared" si="34"/>
        <v>1.0096751469106409</v>
      </c>
      <c r="K980" s="315">
        <f t="shared" si="35"/>
        <v>9.6286423948460081E-3</v>
      </c>
      <c r="L980" s="234"/>
      <c r="M980" s="234"/>
      <c r="N980" s="234"/>
      <c r="O980" s="234"/>
      <c r="P980" s="234"/>
      <c r="Q980" s="234"/>
      <c r="R980" s="234"/>
      <c r="S980" s="35"/>
      <c r="T980" s="35"/>
      <c r="U980" s="35"/>
      <c r="V980" s="35"/>
      <c r="W980" s="35"/>
      <c r="X980" s="35"/>
    </row>
    <row r="981" spans="1:24" ht="12.75" customHeight="1" x14ac:dyDescent="0.3">
      <c r="A981" s="35"/>
      <c r="B981" s="35"/>
      <c r="C981" s="35"/>
      <c r="D981" s="35"/>
      <c r="E981" s="35"/>
      <c r="F981" s="35"/>
      <c r="G981" s="35"/>
      <c r="H981" s="234" t="s">
        <v>2170</v>
      </c>
      <c r="I981" s="306" t="s">
        <v>2171</v>
      </c>
      <c r="J981" s="234">
        <f t="shared" si="34"/>
        <v>1.0020820302028415</v>
      </c>
      <c r="K981" s="315">
        <f t="shared" si="35"/>
        <v>2.0798657816981656E-3</v>
      </c>
      <c r="L981" s="234"/>
      <c r="M981" s="234"/>
      <c r="N981" s="234"/>
      <c r="O981" s="234"/>
      <c r="P981" s="234"/>
      <c r="Q981" s="234"/>
      <c r="R981" s="234"/>
      <c r="S981" s="35"/>
      <c r="T981" s="35"/>
      <c r="U981" s="35"/>
      <c r="V981" s="35"/>
      <c r="W981" s="35"/>
      <c r="X981" s="35"/>
    </row>
    <row r="982" spans="1:24" ht="12.75" customHeight="1" x14ac:dyDescent="0.3">
      <c r="A982" s="35"/>
      <c r="B982" s="35"/>
      <c r="C982" s="35"/>
      <c r="D982" s="35"/>
      <c r="E982" s="35"/>
      <c r="F982" s="35"/>
      <c r="G982" s="35"/>
      <c r="H982" s="234" t="s">
        <v>2172</v>
      </c>
      <c r="I982" s="306" t="s">
        <v>2173</v>
      </c>
      <c r="J982" s="234">
        <f t="shared" si="34"/>
        <v>0.99377503085844188</v>
      </c>
      <c r="K982" s="315">
        <f t="shared" si="35"/>
        <v>-6.2444250455903957E-3</v>
      </c>
      <c r="L982" s="234"/>
      <c r="M982" s="234"/>
      <c r="N982" s="234"/>
      <c r="O982" s="234"/>
      <c r="P982" s="234"/>
      <c r="Q982" s="234"/>
      <c r="R982" s="234"/>
      <c r="S982" s="35"/>
      <c r="T982" s="35"/>
      <c r="U982" s="35"/>
      <c r="V982" s="35"/>
      <c r="W982" s="35"/>
      <c r="X982" s="35"/>
    </row>
    <row r="983" spans="1:24" ht="12.75" customHeight="1" x14ac:dyDescent="0.3">
      <c r="A983" s="35"/>
      <c r="B983" s="35"/>
      <c r="C983" s="35"/>
      <c r="D983" s="35"/>
      <c r="E983" s="35"/>
      <c r="F983" s="35"/>
      <c r="G983" s="35"/>
      <c r="H983" s="234" t="s">
        <v>2174</v>
      </c>
      <c r="I983" s="306" t="s">
        <v>2175</v>
      </c>
      <c r="J983" s="234">
        <f t="shared" si="34"/>
        <v>1.0117517048058005</v>
      </c>
      <c r="K983" s="315">
        <f t="shared" si="35"/>
        <v>1.1683189779386854E-2</v>
      </c>
      <c r="L983" s="234"/>
      <c r="M983" s="234"/>
      <c r="N983" s="234"/>
      <c r="O983" s="234"/>
      <c r="P983" s="234"/>
      <c r="Q983" s="234"/>
      <c r="R983" s="234"/>
      <c r="S983" s="35"/>
      <c r="T983" s="35"/>
      <c r="U983" s="35"/>
      <c r="V983" s="35"/>
      <c r="W983" s="35"/>
      <c r="X983" s="35"/>
    </row>
    <row r="984" spans="1:24" ht="12.75" customHeight="1" x14ac:dyDescent="0.3">
      <c r="A984" s="35"/>
      <c r="B984" s="35"/>
      <c r="C984" s="35"/>
      <c r="D984" s="35"/>
      <c r="E984" s="35"/>
      <c r="F984" s="35"/>
      <c r="G984" s="35"/>
      <c r="H984" s="234" t="s">
        <v>2176</v>
      </c>
      <c r="I984" s="306" t="s">
        <v>2177</v>
      </c>
      <c r="J984" s="234">
        <f t="shared" si="34"/>
        <v>1.0099540859844292</v>
      </c>
      <c r="K984" s="315">
        <f t="shared" si="35"/>
        <v>9.9048703984999948E-3</v>
      </c>
      <c r="L984" s="234"/>
      <c r="M984" s="234"/>
      <c r="N984" s="234"/>
      <c r="O984" s="234"/>
      <c r="P984" s="234"/>
      <c r="Q984" s="234"/>
      <c r="R984" s="234"/>
      <c r="S984" s="35"/>
      <c r="T984" s="35"/>
      <c r="U984" s="35"/>
      <c r="V984" s="35"/>
      <c r="W984" s="35"/>
      <c r="X984" s="35"/>
    </row>
    <row r="985" spans="1:24" ht="12.75" customHeight="1" x14ac:dyDescent="0.3">
      <c r="A985" s="35"/>
      <c r="B985" s="35"/>
      <c r="C985" s="35"/>
      <c r="D985" s="35"/>
      <c r="E985" s="35"/>
      <c r="F985" s="35"/>
      <c r="G985" s="35"/>
      <c r="H985" s="234" t="s">
        <v>2178</v>
      </c>
      <c r="I985" s="306" t="s">
        <v>2179</v>
      </c>
      <c r="J985" s="234">
        <f t="shared" si="34"/>
        <v>1.0210404410061611</v>
      </c>
      <c r="K985" s="315">
        <f t="shared" si="35"/>
        <v>2.0822147610798859E-2</v>
      </c>
      <c r="L985" s="234"/>
      <c r="M985" s="234"/>
      <c r="N985" s="234"/>
      <c r="O985" s="234"/>
      <c r="P985" s="234"/>
      <c r="Q985" s="234"/>
      <c r="R985" s="234"/>
      <c r="S985" s="35"/>
      <c r="T985" s="35"/>
      <c r="U985" s="35"/>
      <c r="V985" s="35"/>
      <c r="W985" s="35"/>
      <c r="X985" s="35"/>
    </row>
    <row r="986" spans="1:24" ht="12.75" customHeight="1" x14ac:dyDescent="0.3">
      <c r="A986" s="35"/>
      <c r="B986" s="35"/>
      <c r="C986" s="35"/>
      <c r="D986" s="35"/>
      <c r="E986" s="35"/>
      <c r="F986" s="35"/>
      <c r="G986" s="35"/>
      <c r="H986" s="234" t="s">
        <v>2180</v>
      </c>
      <c r="I986" s="306" t="s">
        <v>2181</v>
      </c>
      <c r="J986" s="234">
        <f t="shared" si="34"/>
        <v>0.9907656437888398</v>
      </c>
      <c r="K986" s="315">
        <f t="shared" si="35"/>
        <v>-9.2772571913457766E-3</v>
      </c>
      <c r="L986" s="234"/>
      <c r="M986" s="234"/>
      <c r="N986" s="234"/>
      <c r="O986" s="234"/>
      <c r="P986" s="234"/>
      <c r="Q986" s="234"/>
      <c r="R986" s="234"/>
      <c r="S986" s="35"/>
      <c r="T986" s="35"/>
      <c r="U986" s="35"/>
      <c r="V986" s="35"/>
      <c r="W986" s="35"/>
      <c r="X986" s="35"/>
    </row>
    <row r="987" spans="1:24" ht="12.75" customHeight="1" x14ac:dyDescent="0.3">
      <c r="A987" s="35"/>
      <c r="B987" s="35"/>
      <c r="C987" s="35"/>
      <c r="D987" s="35"/>
      <c r="E987" s="35"/>
      <c r="F987" s="35"/>
      <c r="G987" s="35"/>
      <c r="H987" s="234" t="s">
        <v>2182</v>
      </c>
      <c r="I987" s="306" t="s">
        <v>2183</v>
      </c>
      <c r="J987" s="234">
        <f t="shared" si="34"/>
        <v>0.99857007983720913</v>
      </c>
      <c r="K987" s="315">
        <f t="shared" si="35"/>
        <v>-1.4309434742456274E-3</v>
      </c>
      <c r="L987" s="234"/>
      <c r="M987" s="234"/>
      <c r="N987" s="234"/>
      <c r="O987" s="234"/>
      <c r="P987" s="234"/>
      <c r="Q987" s="234"/>
      <c r="R987" s="234"/>
      <c r="S987" s="35"/>
      <c r="T987" s="35"/>
      <c r="U987" s="35"/>
      <c r="V987" s="35"/>
      <c r="W987" s="35"/>
      <c r="X987" s="35"/>
    </row>
    <row r="988" spans="1:24" ht="12.75" customHeight="1" x14ac:dyDescent="0.3">
      <c r="A988" s="35"/>
      <c r="B988" s="35"/>
      <c r="C988" s="35"/>
      <c r="D988" s="35"/>
      <c r="E988" s="35"/>
      <c r="F988" s="35"/>
      <c r="G988" s="35"/>
      <c r="H988" s="234" t="s">
        <v>2184</v>
      </c>
      <c r="I988" s="306" t="s">
        <v>2185</v>
      </c>
      <c r="J988" s="234">
        <f t="shared" si="34"/>
        <v>1.0100171272508447</v>
      </c>
      <c r="K988" s="315">
        <f t="shared" si="35"/>
        <v>9.9672883834920085E-3</v>
      </c>
      <c r="L988" s="234"/>
      <c r="M988" s="234"/>
      <c r="N988" s="234"/>
      <c r="O988" s="234"/>
      <c r="P988" s="234"/>
      <c r="Q988" s="234"/>
      <c r="R988" s="234"/>
      <c r="S988" s="35"/>
      <c r="T988" s="35"/>
      <c r="U988" s="35"/>
      <c r="V988" s="35"/>
      <c r="W988" s="35"/>
      <c r="X988" s="35"/>
    </row>
    <row r="989" spans="1:24" ht="12.75" customHeight="1" x14ac:dyDescent="0.3">
      <c r="A989" s="35"/>
      <c r="B989" s="35"/>
      <c r="C989" s="35"/>
      <c r="D989" s="35"/>
      <c r="E989" s="35"/>
      <c r="F989" s="35"/>
      <c r="G989" s="35"/>
      <c r="H989" s="234" t="s">
        <v>2186</v>
      </c>
      <c r="I989" s="306" t="s">
        <v>2187</v>
      </c>
      <c r="J989" s="234">
        <f t="shared" si="34"/>
        <v>1.0126089809693448</v>
      </c>
      <c r="K989" s="315">
        <f t="shared" si="35"/>
        <v>1.2530149731548468E-2</v>
      </c>
      <c r="L989" s="234"/>
      <c r="M989" s="234"/>
      <c r="N989" s="234"/>
      <c r="O989" s="234"/>
      <c r="P989" s="234"/>
      <c r="Q989" s="234"/>
      <c r="R989" s="234"/>
      <c r="S989" s="35"/>
      <c r="T989" s="35"/>
      <c r="U989" s="35"/>
      <c r="V989" s="35"/>
      <c r="W989" s="35"/>
      <c r="X989" s="35"/>
    </row>
    <row r="990" spans="1:24" ht="12.75" customHeight="1" x14ac:dyDescent="0.3">
      <c r="A990" s="35"/>
      <c r="B990" s="35"/>
      <c r="C990" s="35"/>
      <c r="D990" s="35"/>
      <c r="E990" s="35"/>
      <c r="F990" s="35"/>
      <c r="G990" s="35"/>
      <c r="H990" s="234" t="s">
        <v>2188</v>
      </c>
      <c r="I990" s="306" t="s">
        <v>2189</v>
      </c>
      <c r="J990" s="234">
        <f t="shared" si="34"/>
        <v>1.0028297718320187</v>
      </c>
      <c r="K990" s="315">
        <f t="shared" si="35"/>
        <v>2.8257755649489309E-3</v>
      </c>
      <c r="L990" s="234"/>
      <c r="M990" s="234"/>
      <c r="N990" s="234"/>
      <c r="O990" s="234"/>
      <c r="P990" s="234"/>
      <c r="Q990" s="234"/>
      <c r="R990" s="234"/>
      <c r="S990" s="35"/>
      <c r="T990" s="35"/>
      <c r="U990" s="35"/>
      <c r="V990" s="35"/>
      <c r="W990" s="35"/>
      <c r="X990" s="35"/>
    </row>
    <row r="991" spans="1:24" ht="12.75" customHeight="1" x14ac:dyDescent="0.3">
      <c r="A991" s="35"/>
      <c r="B991" s="35"/>
      <c r="C991" s="35"/>
      <c r="D991" s="35"/>
      <c r="E991" s="35"/>
      <c r="F991" s="35"/>
      <c r="G991" s="35"/>
      <c r="H991" s="234" t="s">
        <v>2190</v>
      </c>
      <c r="I991" s="306" t="s">
        <v>2191</v>
      </c>
      <c r="J991" s="234">
        <f t="shared" si="34"/>
        <v>0.99478148643467035</v>
      </c>
      <c r="K991" s="315">
        <f t="shared" si="35"/>
        <v>-5.2321775651548962E-3</v>
      </c>
      <c r="L991" s="234"/>
      <c r="M991" s="234"/>
      <c r="N991" s="234"/>
      <c r="O991" s="234"/>
      <c r="P991" s="234"/>
      <c r="Q991" s="234"/>
      <c r="R991" s="234"/>
      <c r="S991" s="35"/>
      <c r="T991" s="35"/>
      <c r="U991" s="35"/>
      <c r="V991" s="35"/>
      <c r="W991" s="35"/>
      <c r="X991" s="35"/>
    </row>
    <row r="992" spans="1:24" ht="12.75" customHeight="1" x14ac:dyDescent="0.3">
      <c r="A992" s="35"/>
      <c r="B992" s="35"/>
      <c r="C992" s="35"/>
      <c r="D992" s="35"/>
      <c r="E992" s="35"/>
      <c r="F992" s="35"/>
      <c r="G992" s="35"/>
      <c r="H992" s="234" t="s">
        <v>2192</v>
      </c>
      <c r="I992" s="306" t="s">
        <v>2193</v>
      </c>
      <c r="J992" s="234">
        <f t="shared" si="34"/>
        <v>1.0132379418174926</v>
      </c>
      <c r="K992" s="315">
        <f t="shared" si="35"/>
        <v>1.3151085954598499E-2</v>
      </c>
      <c r="L992" s="234"/>
      <c r="M992" s="234"/>
      <c r="N992" s="234"/>
      <c r="O992" s="234"/>
      <c r="P992" s="234"/>
      <c r="Q992" s="234"/>
      <c r="R992" s="234"/>
      <c r="S992" s="35"/>
      <c r="T992" s="35"/>
      <c r="U992" s="35"/>
      <c r="V992" s="35"/>
      <c r="W992" s="35"/>
      <c r="X992" s="35"/>
    </row>
    <row r="993" spans="1:24" ht="12.75" customHeight="1" x14ac:dyDescent="0.3">
      <c r="A993" s="35"/>
      <c r="B993" s="35"/>
      <c r="C993" s="35"/>
      <c r="D993" s="35"/>
      <c r="E993" s="35"/>
      <c r="F993" s="35"/>
      <c r="G993" s="35"/>
      <c r="H993" s="234" t="s">
        <v>2194</v>
      </c>
      <c r="I993" s="306" t="s">
        <v>2195</v>
      </c>
      <c r="J993" s="234">
        <f t="shared" si="34"/>
        <v>0.99852392937569778</v>
      </c>
      <c r="K993" s="315">
        <f t="shared" si="35"/>
        <v>-1.4771610897476193E-3</v>
      </c>
      <c r="L993" s="234"/>
      <c r="M993" s="234"/>
      <c r="N993" s="234"/>
      <c r="O993" s="234"/>
      <c r="P993" s="234"/>
      <c r="Q993" s="234"/>
      <c r="R993" s="234"/>
      <c r="S993" s="35"/>
      <c r="T993" s="35"/>
      <c r="U993" s="35"/>
      <c r="V993" s="35"/>
      <c r="W993" s="35"/>
      <c r="X993" s="35"/>
    </row>
    <row r="994" spans="1:24" ht="12.75" customHeight="1" x14ac:dyDescent="0.3">
      <c r="A994" s="35"/>
      <c r="B994" s="35"/>
      <c r="C994" s="35"/>
      <c r="D994" s="35"/>
      <c r="E994" s="35"/>
      <c r="F994" s="35"/>
      <c r="G994" s="35"/>
      <c r="H994" s="234" t="s">
        <v>2196</v>
      </c>
      <c r="I994" s="306" t="s">
        <v>2197</v>
      </c>
      <c r="J994" s="234">
        <f t="shared" si="34"/>
        <v>1.0183755865830273</v>
      </c>
      <c r="K994" s="315">
        <f t="shared" si="35"/>
        <v>1.8208795647547751E-2</v>
      </c>
      <c r="L994" s="234"/>
      <c r="M994" s="234"/>
      <c r="N994" s="234"/>
      <c r="O994" s="234"/>
      <c r="P994" s="234"/>
      <c r="Q994" s="234"/>
      <c r="R994" s="234"/>
      <c r="S994" s="35"/>
      <c r="T994" s="35"/>
      <c r="U994" s="35"/>
      <c r="V994" s="35"/>
      <c r="W994" s="35"/>
      <c r="X994" s="35"/>
    </row>
    <row r="995" spans="1:24" ht="12.75" customHeight="1" x14ac:dyDescent="0.3">
      <c r="A995" s="35"/>
      <c r="B995" s="35"/>
      <c r="C995" s="35"/>
      <c r="D995" s="35"/>
      <c r="E995" s="35"/>
      <c r="F995" s="35"/>
      <c r="G995" s="35"/>
      <c r="H995" s="234" t="s">
        <v>2198</v>
      </c>
      <c r="I995" s="306" t="s">
        <v>2199</v>
      </c>
      <c r="J995" s="234">
        <f t="shared" si="34"/>
        <v>1.0179801071155317</v>
      </c>
      <c r="K995" s="315">
        <f t="shared" si="35"/>
        <v>1.7820376793521837E-2</v>
      </c>
      <c r="L995" s="234"/>
      <c r="M995" s="234"/>
      <c r="N995" s="234"/>
      <c r="O995" s="234"/>
      <c r="P995" s="234"/>
      <c r="Q995" s="234"/>
      <c r="R995" s="234"/>
      <c r="S995" s="35"/>
      <c r="T995" s="35"/>
      <c r="U995" s="35"/>
      <c r="V995" s="35"/>
      <c r="W995" s="35"/>
      <c r="X995" s="35"/>
    </row>
    <row r="996" spans="1:24" ht="12.75" customHeight="1" x14ac:dyDescent="0.3">
      <c r="A996" s="35"/>
      <c r="B996" s="35"/>
      <c r="C996" s="35"/>
      <c r="D996" s="35"/>
      <c r="E996" s="35"/>
      <c r="F996" s="35"/>
      <c r="G996" s="35"/>
      <c r="H996" s="234" t="s">
        <v>2200</v>
      </c>
      <c r="I996" s="306" t="s">
        <v>2201</v>
      </c>
      <c r="J996" s="234">
        <f t="shared" si="34"/>
        <v>0.99247461521237546</v>
      </c>
      <c r="K996" s="315">
        <f t="shared" si="35"/>
        <v>-7.5538433600948638E-3</v>
      </c>
      <c r="L996" s="234"/>
      <c r="M996" s="234"/>
      <c r="N996" s="234"/>
      <c r="O996" s="234"/>
      <c r="P996" s="234"/>
      <c r="Q996" s="234"/>
      <c r="R996" s="234"/>
      <c r="S996" s="35"/>
      <c r="T996" s="35"/>
      <c r="U996" s="35"/>
      <c r="V996" s="35"/>
      <c r="W996" s="35"/>
      <c r="X996" s="35"/>
    </row>
    <row r="997" spans="1:24" ht="12.75" customHeight="1" x14ac:dyDescent="0.3">
      <c r="A997" s="35"/>
      <c r="B997" s="35"/>
      <c r="C997" s="35"/>
      <c r="D997" s="35"/>
      <c r="E997" s="35"/>
      <c r="F997" s="35"/>
      <c r="G997" s="35"/>
      <c r="H997" s="234" t="s">
        <v>2202</v>
      </c>
      <c r="I997" s="306" t="s">
        <v>2203</v>
      </c>
      <c r="J997" s="234">
        <f t="shared" si="34"/>
        <v>1.0114020145528304</v>
      </c>
      <c r="K997" s="315">
        <f t="shared" si="35"/>
        <v>1.13375015075503E-2</v>
      </c>
      <c r="L997" s="234"/>
      <c r="M997" s="234"/>
      <c r="N997" s="234"/>
      <c r="O997" s="234"/>
      <c r="P997" s="234"/>
      <c r="Q997" s="234"/>
      <c r="R997" s="234"/>
      <c r="S997" s="35"/>
      <c r="T997" s="35"/>
      <c r="U997" s="35"/>
      <c r="V997" s="35"/>
      <c r="W997" s="35"/>
      <c r="X997" s="35"/>
    </row>
    <row r="998" spans="1:24" ht="12.75" customHeight="1" x14ac:dyDescent="0.3">
      <c r="A998" s="35"/>
      <c r="B998" s="35"/>
      <c r="C998" s="35"/>
      <c r="D998" s="35"/>
      <c r="E998" s="35"/>
      <c r="F998" s="35"/>
      <c r="G998" s="35"/>
      <c r="H998" s="234" t="s">
        <v>2204</v>
      </c>
      <c r="I998" s="306" t="s">
        <v>2205</v>
      </c>
      <c r="J998" s="234">
        <f t="shared" si="34"/>
        <v>1.0054947230857574</v>
      </c>
      <c r="K998" s="315">
        <f t="shared" si="35"/>
        <v>5.4796821668308257E-3</v>
      </c>
      <c r="L998" s="234"/>
      <c r="M998" s="234"/>
      <c r="N998" s="234"/>
      <c r="O998" s="234"/>
      <c r="P998" s="234"/>
      <c r="Q998" s="234"/>
      <c r="R998" s="234"/>
      <c r="S998" s="35"/>
      <c r="T998" s="35"/>
      <c r="U998" s="35"/>
      <c r="V998" s="35"/>
      <c r="W998" s="35"/>
      <c r="X998" s="35"/>
    </row>
    <row r="999" spans="1:24" ht="12.75" customHeight="1" x14ac:dyDescent="0.3">
      <c r="A999" s="35"/>
      <c r="B999" s="35"/>
      <c r="C999" s="35"/>
      <c r="D999" s="35"/>
      <c r="E999" s="35"/>
      <c r="G999" s="35"/>
      <c r="H999" s="234" t="s">
        <v>2206</v>
      </c>
      <c r="I999" s="306" t="s">
        <v>2207</v>
      </c>
      <c r="J999" s="234">
        <f t="shared" si="34"/>
        <v>0.97577139324149387</v>
      </c>
      <c r="K999" s="315">
        <f t="shared" si="35"/>
        <v>-2.4526948240936423E-2</v>
      </c>
      <c r="L999" s="234"/>
      <c r="M999" s="234"/>
      <c r="N999" s="234"/>
      <c r="O999" s="234"/>
      <c r="P999" s="234"/>
      <c r="Q999" s="234"/>
      <c r="R999" s="234"/>
      <c r="S999" s="35"/>
      <c r="T999" s="35"/>
      <c r="U999" s="35"/>
      <c r="V999" s="35"/>
      <c r="W999" s="35"/>
      <c r="X999" s="35"/>
    </row>
    <row r="1000" spans="1:24" ht="15" customHeight="1" x14ac:dyDescent="0.3">
      <c r="H1000" s="234" t="s">
        <v>2208</v>
      </c>
      <c r="I1000" s="306" t="s">
        <v>2209</v>
      </c>
      <c r="J1000" s="234">
        <f t="shared" si="34"/>
        <v>0.99607397856084368</v>
      </c>
      <c r="K1000" s="315">
        <f t="shared" si="35"/>
        <v>-3.9337484923416639E-3</v>
      </c>
      <c r="L1000" s="234"/>
      <c r="M1000" s="234"/>
      <c r="N1000" s="234"/>
      <c r="O1000" s="234"/>
      <c r="P1000" s="234"/>
      <c r="Q1000" s="234"/>
      <c r="R1000" s="234"/>
    </row>
    <row r="1001" spans="1:24" ht="15" customHeight="1" x14ac:dyDescent="0.3">
      <c r="H1001" s="234" t="s">
        <v>2210</v>
      </c>
      <c r="I1001" s="306" t="s">
        <v>2211</v>
      </c>
      <c r="J1001" s="234">
        <f t="shared" si="34"/>
        <v>0.99140455815994577</v>
      </c>
      <c r="K1001" s="315">
        <f t="shared" si="35"/>
        <v>-8.6325957060657179E-3</v>
      </c>
      <c r="L1001" s="234"/>
      <c r="M1001" s="234"/>
      <c r="N1001" s="234"/>
      <c r="O1001" s="234"/>
      <c r="P1001" s="234"/>
      <c r="Q1001" s="234"/>
      <c r="R1001" s="234"/>
    </row>
    <row r="1002" spans="1:24" ht="15" customHeight="1" x14ac:dyDescent="0.3">
      <c r="H1002" s="234" t="s">
        <v>2212</v>
      </c>
      <c r="I1002" s="306" t="s">
        <v>2213</v>
      </c>
      <c r="J1002" s="234">
        <f t="shared" si="34"/>
        <v>1.0068872111117515</v>
      </c>
      <c r="K1002" s="315">
        <f t="shared" si="35"/>
        <v>6.8636026091445238E-3</v>
      </c>
      <c r="L1002" s="234"/>
      <c r="M1002" s="234"/>
      <c r="N1002" s="234"/>
      <c r="O1002" s="234"/>
      <c r="P1002" s="234"/>
      <c r="Q1002" s="234"/>
      <c r="R1002" s="234"/>
    </row>
    <row r="1003" spans="1:24" ht="15" customHeight="1" x14ac:dyDescent="0.3">
      <c r="H1003" s="234" t="s">
        <v>2214</v>
      </c>
      <c r="I1003" s="306" t="s">
        <v>2215</v>
      </c>
      <c r="J1003" s="234">
        <f t="shared" si="34"/>
        <v>0.99278105718890364</v>
      </c>
      <c r="K1003" s="315">
        <f t="shared" si="35"/>
        <v>-7.2451254622219359E-3</v>
      </c>
      <c r="L1003" s="234"/>
      <c r="M1003" s="234"/>
      <c r="N1003" s="234"/>
      <c r="O1003" s="234"/>
      <c r="P1003" s="234"/>
      <c r="Q1003" s="234"/>
      <c r="R1003" s="234"/>
    </row>
    <row r="1004" spans="1:24" ht="15" customHeight="1" x14ac:dyDescent="0.3">
      <c r="H1004" s="234" t="s">
        <v>2216</v>
      </c>
      <c r="I1004" s="306" t="s">
        <v>2217</v>
      </c>
      <c r="J1004" s="234">
        <f t="shared" si="34"/>
        <v>0.9934441760219791</v>
      </c>
      <c r="K1004" s="315">
        <f t="shared" si="35"/>
        <v>-6.5774077768102615E-3</v>
      </c>
      <c r="L1004" s="234"/>
      <c r="M1004" s="234"/>
      <c r="N1004" s="234"/>
      <c r="O1004" s="234"/>
      <c r="P1004" s="234"/>
      <c r="Q1004" s="234"/>
      <c r="R1004" s="234"/>
    </row>
    <row r="1005" spans="1:24" ht="15" customHeight="1" x14ac:dyDescent="0.3">
      <c r="H1005" s="234" t="s">
        <v>2218</v>
      </c>
      <c r="I1005" s="306" t="s">
        <v>2219</v>
      </c>
      <c r="J1005" s="234">
        <f t="shared" si="34"/>
        <v>1.0063207870952979</v>
      </c>
      <c r="K1005" s="315">
        <f t="shared" si="35"/>
        <v>6.3008947002706527E-3</v>
      </c>
      <c r="L1005" s="234"/>
      <c r="M1005" s="234"/>
      <c r="N1005" s="234"/>
      <c r="O1005" s="234"/>
      <c r="P1005" s="234"/>
      <c r="Q1005" s="234"/>
      <c r="R1005" s="234"/>
    </row>
    <row r="1006" spans="1:24" ht="15" customHeight="1" x14ac:dyDescent="0.3">
      <c r="H1006" s="234" t="s">
        <v>2220</v>
      </c>
      <c r="I1006" s="306" t="s">
        <v>2221</v>
      </c>
      <c r="J1006" s="234">
        <f t="shared" si="34"/>
        <v>0.99658910604174777</v>
      </c>
      <c r="K1006" s="315">
        <f t="shared" si="35"/>
        <v>-3.416724318652112E-3</v>
      </c>
      <c r="L1006" s="234"/>
      <c r="M1006" s="234"/>
      <c r="N1006" s="234"/>
      <c r="O1006" s="234"/>
      <c r="P1006" s="234"/>
      <c r="Q1006" s="234"/>
      <c r="R1006" s="234"/>
    </row>
    <row r="1007" spans="1:24" ht="15" customHeight="1" x14ac:dyDescent="0.3">
      <c r="H1007" s="234" t="s">
        <v>2222</v>
      </c>
      <c r="I1007" s="306" t="s">
        <v>2223</v>
      </c>
      <c r="J1007" s="234">
        <f t="shared" si="34"/>
        <v>0.99764926681769495</v>
      </c>
      <c r="K1007" s="315">
        <f t="shared" si="35"/>
        <v>-2.3535004932092505E-3</v>
      </c>
      <c r="L1007" s="234"/>
      <c r="M1007" s="234"/>
      <c r="N1007" s="234"/>
      <c r="O1007" s="234"/>
      <c r="P1007" s="234"/>
      <c r="Q1007" s="234"/>
      <c r="R1007" s="234"/>
    </row>
    <row r="1008" spans="1:24" ht="15" customHeight="1" x14ac:dyDescent="0.3">
      <c r="H1008" s="234" t="s">
        <v>2224</v>
      </c>
      <c r="I1008" s="306" t="s">
        <v>2225</v>
      </c>
      <c r="J1008" s="234">
        <f t="shared" si="34"/>
        <v>1.0045610359931441</v>
      </c>
      <c r="K1008" s="315">
        <f t="shared" si="35"/>
        <v>4.5506659884991651E-3</v>
      </c>
      <c r="L1008" s="234"/>
      <c r="M1008" s="234"/>
      <c r="N1008" s="234"/>
      <c r="O1008" s="234"/>
      <c r="P1008" s="234"/>
      <c r="Q1008" s="234"/>
      <c r="R1008" s="234"/>
    </row>
    <row r="1009" spans="8:18" ht="15" customHeight="1" x14ac:dyDescent="0.3">
      <c r="H1009" s="234" t="s">
        <v>2226</v>
      </c>
      <c r="I1009" s="306" t="s">
        <v>2227</v>
      </c>
      <c r="J1009" s="234">
        <f t="shared" si="34"/>
        <v>0.97992927191124468</v>
      </c>
      <c r="K1009" s="315">
        <f t="shared" si="35"/>
        <v>-2.027488144114693E-2</v>
      </c>
      <c r="L1009" s="234"/>
      <c r="M1009" s="234"/>
      <c r="N1009" s="234"/>
      <c r="O1009" s="234"/>
      <c r="P1009" s="234"/>
      <c r="Q1009" s="234"/>
      <c r="R1009" s="234"/>
    </row>
    <row r="1010" spans="8:18" ht="15" customHeight="1" x14ac:dyDescent="0.3">
      <c r="H1010" s="234" t="s">
        <v>2228</v>
      </c>
      <c r="I1010" s="306" t="s">
        <v>2229</v>
      </c>
      <c r="J1010" s="234">
        <f t="shared" si="34"/>
        <v>0.98935600605590635</v>
      </c>
      <c r="K1010" s="315">
        <f t="shared" si="35"/>
        <v>-1.0701046453157986E-2</v>
      </c>
      <c r="L1010" s="234"/>
      <c r="M1010" s="234"/>
      <c r="N1010" s="234"/>
      <c r="O1010" s="234"/>
      <c r="P1010" s="234"/>
      <c r="Q1010" s="234"/>
      <c r="R1010" s="234"/>
    </row>
    <row r="1011" spans="8:18" ht="15" customHeight="1" x14ac:dyDescent="0.3">
      <c r="H1011" s="234" t="s">
        <v>2230</v>
      </c>
      <c r="I1011" s="306" t="s">
        <v>2231</v>
      </c>
      <c r="J1011" s="234">
        <f t="shared" si="34"/>
        <v>1.0082935410907263</v>
      </c>
      <c r="K1011" s="315">
        <f t="shared" si="35"/>
        <v>8.2593386548975301E-3</v>
      </c>
      <c r="L1011" s="234"/>
      <c r="M1011" s="234"/>
      <c r="N1011" s="234"/>
      <c r="O1011" s="234"/>
      <c r="P1011" s="234"/>
      <c r="Q1011" s="234"/>
      <c r="R1011" s="234"/>
    </row>
    <row r="1012" spans="8:18" ht="15" customHeight="1" x14ac:dyDescent="0.3">
      <c r="H1012" s="234" t="s">
        <v>2232</v>
      </c>
      <c r="I1012" s="306" t="s">
        <v>2233</v>
      </c>
      <c r="J1012" s="234">
        <f t="shared" si="34"/>
        <v>1.006275582364677</v>
      </c>
      <c r="K1012" s="315">
        <f t="shared" si="35"/>
        <v>6.2559728954671339E-3</v>
      </c>
      <c r="L1012" s="234"/>
      <c r="M1012" s="234"/>
      <c r="N1012" s="234"/>
      <c r="O1012" s="234"/>
      <c r="P1012" s="234"/>
      <c r="Q1012" s="234"/>
      <c r="R1012" s="234"/>
    </row>
    <row r="1013" spans="8:18" ht="15" customHeight="1" x14ac:dyDescent="0.3">
      <c r="H1013" s="234" t="s">
        <v>2234</v>
      </c>
      <c r="I1013" s="306" t="s">
        <v>2235</v>
      </c>
      <c r="J1013" s="234">
        <f t="shared" si="34"/>
        <v>0.99418924078333504</v>
      </c>
      <c r="K1013" s="315">
        <f t="shared" si="35"/>
        <v>-5.8277073642960834E-3</v>
      </c>
      <c r="L1013" s="234"/>
      <c r="M1013" s="234"/>
      <c r="N1013" s="234"/>
      <c r="O1013" s="234"/>
      <c r="P1013" s="234"/>
      <c r="Q1013" s="234"/>
      <c r="R1013" s="234"/>
    </row>
    <row r="1014" spans="8:18" ht="15" customHeight="1" x14ac:dyDescent="0.3">
      <c r="H1014" s="234" t="s">
        <v>2236</v>
      </c>
      <c r="I1014" s="306" t="s">
        <v>2237</v>
      </c>
      <c r="J1014" s="234">
        <f t="shared" si="34"/>
        <v>0.99655710016889698</v>
      </c>
      <c r="K1014" s="315">
        <f t="shared" si="35"/>
        <v>-3.4488402494893119E-3</v>
      </c>
      <c r="L1014" s="234"/>
      <c r="M1014" s="234"/>
      <c r="N1014" s="234"/>
      <c r="O1014" s="234"/>
      <c r="P1014" s="234"/>
      <c r="Q1014" s="234"/>
      <c r="R1014" s="234"/>
    </row>
    <row r="1015" spans="8:18" ht="15" customHeight="1" x14ac:dyDescent="0.3">
      <c r="H1015" s="234" t="s">
        <v>2238</v>
      </c>
      <c r="I1015" s="306" t="s">
        <v>2239</v>
      </c>
      <c r="J1015" s="234">
        <f t="shared" si="34"/>
        <v>1.0137540453074434</v>
      </c>
      <c r="K1015" s="315">
        <f t="shared" si="35"/>
        <v>1.3660316878432251E-2</v>
      </c>
      <c r="L1015" s="234"/>
      <c r="M1015" s="234"/>
      <c r="N1015" s="234"/>
      <c r="O1015" s="234"/>
      <c r="P1015" s="234"/>
      <c r="Q1015" s="234"/>
      <c r="R1015" s="234"/>
    </row>
    <row r="1016" spans="8:18" ht="15" customHeight="1" x14ac:dyDescent="0.3">
      <c r="H1016" s="234" t="s">
        <v>2240</v>
      </c>
      <c r="I1016" s="306" t="s">
        <v>2241</v>
      </c>
      <c r="J1016" s="234">
        <f t="shared" si="34"/>
        <v>0.98335723206438785</v>
      </c>
      <c r="K1016" s="315">
        <f t="shared" si="35"/>
        <v>-1.6782814817420926E-2</v>
      </c>
      <c r="L1016" s="234"/>
      <c r="M1016" s="234"/>
      <c r="N1016" s="234"/>
      <c r="O1016" s="234"/>
      <c r="P1016" s="234"/>
      <c r="Q1016" s="234"/>
      <c r="R1016" s="234"/>
    </row>
    <row r="1017" spans="8:18" ht="15" customHeight="1" x14ac:dyDescent="0.3">
      <c r="H1017" s="234" t="s">
        <v>2242</v>
      </c>
      <c r="I1017" s="306" t="s">
        <v>2243</v>
      </c>
      <c r="J1017" s="234">
        <f t="shared" si="34"/>
        <v>1.0049926551256068</v>
      </c>
      <c r="K1017" s="315">
        <f t="shared" si="35"/>
        <v>4.9802331516034873E-3</v>
      </c>
      <c r="L1017" s="234"/>
      <c r="M1017" s="234"/>
      <c r="N1017" s="234"/>
      <c r="O1017" s="234"/>
      <c r="P1017" s="234"/>
      <c r="Q1017" s="234"/>
      <c r="R1017" s="234"/>
    </row>
    <row r="1018" spans="8:18" ht="15" customHeight="1" x14ac:dyDescent="0.3">
      <c r="H1018" s="234" t="s">
        <v>2244</v>
      </c>
      <c r="I1018" s="306" t="s">
        <v>2245</v>
      </c>
      <c r="J1018" s="234">
        <f t="shared" si="34"/>
        <v>1.0064565632368905</v>
      </c>
      <c r="K1018" s="315">
        <f t="shared" si="35"/>
        <v>6.4358089189507136E-3</v>
      </c>
      <c r="L1018" s="234"/>
      <c r="M1018" s="234"/>
      <c r="N1018" s="234"/>
      <c r="O1018" s="234"/>
      <c r="P1018" s="234"/>
      <c r="Q1018" s="234"/>
      <c r="R1018" s="234"/>
    </row>
    <row r="1019" spans="8:18" ht="15" customHeight="1" x14ac:dyDescent="0.3">
      <c r="H1019" s="234" t="s">
        <v>2246</v>
      </c>
      <c r="I1019" s="306" t="s">
        <v>2247</v>
      </c>
      <c r="J1019" s="234">
        <f t="shared" si="34"/>
        <v>1.0171124012563053</v>
      </c>
      <c r="K1019" s="315">
        <f t="shared" si="35"/>
        <v>1.6967633335189851E-2</v>
      </c>
      <c r="L1019" s="234"/>
      <c r="M1019" s="234"/>
      <c r="N1019" s="234"/>
      <c r="O1019" s="234"/>
      <c r="P1019" s="234"/>
      <c r="Q1019" s="234"/>
      <c r="R1019" s="234"/>
    </row>
    <row r="1020" spans="8:18" ht="15" customHeight="1" x14ac:dyDescent="0.3">
      <c r="H1020" s="234" t="s">
        <v>2248</v>
      </c>
      <c r="I1020" s="306" t="s">
        <v>2249</v>
      </c>
      <c r="J1020" s="234">
        <f t="shared" si="34"/>
        <v>1.0057721577148764</v>
      </c>
      <c r="K1020" s="315">
        <f t="shared" si="35"/>
        <v>5.7555626414978085E-3</v>
      </c>
      <c r="L1020" s="234"/>
      <c r="M1020" s="234"/>
      <c r="N1020" s="234"/>
      <c r="O1020" s="234"/>
      <c r="P1020" s="234"/>
      <c r="Q1020" s="234"/>
      <c r="R1020" s="234"/>
    </row>
    <row r="1021" spans="8:18" ht="15" customHeight="1" x14ac:dyDescent="0.3">
      <c r="H1021" s="234" t="s">
        <v>2250</v>
      </c>
      <c r="I1021" s="306" t="s">
        <v>2251</v>
      </c>
      <c r="J1021" s="234">
        <f t="shared" si="34"/>
        <v>1.0365332142679962</v>
      </c>
      <c r="K1021" s="315">
        <f t="shared" si="35"/>
        <v>3.5881697018962946E-2</v>
      </c>
      <c r="L1021" s="234"/>
      <c r="M1021" s="234"/>
      <c r="N1021" s="234"/>
      <c r="O1021" s="234"/>
      <c r="P1021" s="234"/>
      <c r="Q1021" s="234"/>
      <c r="R1021" s="234"/>
    </row>
    <row r="1022" spans="8:18" ht="15" customHeight="1" x14ac:dyDescent="0.3">
      <c r="H1022" s="234" t="s">
        <v>2252</v>
      </c>
      <c r="I1022" s="306" t="s">
        <v>2253</v>
      </c>
      <c r="J1022" s="234">
        <f t="shared" si="34"/>
        <v>0.98890262569174614</v>
      </c>
      <c r="K1022" s="315">
        <f t="shared" si="35"/>
        <v>-1.1159409545649574E-2</v>
      </c>
      <c r="L1022" s="234"/>
      <c r="M1022" s="234"/>
      <c r="N1022" s="234"/>
      <c r="O1022" s="234"/>
      <c r="P1022" s="234"/>
      <c r="Q1022" s="234"/>
      <c r="R1022" s="234"/>
    </row>
    <row r="1023" spans="8:18" ht="15" customHeight="1" x14ac:dyDescent="0.3">
      <c r="H1023" s="234" t="s">
        <v>2254</v>
      </c>
      <c r="I1023" s="306" t="s">
        <v>2255</v>
      </c>
      <c r="J1023" s="234">
        <f t="shared" si="34"/>
        <v>0.9912657809247768</v>
      </c>
      <c r="K1023" s="315">
        <f t="shared" si="35"/>
        <v>-8.7725859330438222E-3</v>
      </c>
      <c r="L1023" s="234"/>
      <c r="M1023" s="234"/>
      <c r="N1023" s="234"/>
      <c r="O1023" s="234"/>
      <c r="P1023" s="234"/>
      <c r="Q1023" s="234"/>
      <c r="R1023" s="234"/>
    </row>
    <row r="1024" spans="8:18" ht="15" customHeight="1" x14ac:dyDescent="0.3">
      <c r="H1024" s="234" t="s">
        <v>2256</v>
      </c>
      <c r="I1024" s="306" t="s">
        <v>2257</v>
      </c>
      <c r="J1024" s="234">
        <f t="shared" si="34"/>
        <v>1.0057421229225156</v>
      </c>
      <c r="K1024" s="315">
        <f t="shared" si="35"/>
        <v>5.7256997738541751E-3</v>
      </c>
      <c r="L1024" s="234"/>
      <c r="M1024" s="234"/>
      <c r="N1024" s="234"/>
      <c r="O1024" s="234"/>
      <c r="P1024" s="234"/>
      <c r="Q1024" s="234"/>
      <c r="R1024" s="234"/>
    </row>
    <row r="1025" spans="8:18" ht="15" customHeight="1" x14ac:dyDescent="0.3">
      <c r="H1025" s="234" t="s">
        <v>2258</v>
      </c>
      <c r="I1025" s="306" t="s">
        <v>2259</v>
      </c>
      <c r="J1025" s="234">
        <f t="shared" si="34"/>
        <v>0.96613741612323978</v>
      </c>
      <c r="K1025" s="315">
        <f t="shared" si="35"/>
        <v>-3.4449202171008039E-2</v>
      </c>
      <c r="L1025" s="234"/>
      <c r="M1025" s="234"/>
      <c r="N1025" s="234"/>
      <c r="O1025" s="234"/>
      <c r="P1025" s="234"/>
      <c r="Q1025" s="234"/>
      <c r="R1025" s="234"/>
    </row>
    <row r="1026" spans="8:18" ht="15" customHeight="1" x14ac:dyDescent="0.3">
      <c r="H1026" s="234" t="s">
        <v>2260</v>
      </c>
      <c r="I1026" s="306" t="s">
        <v>2261</v>
      </c>
      <c r="J1026" s="234">
        <f t="shared" si="34"/>
        <v>1.012400252597738</v>
      </c>
      <c r="K1026" s="315">
        <f t="shared" si="35"/>
        <v>1.2323999192690602E-2</v>
      </c>
      <c r="L1026" s="234"/>
      <c r="M1026" s="234"/>
      <c r="N1026" s="234"/>
      <c r="O1026" s="234"/>
      <c r="P1026" s="234"/>
      <c r="Q1026" s="234"/>
      <c r="R1026" s="234"/>
    </row>
    <row r="1027" spans="8:18" ht="15" customHeight="1" x14ac:dyDescent="0.3">
      <c r="H1027" s="234" t="s">
        <v>2262</v>
      </c>
      <c r="I1027" s="306" t="s">
        <v>2263</v>
      </c>
      <c r="J1027" s="234">
        <f t="shared" si="34"/>
        <v>1.0083162891212905</v>
      </c>
      <c r="K1027" s="315">
        <f t="shared" si="35"/>
        <v>8.2818993210455241E-3</v>
      </c>
      <c r="L1027" s="234"/>
      <c r="M1027" s="234"/>
      <c r="N1027" s="234"/>
      <c r="O1027" s="234"/>
      <c r="P1027" s="234"/>
      <c r="Q1027" s="234"/>
      <c r="R1027" s="234"/>
    </row>
    <row r="1028" spans="8:18" ht="15" customHeight="1" x14ac:dyDescent="0.3">
      <c r="H1028" s="234" t="s">
        <v>2264</v>
      </c>
      <c r="I1028" s="306" t="s">
        <v>2265</v>
      </c>
      <c r="J1028" s="234">
        <f t="shared" si="34"/>
        <v>1.0149622028122673</v>
      </c>
      <c r="K1028" s="315">
        <f t="shared" si="35"/>
        <v>1.4851373191772854E-2</v>
      </c>
      <c r="L1028" s="234"/>
      <c r="M1028" s="234"/>
      <c r="N1028" s="234"/>
      <c r="O1028" s="234"/>
      <c r="P1028" s="234"/>
      <c r="Q1028" s="234"/>
      <c r="R1028" s="234"/>
    </row>
    <row r="1029" spans="8:18" ht="15" customHeight="1" x14ac:dyDescent="0.3">
      <c r="H1029" s="234" t="s">
        <v>2266</v>
      </c>
      <c r="I1029" s="306" t="s">
        <v>2267</v>
      </c>
      <c r="J1029" s="234">
        <f t="shared" ref="J1029:J1092" si="36">I1029/I1030</f>
        <v>0.99114872471757443</v>
      </c>
      <c r="K1029" s="315">
        <f t="shared" ref="K1029:K1092" si="37">LN(J1029)</f>
        <v>-8.8906805161950726E-3</v>
      </c>
      <c r="L1029" s="234"/>
      <c r="M1029" s="234"/>
      <c r="N1029" s="234"/>
      <c r="O1029" s="234"/>
      <c r="P1029" s="234"/>
      <c r="Q1029" s="234"/>
      <c r="R1029" s="234"/>
    </row>
    <row r="1030" spans="8:18" ht="15" customHeight="1" x14ac:dyDescent="0.3">
      <c r="H1030" s="234" t="s">
        <v>2268</v>
      </c>
      <c r="I1030" s="306" t="s">
        <v>2269</v>
      </c>
      <c r="J1030" s="234">
        <f t="shared" si="36"/>
        <v>1.0059555191064768</v>
      </c>
      <c r="K1030" s="315">
        <f t="shared" si="37"/>
        <v>5.9378551000853997E-3</v>
      </c>
      <c r="L1030" s="234"/>
      <c r="M1030" s="234"/>
      <c r="N1030" s="234"/>
      <c r="O1030" s="234"/>
      <c r="P1030" s="234"/>
      <c r="Q1030" s="234"/>
      <c r="R1030" s="234"/>
    </row>
    <row r="1031" spans="8:18" ht="15" customHeight="1" x14ac:dyDescent="0.3">
      <c r="H1031" s="234" t="s">
        <v>2270</v>
      </c>
      <c r="I1031" s="306" t="s">
        <v>2271</v>
      </c>
      <c r="J1031" s="234">
        <f t="shared" si="36"/>
        <v>0.99492947896025175</v>
      </c>
      <c r="K1031" s="315">
        <f t="shared" si="37"/>
        <v>-5.0834197521577376E-3</v>
      </c>
      <c r="L1031" s="234"/>
      <c r="M1031" s="234"/>
      <c r="N1031" s="234"/>
      <c r="O1031" s="234"/>
      <c r="P1031" s="234"/>
      <c r="Q1031" s="234"/>
      <c r="R1031" s="234"/>
    </row>
    <row r="1032" spans="8:18" ht="15" customHeight="1" x14ac:dyDescent="0.3">
      <c r="H1032" s="234" t="s">
        <v>2272</v>
      </c>
      <c r="I1032" s="306" t="s">
        <v>2273</v>
      </c>
      <c r="J1032" s="234">
        <f t="shared" si="36"/>
        <v>0.98604472965854129</v>
      </c>
      <c r="K1032" s="315">
        <f t="shared" si="37"/>
        <v>-1.4053560643196626E-2</v>
      </c>
      <c r="L1032" s="234"/>
      <c r="M1032" s="234"/>
      <c r="N1032" s="234"/>
      <c r="O1032" s="234"/>
      <c r="P1032" s="234"/>
      <c r="Q1032" s="234"/>
      <c r="R1032" s="234"/>
    </row>
    <row r="1033" spans="8:18" ht="15" customHeight="1" x14ac:dyDescent="0.3">
      <c r="H1033" s="234" t="s">
        <v>2274</v>
      </c>
      <c r="I1033" s="306" t="s">
        <v>2275</v>
      </c>
      <c r="J1033" s="234">
        <f t="shared" si="36"/>
        <v>0.98184058080048153</v>
      </c>
      <c r="K1033" s="315">
        <f t="shared" si="37"/>
        <v>-1.8326325150158588E-2</v>
      </c>
      <c r="L1033" s="234"/>
      <c r="M1033" s="234"/>
      <c r="N1033" s="234"/>
      <c r="O1033" s="234"/>
      <c r="P1033" s="234"/>
      <c r="Q1033" s="234"/>
      <c r="R1033" s="234"/>
    </row>
    <row r="1034" spans="8:18" ht="15" customHeight="1" x14ac:dyDescent="0.3">
      <c r="H1034" s="234" t="s">
        <v>2276</v>
      </c>
      <c r="I1034" s="306" t="s">
        <v>2277</v>
      </c>
      <c r="J1034" s="234">
        <f t="shared" si="36"/>
        <v>0.98847326541235958</v>
      </c>
      <c r="K1034" s="315">
        <f t="shared" si="37"/>
        <v>-1.1593682349385109E-2</v>
      </c>
      <c r="L1034" s="234"/>
      <c r="M1034" s="234"/>
      <c r="N1034" s="234"/>
      <c r="O1034" s="234"/>
      <c r="P1034" s="234"/>
      <c r="Q1034" s="234"/>
      <c r="R1034" s="234"/>
    </row>
    <row r="1035" spans="8:18" ht="15" customHeight="1" x14ac:dyDescent="0.3">
      <c r="H1035" s="234" t="s">
        <v>2278</v>
      </c>
      <c r="I1035" s="306" t="s">
        <v>2279</v>
      </c>
      <c r="J1035" s="234">
        <f t="shared" si="36"/>
        <v>1.0149828282447069</v>
      </c>
      <c r="K1035" s="315">
        <f t="shared" si="37"/>
        <v>1.4871694365129451E-2</v>
      </c>
      <c r="L1035" s="234"/>
      <c r="M1035" s="234"/>
      <c r="N1035" s="234"/>
      <c r="O1035" s="234"/>
      <c r="P1035" s="234"/>
      <c r="Q1035" s="234"/>
      <c r="R1035" s="234"/>
    </row>
    <row r="1036" spans="8:18" ht="15" customHeight="1" x14ac:dyDescent="0.3">
      <c r="H1036" s="234" t="s">
        <v>2280</v>
      </c>
      <c r="I1036" s="306" t="s">
        <v>2281</v>
      </c>
      <c r="J1036" s="234">
        <f t="shared" si="36"/>
        <v>1.0042924148386791</v>
      </c>
      <c r="K1036" s="315">
        <f t="shared" si="37"/>
        <v>4.2832287038582946E-3</v>
      </c>
      <c r="L1036" s="234"/>
      <c r="M1036" s="234"/>
      <c r="N1036" s="234"/>
      <c r="O1036" s="234"/>
      <c r="P1036" s="234"/>
      <c r="Q1036" s="234"/>
      <c r="R1036" s="234"/>
    </row>
    <row r="1037" spans="8:18" ht="15" customHeight="1" x14ac:dyDescent="0.3">
      <c r="H1037" s="234" t="s">
        <v>2282</v>
      </c>
      <c r="I1037" s="306" t="s">
        <v>2283</v>
      </c>
      <c r="J1037" s="234">
        <f t="shared" si="36"/>
        <v>1.0071767366843858</v>
      </c>
      <c r="K1037" s="315">
        <f t="shared" si="37"/>
        <v>7.1511064641689957E-3</v>
      </c>
      <c r="L1037" s="234"/>
      <c r="M1037" s="234"/>
      <c r="N1037" s="234"/>
      <c r="O1037" s="234"/>
      <c r="P1037" s="234"/>
      <c r="Q1037" s="234"/>
      <c r="R1037" s="234"/>
    </row>
    <row r="1038" spans="8:18" ht="15" customHeight="1" x14ac:dyDescent="0.3">
      <c r="H1038" s="234" t="s">
        <v>2284</v>
      </c>
      <c r="I1038" s="306" t="s">
        <v>2285</v>
      </c>
      <c r="J1038" s="234">
        <f t="shared" si="36"/>
        <v>0.99960886819812256</v>
      </c>
      <c r="K1038" s="315">
        <f t="shared" si="37"/>
        <v>-3.912083138721623E-4</v>
      </c>
      <c r="L1038" s="234"/>
      <c r="M1038" s="234"/>
      <c r="N1038" s="234"/>
      <c r="O1038" s="234"/>
      <c r="P1038" s="234"/>
      <c r="Q1038" s="234"/>
      <c r="R1038" s="234"/>
    </row>
    <row r="1039" spans="8:18" ht="15" customHeight="1" x14ac:dyDescent="0.3">
      <c r="H1039" s="234" t="s">
        <v>2286</v>
      </c>
      <c r="I1039" s="306" t="s">
        <v>2287</v>
      </c>
      <c r="J1039" s="234">
        <f t="shared" si="36"/>
        <v>1.0136541213785635</v>
      </c>
      <c r="K1039" s="315">
        <f t="shared" si="37"/>
        <v>1.3561743803110999E-2</v>
      </c>
      <c r="L1039" s="234"/>
      <c r="M1039" s="234"/>
      <c r="N1039" s="234"/>
      <c r="O1039" s="234"/>
      <c r="P1039" s="234"/>
      <c r="Q1039" s="234"/>
      <c r="R1039" s="234"/>
    </row>
    <row r="1040" spans="8:18" ht="15" customHeight="1" x14ac:dyDescent="0.3">
      <c r="H1040" s="234" t="s">
        <v>2288</v>
      </c>
      <c r="I1040" s="306" t="s">
        <v>2289</v>
      </c>
      <c r="J1040" s="234">
        <f t="shared" si="36"/>
        <v>0.97912267911415773</v>
      </c>
      <c r="K1040" s="315">
        <f t="shared" si="37"/>
        <v>-2.1098333664802561E-2</v>
      </c>
      <c r="L1040" s="234"/>
      <c r="M1040" s="234"/>
      <c r="N1040" s="234"/>
      <c r="O1040" s="234"/>
      <c r="P1040" s="234"/>
      <c r="Q1040" s="234"/>
      <c r="R1040" s="234"/>
    </row>
    <row r="1041" spans="8:18" ht="15" customHeight="1" x14ac:dyDescent="0.3">
      <c r="H1041" s="234" t="s">
        <v>2290</v>
      </c>
      <c r="I1041" s="306" t="s">
        <v>2291</v>
      </c>
      <c r="J1041" s="234">
        <f t="shared" si="36"/>
        <v>1.0006632116497864</v>
      </c>
      <c r="K1041" s="315">
        <f t="shared" si="37"/>
        <v>6.6299182212970962E-4</v>
      </c>
      <c r="L1041" s="234"/>
      <c r="M1041" s="234"/>
      <c r="N1041" s="234"/>
      <c r="O1041" s="234"/>
      <c r="P1041" s="234"/>
      <c r="Q1041" s="234"/>
      <c r="R1041" s="234"/>
    </row>
    <row r="1042" spans="8:18" ht="15" customHeight="1" x14ac:dyDescent="0.3">
      <c r="H1042" s="234" t="s">
        <v>2292</v>
      </c>
      <c r="I1042" s="306" t="s">
        <v>2293</v>
      </c>
      <c r="J1042" s="234">
        <f t="shared" si="36"/>
        <v>1.019639855478486</v>
      </c>
      <c r="K1042" s="315">
        <f t="shared" si="37"/>
        <v>1.9449482083519268E-2</v>
      </c>
      <c r="L1042" s="234"/>
      <c r="M1042" s="234"/>
      <c r="N1042" s="234"/>
      <c r="O1042" s="234"/>
      <c r="P1042" s="234"/>
      <c r="Q1042" s="234"/>
      <c r="R1042" s="234"/>
    </row>
    <row r="1043" spans="8:18" ht="15" customHeight="1" x14ac:dyDescent="0.3">
      <c r="H1043" s="234" t="s">
        <v>2294</v>
      </c>
      <c r="I1043" s="306" t="s">
        <v>2209</v>
      </c>
      <c r="J1043" s="234">
        <f t="shared" si="36"/>
        <v>0.97925397561183269</v>
      </c>
      <c r="K1043" s="315">
        <f t="shared" si="37"/>
        <v>-2.0964246590638527E-2</v>
      </c>
      <c r="L1043" s="234"/>
      <c r="M1043" s="234"/>
      <c r="N1043" s="234"/>
      <c r="O1043" s="234"/>
      <c r="P1043" s="234"/>
      <c r="Q1043" s="234"/>
      <c r="R1043" s="234"/>
    </row>
    <row r="1044" spans="8:18" ht="15" customHeight="1" x14ac:dyDescent="0.3">
      <c r="H1044" s="234" t="s">
        <v>2295</v>
      </c>
      <c r="I1044" s="306" t="s">
        <v>2296</v>
      </c>
      <c r="J1044" s="234">
        <f t="shared" si="36"/>
        <v>0.99377638221662323</v>
      </c>
      <c r="K1044" s="315">
        <f t="shared" si="37"/>
        <v>-6.2430652234771499E-3</v>
      </c>
      <c r="L1044" s="234"/>
      <c r="M1044" s="234"/>
      <c r="N1044" s="234"/>
      <c r="O1044" s="234"/>
      <c r="P1044" s="234"/>
      <c r="Q1044" s="234"/>
      <c r="R1044" s="234"/>
    </row>
    <row r="1045" spans="8:18" ht="15" customHeight="1" x14ac:dyDescent="0.3">
      <c r="H1045" s="234" t="s">
        <v>2297</v>
      </c>
      <c r="I1045" s="306" t="s">
        <v>2191</v>
      </c>
      <c r="J1045" s="234">
        <f t="shared" si="36"/>
        <v>0.99939868273937593</v>
      </c>
      <c r="K1045" s="315">
        <f t="shared" si="37"/>
        <v>-6.014981243559871E-4</v>
      </c>
      <c r="L1045" s="234"/>
      <c r="M1045" s="234"/>
      <c r="N1045" s="234"/>
      <c r="O1045" s="234"/>
      <c r="P1045" s="234"/>
      <c r="Q1045" s="234"/>
      <c r="R1045" s="234"/>
    </row>
    <row r="1046" spans="8:18" ht="15" customHeight="1" x14ac:dyDescent="0.3">
      <c r="H1046" s="234" t="s">
        <v>2298</v>
      </c>
      <c r="I1046" s="306" t="s">
        <v>2299</v>
      </c>
      <c r="J1046" s="234">
        <f t="shared" si="36"/>
        <v>0.97902734723538121</v>
      </c>
      <c r="K1046" s="315">
        <f t="shared" si="37"/>
        <v>-2.1195702995618921E-2</v>
      </c>
      <c r="L1046" s="234"/>
      <c r="M1046" s="234"/>
      <c r="N1046" s="234"/>
      <c r="O1046" s="234"/>
      <c r="P1046" s="234"/>
      <c r="Q1046" s="234"/>
      <c r="R1046" s="234"/>
    </row>
    <row r="1047" spans="8:18" ht="15" customHeight="1" x14ac:dyDescent="0.3">
      <c r="H1047" s="234" t="s">
        <v>2300</v>
      </c>
      <c r="I1047" s="306" t="s">
        <v>2301</v>
      </c>
      <c r="J1047" s="234">
        <f t="shared" si="36"/>
        <v>1.0227191480554667</v>
      </c>
      <c r="K1047" s="315">
        <f t="shared" si="37"/>
        <v>2.2464911696960216E-2</v>
      </c>
      <c r="L1047" s="234"/>
      <c r="M1047" s="234"/>
      <c r="N1047" s="234"/>
      <c r="O1047" s="234"/>
      <c r="P1047" s="234"/>
      <c r="Q1047" s="234"/>
      <c r="R1047" s="234"/>
    </row>
    <row r="1048" spans="8:18" ht="15" customHeight="1" x14ac:dyDescent="0.3">
      <c r="H1048" s="234" t="s">
        <v>2302</v>
      </c>
      <c r="I1048" s="306" t="s">
        <v>2303</v>
      </c>
      <c r="J1048" s="234">
        <f t="shared" si="36"/>
        <v>0.98685407653601198</v>
      </c>
      <c r="K1048" s="315">
        <f t="shared" si="37"/>
        <v>-1.3233095933773812E-2</v>
      </c>
      <c r="L1048" s="234"/>
      <c r="M1048" s="234"/>
      <c r="N1048" s="234"/>
      <c r="O1048" s="234"/>
      <c r="P1048" s="234"/>
      <c r="Q1048" s="234"/>
      <c r="R1048" s="234"/>
    </row>
    <row r="1049" spans="8:18" ht="15" customHeight="1" x14ac:dyDescent="0.3">
      <c r="H1049" s="234" t="s">
        <v>2304</v>
      </c>
      <c r="I1049" s="306" t="s">
        <v>2305</v>
      </c>
      <c r="J1049" s="234">
        <f t="shared" si="36"/>
        <v>0.97243763936912619</v>
      </c>
      <c r="K1049" s="315">
        <f t="shared" si="37"/>
        <v>-2.7949329587599592E-2</v>
      </c>
      <c r="L1049" s="234"/>
      <c r="M1049" s="234"/>
      <c r="N1049" s="234"/>
      <c r="O1049" s="234"/>
      <c r="P1049" s="234"/>
      <c r="Q1049" s="234"/>
      <c r="R1049" s="234"/>
    </row>
    <row r="1050" spans="8:18" ht="15" customHeight="1" x14ac:dyDescent="0.3">
      <c r="H1050" s="234" t="s">
        <v>2306</v>
      </c>
      <c r="I1050" s="306" t="s">
        <v>2307</v>
      </c>
      <c r="J1050" s="234">
        <f t="shared" si="36"/>
        <v>1.0008131770828628</v>
      </c>
      <c r="K1050" s="315">
        <f t="shared" si="37"/>
        <v>8.1284663350915051E-4</v>
      </c>
      <c r="L1050" s="234"/>
      <c r="M1050" s="234"/>
      <c r="N1050" s="234"/>
      <c r="O1050" s="234"/>
      <c r="P1050" s="234"/>
      <c r="Q1050" s="234"/>
      <c r="R1050" s="234"/>
    </row>
    <row r="1051" spans="8:18" ht="15" customHeight="1" x14ac:dyDescent="0.3">
      <c r="H1051" s="234" t="s">
        <v>2308</v>
      </c>
      <c r="I1051" s="306" t="s">
        <v>2309</v>
      </c>
      <c r="J1051" s="234">
        <f t="shared" si="36"/>
        <v>0.96727028019087236</v>
      </c>
      <c r="K1051" s="315">
        <f t="shared" si="37"/>
        <v>-3.3277318765929889E-2</v>
      </c>
      <c r="L1051" s="234"/>
      <c r="M1051" s="234"/>
      <c r="N1051" s="234"/>
      <c r="O1051" s="234"/>
      <c r="P1051" s="234"/>
      <c r="Q1051" s="234"/>
      <c r="R1051" s="234"/>
    </row>
    <row r="1052" spans="8:18" ht="15" customHeight="1" x14ac:dyDescent="0.3">
      <c r="H1052" s="234" t="s">
        <v>2310</v>
      </c>
      <c r="I1052" s="306" t="s">
        <v>2311</v>
      </c>
      <c r="J1052" s="234">
        <f t="shared" si="36"/>
        <v>0.99803745409823197</v>
      </c>
      <c r="K1052" s="315">
        <f t="shared" si="37"/>
        <v>-1.9644742183291953E-3</v>
      </c>
      <c r="L1052" s="234"/>
      <c r="M1052" s="234"/>
      <c r="N1052" s="234"/>
      <c r="O1052" s="234"/>
      <c r="P1052" s="234"/>
      <c r="Q1052" s="234"/>
      <c r="R1052" s="234"/>
    </row>
    <row r="1053" spans="8:18" ht="15" customHeight="1" x14ac:dyDescent="0.3">
      <c r="H1053" s="234" t="s">
        <v>2312</v>
      </c>
      <c r="I1053" s="306" t="s">
        <v>2313</v>
      </c>
      <c r="J1053" s="234">
        <f t="shared" si="36"/>
        <v>1.0128811103552466</v>
      </c>
      <c r="K1053" s="315">
        <f t="shared" si="37"/>
        <v>1.2798854464990262E-2</v>
      </c>
      <c r="L1053" s="234"/>
      <c r="M1053" s="234"/>
      <c r="N1053" s="234"/>
      <c r="O1053" s="234"/>
      <c r="P1053" s="234"/>
      <c r="Q1053" s="234"/>
      <c r="R1053" s="234"/>
    </row>
    <row r="1054" spans="8:18" ht="15" customHeight="1" x14ac:dyDescent="0.3">
      <c r="H1054" s="234" t="s">
        <v>2314</v>
      </c>
      <c r="I1054" s="306" t="s">
        <v>2315</v>
      </c>
      <c r="J1054" s="234">
        <f t="shared" si="36"/>
        <v>0.99763787161655959</v>
      </c>
      <c r="K1054" s="315">
        <f t="shared" si="37"/>
        <v>-2.3649226097718036E-3</v>
      </c>
      <c r="L1054" s="234"/>
      <c r="M1054" s="234"/>
      <c r="N1054" s="234"/>
      <c r="O1054" s="234"/>
      <c r="P1054" s="234"/>
      <c r="Q1054" s="234"/>
      <c r="R1054" s="234"/>
    </row>
    <row r="1055" spans="8:18" ht="15" customHeight="1" x14ac:dyDescent="0.3">
      <c r="H1055" s="234" t="s">
        <v>2316</v>
      </c>
      <c r="I1055" s="306" t="s">
        <v>2317</v>
      </c>
      <c r="J1055" s="234">
        <f t="shared" si="36"/>
        <v>1.0113834908183277</v>
      </c>
      <c r="K1055" s="315">
        <f t="shared" si="37"/>
        <v>1.1319186432171264E-2</v>
      </c>
      <c r="L1055" s="234"/>
      <c r="M1055" s="234"/>
      <c r="N1055" s="234"/>
      <c r="O1055" s="234"/>
      <c r="P1055" s="234"/>
      <c r="Q1055" s="234"/>
      <c r="R1055" s="234"/>
    </row>
    <row r="1056" spans="8:18" ht="15" customHeight="1" x14ac:dyDescent="0.3">
      <c r="H1056" s="234" t="s">
        <v>2318</v>
      </c>
      <c r="I1056" s="306" t="s">
        <v>2319</v>
      </c>
      <c r="J1056" s="234">
        <f t="shared" si="36"/>
        <v>0.99420387471861316</v>
      </c>
      <c r="K1056" s="315">
        <f t="shared" si="37"/>
        <v>-5.8129880060723057E-3</v>
      </c>
      <c r="L1056" s="234"/>
      <c r="M1056" s="234"/>
      <c r="N1056" s="234"/>
      <c r="O1056" s="234"/>
      <c r="P1056" s="234"/>
      <c r="Q1056" s="234"/>
      <c r="R1056" s="234"/>
    </row>
    <row r="1057" spans="8:18" ht="15" customHeight="1" x14ac:dyDescent="0.3">
      <c r="H1057" s="234" t="s">
        <v>2320</v>
      </c>
      <c r="I1057" s="306" t="s">
        <v>2321</v>
      </c>
      <c r="J1057" s="234">
        <f t="shared" si="36"/>
        <v>1.0203280704609987</v>
      </c>
      <c r="K1057" s="315">
        <f t="shared" si="37"/>
        <v>2.0124213288722513E-2</v>
      </c>
      <c r="L1057" s="234"/>
      <c r="M1057" s="234"/>
      <c r="N1057" s="234"/>
      <c r="O1057" s="234"/>
      <c r="P1057" s="234"/>
      <c r="Q1057" s="234"/>
      <c r="R1057" s="234"/>
    </row>
    <row r="1058" spans="8:18" ht="15" customHeight="1" x14ac:dyDescent="0.3">
      <c r="H1058" s="234" t="s">
        <v>2322</v>
      </c>
      <c r="I1058" s="306" t="s">
        <v>2323</v>
      </c>
      <c r="J1058" s="234">
        <f t="shared" si="36"/>
        <v>1.0002080261932111</v>
      </c>
      <c r="K1058" s="315">
        <f t="shared" si="37"/>
        <v>2.0800455876291321E-4</v>
      </c>
      <c r="L1058" s="234"/>
      <c r="M1058" s="234"/>
      <c r="N1058" s="234"/>
      <c r="O1058" s="234"/>
      <c r="P1058" s="234"/>
      <c r="Q1058" s="234"/>
      <c r="R1058" s="234"/>
    </row>
    <row r="1059" spans="8:18" ht="15" customHeight="1" x14ac:dyDescent="0.3">
      <c r="H1059" s="234" t="s">
        <v>2324</v>
      </c>
      <c r="I1059" s="306" t="s">
        <v>2325</v>
      </c>
      <c r="J1059" s="234">
        <f t="shared" si="36"/>
        <v>1.0009868361489851</v>
      </c>
      <c r="K1059" s="315">
        <f t="shared" si="37"/>
        <v>9.8634954629772328E-4</v>
      </c>
      <c r="L1059" s="234"/>
      <c r="M1059" s="234"/>
      <c r="N1059" s="234"/>
      <c r="O1059" s="234"/>
      <c r="P1059" s="234"/>
      <c r="Q1059" s="234"/>
      <c r="R1059" s="234"/>
    </row>
    <row r="1060" spans="8:18" ht="15" customHeight="1" x14ac:dyDescent="0.3">
      <c r="H1060" s="234" t="s">
        <v>2326</v>
      </c>
      <c r="I1060" s="306" t="s">
        <v>2327</v>
      </c>
      <c r="J1060" s="234">
        <f t="shared" si="36"/>
        <v>1.0005163183782169</v>
      </c>
      <c r="K1060" s="315">
        <f t="shared" si="37"/>
        <v>5.1618513174611495E-4</v>
      </c>
      <c r="L1060" s="234"/>
      <c r="M1060" s="234"/>
      <c r="N1060" s="234"/>
      <c r="O1060" s="234"/>
      <c r="P1060" s="234"/>
      <c r="Q1060" s="234"/>
      <c r="R1060" s="234"/>
    </row>
    <row r="1061" spans="8:18" ht="15" customHeight="1" x14ac:dyDescent="0.3">
      <c r="H1061" s="234" t="s">
        <v>2328</v>
      </c>
      <c r="I1061" s="306" t="s">
        <v>2329</v>
      </c>
      <c r="J1061" s="234">
        <f t="shared" si="36"/>
        <v>0.97782993799822848</v>
      </c>
      <c r="K1061" s="315">
        <f t="shared" si="37"/>
        <v>-2.2419511594882379E-2</v>
      </c>
      <c r="L1061" s="234"/>
      <c r="M1061" s="234"/>
      <c r="N1061" s="234"/>
      <c r="O1061" s="234"/>
      <c r="P1061" s="234"/>
      <c r="Q1061" s="234"/>
      <c r="R1061" s="234"/>
    </row>
    <row r="1062" spans="8:18" ht="15" customHeight="1" x14ac:dyDescent="0.3">
      <c r="H1062" s="234" t="s">
        <v>2330</v>
      </c>
      <c r="I1062" s="306" t="s">
        <v>2331</v>
      </c>
      <c r="J1062" s="234">
        <f t="shared" si="36"/>
        <v>1.0173004144890971</v>
      </c>
      <c r="K1062" s="315">
        <f t="shared" si="37"/>
        <v>1.7152466257861154E-2</v>
      </c>
      <c r="L1062" s="234"/>
      <c r="M1062" s="234"/>
      <c r="N1062" s="234"/>
      <c r="O1062" s="234"/>
      <c r="P1062" s="234"/>
      <c r="Q1062" s="234"/>
      <c r="R1062" s="234"/>
    </row>
    <row r="1063" spans="8:18" ht="15" customHeight="1" x14ac:dyDescent="0.3">
      <c r="H1063" s="234" t="s">
        <v>2332</v>
      </c>
      <c r="I1063" s="306" t="s">
        <v>2333</v>
      </c>
      <c r="J1063" s="234">
        <f t="shared" si="36"/>
        <v>0.99876706534553672</v>
      </c>
      <c r="K1063" s="315">
        <f t="shared" si="37"/>
        <v>-1.2336953437120761E-3</v>
      </c>
      <c r="L1063" s="234"/>
      <c r="M1063" s="234"/>
      <c r="N1063" s="234"/>
      <c r="O1063" s="234"/>
      <c r="P1063" s="234"/>
      <c r="Q1063" s="234"/>
      <c r="R1063" s="234"/>
    </row>
    <row r="1064" spans="8:18" ht="15" customHeight="1" x14ac:dyDescent="0.3">
      <c r="H1064" s="234" t="s">
        <v>2334</v>
      </c>
      <c r="I1064" s="306" t="s">
        <v>2335</v>
      </c>
      <c r="J1064" s="234">
        <f t="shared" si="36"/>
        <v>1.0090079455164587</v>
      </c>
      <c r="K1064" s="315">
        <f t="shared" si="37"/>
        <v>8.9676159851238123E-3</v>
      </c>
      <c r="L1064" s="234"/>
      <c r="M1064" s="234"/>
      <c r="N1064" s="234"/>
      <c r="O1064" s="234"/>
      <c r="P1064" s="234"/>
      <c r="Q1064" s="234"/>
      <c r="R1064" s="234"/>
    </row>
    <row r="1065" spans="8:18" ht="15" customHeight="1" x14ac:dyDescent="0.3">
      <c r="H1065" s="234" t="s">
        <v>2336</v>
      </c>
      <c r="I1065" s="306" t="s">
        <v>2337</v>
      </c>
      <c r="J1065" s="234">
        <f t="shared" si="36"/>
        <v>0.96954676715030286</v>
      </c>
      <c r="K1065" s="315">
        <f t="shared" si="37"/>
        <v>-3.0926567040686501E-2</v>
      </c>
      <c r="L1065" s="234"/>
      <c r="M1065" s="234"/>
      <c r="N1065" s="234"/>
      <c r="O1065" s="234"/>
      <c r="P1065" s="234"/>
      <c r="Q1065" s="234"/>
      <c r="R1065" s="234"/>
    </row>
    <row r="1066" spans="8:18" ht="15" customHeight="1" x14ac:dyDescent="0.3">
      <c r="H1066" s="234" t="s">
        <v>2338</v>
      </c>
      <c r="I1066" s="306" t="s">
        <v>2339</v>
      </c>
      <c r="J1066" s="234">
        <f t="shared" si="36"/>
        <v>1.002657062401243</v>
      </c>
      <c r="K1066" s="315">
        <f t="shared" si="37"/>
        <v>2.653538651442858E-3</v>
      </c>
      <c r="L1066" s="234"/>
      <c r="M1066" s="234"/>
      <c r="N1066" s="234"/>
      <c r="O1066" s="234"/>
      <c r="P1066" s="234"/>
      <c r="Q1066" s="234"/>
      <c r="R1066" s="234"/>
    </row>
    <row r="1067" spans="8:18" ht="15" customHeight="1" x14ac:dyDescent="0.3">
      <c r="H1067" s="234" t="s">
        <v>2340</v>
      </c>
      <c r="I1067" s="306" t="s">
        <v>1334</v>
      </c>
      <c r="J1067" s="234">
        <f t="shared" si="36"/>
        <v>0.99317038102084831</v>
      </c>
      <c r="K1067" s="315">
        <f t="shared" si="37"/>
        <v>-6.8530475599716785E-3</v>
      </c>
      <c r="L1067" s="234"/>
      <c r="M1067" s="234"/>
      <c r="N1067" s="234"/>
      <c r="O1067" s="234"/>
      <c r="P1067" s="234"/>
      <c r="Q1067" s="234"/>
      <c r="R1067" s="234"/>
    </row>
    <row r="1068" spans="8:18" ht="15" customHeight="1" x14ac:dyDescent="0.3">
      <c r="H1068" s="234" t="s">
        <v>2341</v>
      </c>
      <c r="I1068" s="306" t="s">
        <v>2342</v>
      </c>
      <c r="J1068" s="234">
        <f t="shared" si="36"/>
        <v>1.0158529417003617</v>
      </c>
      <c r="K1068" s="315">
        <f t="shared" si="37"/>
        <v>1.5728596259191163E-2</v>
      </c>
      <c r="L1068" s="234"/>
      <c r="M1068" s="234"/>
      <c r="N1068" s="234"/>
      <c r="O1068" s="234"/>
      <c r="P1068" s="234"/>
      <c r="Q1068" s="234"/>
      <c r="R1068" s="234"/>
    </row>
    <row r="1069" spans="8:18" ht="15" customHeight="1" x14ac:dyDescent="0.3">
      <c r="H1069" s="234" t="s">
        <v>2343</v>
      </c>
      <c r="I1069" s="306" t="s">
        <v>2344</v>
      </c>
      <c r="J1069" s="234">
        <f t="shared" si="36"/>
        <v>1.0184123644015528</v>
      </c>
      <c r="K1069" s="315">
        <f t="shared" si="37"/>
        <v>1.8244909194381854E-2</v>
      </c>
      <c r="L1069" s="234"/>
      <c r="M1069" s="234"/>
      <c r="N1069" s="234"/>
      <c r="O1069" s="234"/>
      <c r="P1069" s="234"/>
      <c r="Q1069" s="234"/>
      <c r="R1069" s="234"/>
    </row>
    <row r="1070" spans="8:18" ht="15" customHeight="1" x14ac:dyDescent="0.3">
      <c r="H1070" s="234" t="s">
        <v>2345</v>
      </c>
      <c r="I1070" s="306" t="s">
        <v>2346</v>
      </c>
      <c r="J1070" s="234">
        <f t="shared" si="36"/>
        <v>1.0127963696157414</v>
      </c>
      <c r="K1070" s="315">
        <f t="shared" si="37"/>
        <v>1.2715187898725321E-2</v>
      </c>
      <c r="L1070" s="234"/>
      <c r="M1070" s="234"/>
      <c r="N1070" s="234"/>
      <c r="O1070" s="234"/>
      <c r="P1070" s="234"/>
      <c r="Q1070" s="234"/>
      <c r="R1070" s="234"/>
    </row>
    <row r="1071" spans="8:18" ht="15" customHeight="1" x14ac:dyDescent="0.3">
      <c r="H1071" s="234" t="s">
        <v>2347</v>
      </c>
      <c r="I1071" s="306" t="s">
        <v>2348</v>
      </c>
      <c r="J1071" s="234">
        <f t="shared" si="36"/>
        <v>0.97688338493292048</v>
      </c>
      <c r="K1071" s="315">
        <f t="shared" si="37"/>
        <v>-2.3387994418618677E-2</v>
      </c>
      <c r="L1071" s="234"/>
      <c r="M1071" s="234"/>
      <c r="N1071" s="234"/>
      <c r="O1071" s="234"/>
      <c r="P1071" s="234"/>
      <c r="Q1071" s="234"/>
      <c r="R1071" s="234"/>
    </row>
    <row r="1072" spans="8:18" ht="15" customHeight="1" x14ac:dyDescent="0.3">
      <c r="H1072" s="234" t="s">
        <v>2349</v>
      </c>
      <c r="I1072" s="306" t="s">
        <v>2350</v>
      </c>
      <c r="J1072" s="234">
        <f t="shared" si="36"/>
        <v>0.97926955727015486</v>
      </c>
      <c r="K1072" s="315">
        <f t="shared" si="37"/>
        <v>-2.094833495305962E-2</v>
      </c>
      <c r="L1072" s="234"/>
      <c r="M1072" s="234"/>
      <c r="N1072" s="234"/>
      <c r="O1072" s="234"/>
      <c r="P1072" s="234"/>
      <c r="Q1072" s="234"/>
      <c r="R1072" s="234"/>
    </row>
    <row r="1073" spans="8:18" ht="15" customHeight="1" x14ac:dyDescent="0.3">
      <c r="H1073" s="234" t="s">
        <v>2351</v>
      </c>
      <c r="I1073" s="306" t="s">
        <v>2352</v>
      </c>
      <c r="J1073" s="234">
        <f t="shared" si="36"/>
        <v>0.98897985433939961</v>
      </c>
      <c r="K1073" s="315">
        <f t="shared" si="37"/>
        <v>-1.1081317294494689E-2</v>
      </c>
      <c r="L1073" s="234"/>
      <c r="M1073" s="234"/>
      <c r="N1073" s="234"/>
      <c r="O1073" s="234"/>
      <c r="P1073" s="234"/>
      <c r="Q1073" s="234"/>
      <c r="R1073" s="234"/>
    </row>
    <row r="1074" spans="8:18" ht="15" customHeight="1" x14ac:dyDescent="0.3">
      <c r="H1074" s="234" t="s">
        <v>2353</v>
      </c>
      <c r="I1074" s="306" t="s">
        <v>1298</v>
      </c>
      <c r="J1074" s="234">
        <f t="shared" si="36"/>
        <v>0.99028324052637473</v>
      </c>
      <c r="K1074" s="315">
        <f t="shared" si="37"/>
        <v>-9.7642752309503728E-3</v>
      </c>
      <c r="L1074" s="234"/>
      <c r="M1074" s="234"/>
      <c r="N1074" s="234"/>
      <c r="O1074" s="234"/>
      <c r="P1074" s="234"/>
      <c r="Q1074" s="234"/>
      <c r="R1074" s="234"/>
    </row>
    <row r="1075" spans="8:18" ht="15" customHeight="1" x14ac:dyDescent="0.3">
      <c r="H1075" s="234" t="s">
        <v>2354</v>
      </c>
      <c r="I1075" s="306" t="s">
        <v>2355</v>
      </c>
      <c r="J1075" s="234">
        <f t="shared" si="36"/>
        <v>0.99816159099695034</v>
      </c>
      <c r="K1075" s="315">
        <f t="shared" si="37"/>
        <v>-1.840100950860294E-3</v>
      </c>
      <c r="L1075" s="234"/>
      <c r="M1075" s="234"/>
      <c r="N1075" s="234"/>
      <c r="O1075" s="234"/>
      <c r="P1075" s="234"/>
      <c r="Q1075" s="234"/>
      <c r="R1075" s="234"/>
    </row>
    <row r="1076" spans="8:18" ht="15" customHeight="1" x14ac:dyDescent="0.3">
      <c r="H1076" s="234" t="s">
        <v>2356</v>
      </c>
      <c r="I1076" s="306" t="s">
        <v>2357</v>
      </c>
      <c r="J1076" s="234">
        <f t="shared" si="36"/>
        <v>1.018416447944007</v>
      </c>
      <c r="K1076" s="315">
        <f t="shared" si="37"/>
        <v>1.8248918900479329E-2</v>
      </c>
      <c r="L1076" s="234"/>
      <c r="M1076" s="234"/>
      <c r="N1076" s="234"/>
      <c r="O1076" s="234"/>
      <c r="P1076" s="234"/>
      <c r="Q1076" s="234"/>
      <c r="R1076" s="234"/>
    </row>
    <row r="1077" spans="8:18" ht="15" customHeight="1" x14ac:dyDescent="0.3">
      <c r="H1077" s="234" t="s">
        <v>2358</v>
      </c>
      <c r="I1077" s="306" t="s">
        <v>2359</v>
      </c>
      <c r="J1077" s="234">
        <f t="shared" si="36"/>
        <v>0.99072549189564008</v>
      </c>
      <c r="K1077" s="315">
        <f t="shared" si="37"/>
        <v>-9.3177841384333802E-3</v>
      </c>
      <c r="L1077" s="234"/>
      <c r="M1077" s="234"/>
      <c r="N1077" s="234"/>
      <c r="O1077" s="234"/>
      <c r="P1077" s="234"/>
      <c r="Q1077" s="234"/>
      <c r="R1077" s="234"/>
    </row>
    <row r="1078" spans="8:18" ht="15" customHeight="1" x14ac:dyDescent="0.3">
      <c r="H1078" s="234" t="s">
        <v>2360</v>
      </c>
      <c r="I1078" s="306" t="s">
        <v>2361</v>
      </c>
      <c r="J1078" s="234">
        <f t="shared" si="36"/>
        <v>1.0172555174450901</v>
      </c>
      <c r="K1078" s="315">
        <f t="shared" si="37"/>
        <v>1.7108331768059624E-2</v>
      </c>
      <c r="L1078" s="234"/>
      <c r="M1078" s="234"/>
      <c r="N1078" s="234"/>
      <c r="O1078" s="234"/>
      <c r="P1078" s="234"/>
      <c r="Q1078" s="234"/>
      <c r="R1078" s="234"/>
    </row>
    <row r="1079" spans="8:18" ht="15" customHeight="1" x14ac:dyDescent="0.3">
      <c r="H1079" s="234" t="s">
        <v>2362</v>
      </c>
      <c r="I1079" s="306" t="s">
        <v>2363</v>
      </c>
      <c r="J1079" s="234">
        <f t="shared" si="36"/>
        <v>0.96221980893557091</v>
      </c>
      <c r="K1079" s="315">
        <f t="shared" si="37"/>
        <v>-3.8512362799646795E-2</v>
      </c>
      <c r="L1079" s="234"/>
      <c r="M1079" s="234"/>
      <c r="N1079" s="234"/>
      <c r="O1079" s="234"/>
      <c r="P1079" s="234"/>
      <c r="Q1079" s="234"/>
      <c r="R1079" s="234"/>
    </row>
    <row r="1080" spans="8:18" ht="15" customHeight="1" x14ac:dyDescent="0.3">
      <c r="H1080" s="234" t="s">
        <v>2364</v>
      </c>
      <c r="I1080" s="306" t="s">
        <v>2365</v>
      </c>
      <c r="J1080" s="234">
        <f t="shared" si="36"/>
        <v>1.008039272702393</v>
      </c>
      <c r="K1080" s="315">
        <f t="shared" si="37"/>
        <v>8.0071299044950587E-3</v>
      </c>
      <c r="L1080" s="234"/>
      <c r="M1080" s="234"/>
      <c r="N1080" s="234"/>
      <c r="O1080" s="234"/>
      <c r="P1080" s="234"/>
      <c r="Q1080" s="234"/>
      <c r="R1080" s="234"/>
    </row>
    <row r="1081" spans="8:18" ht="15" customHeight="1" x14ac:dyDescent="0.3">
      <c r="H1081" s="234" t="s">
        <v>2366</v>
      </c>
      <c r="I1081" s="306" t="s">
        <v>2367</v>
      </c>
      <c r="J1081" s="234">
        <f t="shared" si="36"/>
        <v>1.0021169190685557</v>
      </c>
      <c r="K1081" s="315">
        <f t="shared" si="37"/>
        <v>2.1146815525880176E-3</v>
      </c>
      <c r="L1081" s="234"/>
      <c r="M1081" s="234"/>
      <c r="N1081" s="234"/>
      <c r="O1081" s="234"/>
      <c r="P1081" s="234"/>
      <c r="Q1081" s="234"/>
      <c r="R1081" s="234"/>
    </row>
    <row r="1082" spans="8:18" ht="15" customHeight="1" x14ac:dyDescent="0.3">
      <c r="H1082" s="234" t="s">
        <v>2368</v>
      </c>
      <c r="I1082" s="306" t="s">
        <v>2369</v>
      </c>
      <c r="J1082" s="234">
        <f t="shared" si="36"/>
        <v>0.97726016382732805</v>
      </c>
      <c r="K1082" s="315">
        <f t="shared" si="37"/>
        <v>-2.3002373925880948E-2</v>
      </c>
      <c r="L1082" s="234"/>
      <c r="M1082" s="234"/>
      <c r="N1082" s="234"/>
      <c r="O1082" s="234"/>
      <c r="P1082" s="234"/>
      <c r="Q1082" s="234"/>
      <c r="R1082" s="234"/>
    </row>
    <row r="1083" spans="8:18" ht="15" customHeight="1" x14ac:dyDescent="0.3">
      <c r="H1083" s="234" t="s">
        <v>2370</v>
      </c>
      <c r="I1083" s="306" t="s">
        <v>2371</v>
      </c>
      <c r="J1083" s="234">
        <f t="shared" si="36"/>
        <v>1.0050592206611502</v>
      </c>
      <c r="K1083" s="315">
        <f t="shared" si="37"/>
        <v>5.046465805963898E-3</v>
      </c>
      <c r="L1083" s="234"/>
      <c r="M1083" s="234"/>
      <c r="N1083" s="234"/>
      <c r="O1083" s="234"/>
      <c r="P1083" s="234"/>
      <c r="Q1083" s="234"/>
      <c r="R1083" s="234"/>
    </row>
    <row r="1084" spans="8:18" ht="15" customHeight="1" x14ac:dyDescent="0.3">
      <c r="H1084" s="234" t="s">
        <v>2372</v>
      </c>
      <c r="I1084" s="306" t="s">
        <v>2373</v>
      </c>
      <c r="J1084" s="234">
        <f t="shared" si="36"/>
        <v>0.99210776862817152</v>
      </c>
      <c r="K1084" s="315">
        <f t="shared" si="37"/>
        <v>-7.9235398679034889E-3</v>
      </c>
      <c r="L1084" s="234"/>
      <c r="M1084" s="234"/>
      <c r="N1084" s="234"/>
      <c r="O1084" s="234"/>
      <c r="P1084" s="234"/>
      <c r="Q1084" s="234"/>
      <c r="R1084" s="234"/>
    </row>
    <row r="1085" spans="8:18" ht="15" customHeight="1" x14ac:dyDescent="0.3">
      <c r="H1085" s="234" t="s">
        <v>2374</v>
      </c>
      <c r="I1085" s="306" t="s">
        <v>2375</v>
      </c>
      <c r="J1085" s="234">
        <f t="shared" si="36"/>
        <v>0.99221889838163035</v>
      </c>
      <c r="K1085" s="315">
        <f t="shared" si="37"/>
        <v>-7.8115323487559655E-3</v>
      </c>
      <c r="L1085" s="234"/>
      <c r="M1085" s="234"/>
      <c r="N1085" s="234"/>
      <c r="O1085" s="234"/>
      <c r="P1085" s="234"/>
      <c r="Q1085" s="234"/>
      <c r="R1085" s="234"/>
    </row>
    <row r="1086" spans="8:18" ht="15" customHeight="1" x14ac:dyDescent="0.3">
      <c r="H1086" s="234" t="s">
        <v>2376</v>
      </c>
      <c r="I1086" s="306" t="s">
        <v>2377</v>
      </c>
      <c r="J1086" s="234">
        <f t="shared" si="36"/>
        <v>1.0164413560749632</v>
      </c>
      <c r="K1086" s="315">
        <f t="shared" si="37"/>
        <v>1.6307660415093874E-2</v>
      </c>
      <c r="L1086" s="234"/>
      <c r="M1086" s="234"/>
      <c r="N1086" s="234"/>
      <c r="O1086" s="234"/>
      <c r="P1086" s="234"/>
      <c r="Q1086" s="234"/>
      <c r="R1086" s="234"/>
    </row>
    <row r="1087" spans="8:18" ht="15" customHeight="1" x14ac:dyDescent="0.3">
      <c r="H1087" s="234" t="s">
        <v>2378</v>
      </c>
      <c r="I1087" s="306" t="s">
        <v>2379</v>
      </c>
      <c r="J1087" s="234">
        <f t="shared" si="36"/>
        <v>0.98268455598136029</v>
      </c>
      <c r="K1087" s="315">
        <f t="shared" si="37"/>
        <v>-1.7467109641027007E-2</v>
      </c>
      <c r="L1087" s="234"/>
      <c r="M1087" s="234"/>
      <c r="N1087" s="234"/>
      <c r="O1087" s="234"/>
      <c r="P1087" s="234"/>
      <c r="Q1087" s="234"/>
      <c r="R1087" s="234"/>
    </row>
    <row r="1088" spans="8:18" ht="15" customHeight="1" x14ac:dyDescent="0.3">
      <c r="H1088" s="234" t="s">
        <v>2380</v>
      </c>
      <c r="I1088" s="306" t="s">
        <v>2381</v>
      </c>
      <c r="J1088" s="234">
        <f t="shared" si="36"/>
        <v>1.0050494967140837</v>
      </c>
      <c r="K1088" s="315">
        <f t="shared" si="37"/>
        <v>5.036790760049749E-3</v>
      </c>
      <c r="L1088" s="234"/>
      <c r="M1088" s="234"/>
      <c r="N1088" s="234"/>
      <c r="O1088" s="234"/>
      <c r="P1088" s="234"/>
      <c r="Q1088" s="234"/>
      <c r="R1088" s="234"/>
    </row>
    <row r="1089" spans="8:18" ht="15" customHeight="1" x14ac:dyDescent="0.3">
      <c r="H1089" s="234" t="s">
        <v>2382</v>
      </c>
      <c r="I1089" s="306" t="s">
        <v>2383</v>
      </c>
      <c r="J1089" s="234">
        <f t="shared" si="36"/>
        <v>1.0232902599724194</v>
      </c>
      <c r="K1089" s="315">
        <f t="shared" si="37"/>
        <v>2.3023180812971875E-2</v>
      </c>
      <c r="L1089" s="234"/>
      <c r="M1089" s="234"/>
      <c r="N1089" s="234"/>
      <c r="O1089" s="234"/>
      <c r="P1089" s="234"/>
      <c r="Q1089" s="234"/>
      <c r="R1089" s="234"/>
    </row>
    <row r="1090" spans="8:18" ht="15" customHeight="1" x14ac:dyDescent="0.3">
      <c r="H1090" s="234" t="s">
        <v>2384</v>
      </c>
      <c r="I1090" s="306" t="s">
        <v>2385</v>
      </c>
      <c r="J1090" s="234">
        <f t="shared" si="36"/>
        <v>0.99509542324210309</v>
      </c>
      <c r="K1090" s="315">
        <f t="shared" si="37"/>
        <v>-4.9166436660370728E-3</v>
      </c>
      <c r="L1090" s="234"/>
      <c r="M1090" s="234"/>
      <c r="N1090" s="234"/>
      <c r="O1090" s="234"/>
      <c r="P1090" s="234"/>
      <c r="Q1090" s="234"/>
      <c r="R1090" s="234"/>
    </row>
    <row r="1091" spans="8:18" ht="15" customHeight="1" x14ac:dyDescent="0.3">
      <c r="H1091" s="234" t="s">
        <v>2386</v>
      </c>
      <c r="I1091" s="306" t="s">
        <v>2387</v>
      </c>
      <c r="J1091" s="234">
        <f t="shared" si="36"/>
        <v>1.0075962547903348</v>
      </c>
      <c r="K1091" s="315">
        <f t="shared" si="37"/>
        <v>7.5675485286467283E-3</v>
      </c>
      <c r="L1091" s="234"/>
      <c r="M1091" s="234"/>
      <c r="N1091" s="234"/>
      <c r="O1091" s="234"/>
      <c r="P1091" s="234"/>
      <c r="Q1091" s="234"/>
      <c r="R1091" s="234"/>
    </row>
    <row r="1092" spans="8:18" ht="15" customHeight="1" x14ac:dyDescent="0.3">
      <c r="H1092" s="234" t="s">
        <v>2388</v>
      </c>
      <c r="I1092" s="306" t="s">
        <v>2389</v>
      </c>
      <c r="J1092" s="234">
        <f t="shared" si="36"/>
        <v>1.0044752702737458</v>
      </c>
      <c r="K1092" s="315">
        <f t="shared" si="37"/>
        <v>4.4652860287813737E-3</v>
      </c>
      <c r="L1092" s="234"/>
      <c r="M1092" s="234"/>
      <c r="N1092" s="234"/>
      <c r="O1092" s="234"/>
      <c r="P1092" s="234"/>
      <c r="Q1092" s="234"/>
      <c r="R1092" s="234"/>
    </row>
    <row r="1093" spans="8:18" ht="15" customHeight="1" x14ac:dyDescent="0.3">
      <c r="H1093" s="234" t="s">
        <v>2390</v>
      </c>
      <c r="I1093" s="306" t="s">
        <v>2391</v>
      </c>
      <c r="J1093" s="234">
        <f t="shared" ref="J1093:J1156" si="38">I1093/I1094</f>
        <v>0.98928789523680283</v>
      </c>
      <c r="K1093" s="315">
        <f t="shared" ref="K1093:K1156" si="39">LN(J1093)</f>
        <v>-1.0769892412843729E-2</v>
      </c>
      <c r="L1093" s="234"/>
      <c r="M1093" s="234"/>
      <c r="N1093" s="234"/>
      <c r="O1093" s="234"/>
      <c r="P1093" s="234"/>
      <c r="Q1093" s="234"/>
      <c r="R1093" s="234"/>
    </row>
    <row r="1094" spans="8:18" ht="15" customHeight="1" x14ac:dyDescent="0.3">
      <c r="H1094" s="234" t="s">
        <v>2392</v>
      </c>
      <c r="I1094" s="306" t="s">
        <v>2393</v>
      </c>
      <c r="J1094" s="234">
        <f t="shared" si="38"/>
        <v>0.98930180652631761</v>
      </c>
      <c r="K1094" s="315">
        <f t="shared" si="39"/>
        <v>-1.0755830589412008E-2</v>
      </c>
      <c r="L1094" s="234"/>
      <c r="M1094" s="234"/>
      <c r="N1094" s="234"/>
      <c r="O1094" s="234"/>
      <c r="P1094" s="234"/>
      <c r="Q1094" s="234"/>
      <c r="R1094" s="234"/>
    </row>
    <row r="1095" spans="8:18" ht="15" customHeight="1" x14ac:dyDescent="0.3">
      <c r="H1095" s="234" t="s">
        <v>2394</v>
      </c>
      <c r="I1095" s="306" t="s">
        <v>2395</v>
      </c>
      <c r="J1095" s="234">
        <f t="shared" si="38"/>
        <v>0.98339810712016573</v>
      </c>
      <c r="K1095" s="315">
        <f t="shared" si="39"/>
        <v>-1.6741248838196776E-2</v>
      </c>
      <c r="L1095" s="234"/>
      <c r="M1095" s="234"/>
      <c r="N1095" s="234"/>
      <c r="O1095" s="234"/>
      <c r="P1095" s="234"/>
      <c r="Q1095" s="234"/>
      <c r="R1095" s="234"/>
    </row>
    <row r="1096" spans="8:18" ht="15" customHeight="1" x14ac:dyDescent="0.3">
      <c r="H1096" s="234" t="s">
        <v>2396</v>
      </c>
      <c r="I1096" s="306" t="s">
        <v>2397</v>
      </c>
      <c r="J1096" s="234">
        <f t="shared" si="38"/>
        <v>1.0040596183958708</v>
      </c>
      <c r="K1096" s="315">
        <f t="shared" si="39"/>
        <v>4.0514003789444844E-3</v>
      </c>
      <c r="L1096" s="234"/>
      <c r="M1096" s="234"/>
      <c r="N1096" s="234"/>
      <c r="O1096" s="234"/>
      <c r="P1096" s="234"/>
      <c r="Q1096" s="234"/>
      <c r="R1096" s="234"/>
    </row>
    <row r="1097" spans="8:18" ht="15" customHeight="1" x14ac:dyDescent="0.3">
      <c r="H1097" s="234" t="s">
        <v>2398</v>
      </c>
      <c r="I1097" s="306" t="s">
        <v>2399</v>
      </c>
      <c r="J1097" s="234">
        <f t="shared" si="38"/>
        <v>0.98889853837582753</v>
      </c>
      <c r="K1097" s="315">
        <f t="shared" si="39"/>
        <v>-1.1163542737593107E-2</v>
      </c>
      <c r="L1097" s="234"/>
      <c r="M1097" s="234"/>
      <c r="N1097" s="234"/>
      <c r="O1097" s="234"/>
      <c r="P1097" s="234"/>
      <c r="Q1097" s="234"/>
      <c r="R1097" s="234"/>
    </row>
    <row r="1098" spans="8:18" ht="15" customHeight="1" x14ac:dyDescent="0.3">
      <c r="H1098" s="234" t="s">
        <v>2400</v>
      </c>
      <c r="I1098" s="306" t="s">
        <v>2401</v>
      </c>
      <c r="J1098" s="234">
        <f t="shared" si="38"/>
        <v>0.99879708354132057</v>
      </c>
      <c r="K1098" s="315">
        <f t="shared" si="39"/>
        <v>-1.2036405434165849E-3</v>
      </c>
      <c r="L1098" s="234"/>
      <c r="M1098" s="234"/>
      <c r="N1098" s="234"/>
      <c r="O1098" s="234"/>
      <c r="P1098" s="234"/>
      <c r="Q1098" s="234"/>
      <c r="R1098" s="234"/>
    </row>
    <row r="1099" spans="8:18" ht="15" customHeight="1" x14ac:dyDescent="0.3">
      <c r="H1099" s="234" t="s">
        <v>2402</v>
      </c>
      <c r="I1099" s="306" t="s">
        <v>2403</v>
      </c>
      <c r="J1099" s="234">
        <f t="shared" si="38"/>
        <v>0.99335072873737007</v>
      </c>
      <c r="K1099" s="315">
        <f t="shared" si="39"/>
        <v>-6.6714761524177121E-3</v>
      </c>
      <c r="L1099" s="234"/>
      <c r="M1099" s="234"/>
      <c r="N1099" s="234"/>
      <c r="O1099" s="234"/>
      <c r="P1099" s="234"/>
      <c r="Q1099" s="234"/>
      <c r="R1099" s="234"/>
    </row>
    <row r="1100" spans="8:18" ht="15" customHeight="1" x14ac:dyDescent="0.3">
      <c r="H1100" s="234" t="s">
        <v>2404</v>
      </c>
      <c r="I1100" s="306" t="s">
        <v>2405</v>
      </c>
      <c r="J1100" s="234">
        <f t="shared" si="38"/>
        <v>1.0017262578475519</v>
      </c>
      <c r="K1100" s="315">
        <f t="shared" si="39"/>
        <v>1.7247695769867532E-3</v>
      </c>
      <c r="L1100" s="234"/>
      <c r="M1100" s="234"/>
      <c r="N1100" s="234"/>
      <c r="O1100" s="234"/>
      <c r="P1100" s="234"/>
      <c r="Q1100" s="234"/>
      <c r="R1100" s="234"/>
    </row>
    <row r="1101" spans="8:18" ht="15" customHeight="1" x14ac:dyDescent="0.3">
      <c r="H1101" s="234" t="s">
        <v>2406</v>
      </c>
      <c r="I1101" s="306" t="s">
        <v>2407</v>
      </c>
      <c r="J1101" s="234">
        <f t="shared" si="38"/>
        <v>1.0096684287981057</v>
      </c>
      <c r="K1101" s="315">
        <f t="shared" si="39"/>
        <v>9.6219886360542871E-3</v>
      </c>
      <c r="L1101" s="234"/>
      <c r="M1101" s="234"/>
      <c r="N1101" s="234"/>
      <c r="O1101" s="234"/>
      <c r="P1101" s="234"/>
      <c r="Q1101" s="234"/>
      <c r="R1101" s="234"/>
    </row>
    <row r="1102" spans="8:18" ht="15" customHeight="1" x14ac:dyDescent="0.3">
      <c r="H1102" s="234" t="s">
        <v>2408</v>
      </c>
      <c r="I1102" s="306" t="s">
        <v>2409</v>
      </c>
      <c r="J1102" s="234">
        <f t="shared" si="38"/>
        <v>0.99862070097946654</v>
      </c>
      <c r="K1102" s="315">
        <f t="shared" si="39"/>
        <v>-1.3802511290230629E-3</v>
      </c>
      <c r="L1102" s="234"/>
      <c r="M1102" s="234"/>
      <c r="N1102" s="234"/>
      <c r="O1102" s="234"/>
      <c r="P1102" s="234"/>
      <c r="Q1102" s="234"/>
      <c r="R1102" s="234"/>
    </row>
    <row r="1103" spans="8:18" ht="15" customHeight="1" x14ac:dyDescent="0.3">
      <c r="H1103" s="234" t="s">
        <v>2410</v>
      </c>
      <c r="I1103" s="306" t="s">
        <v>2411</v>
      </c>
      <c r="J1103" s="234">
        <f t="shared" si="38"/>
        <v>0.98562839363311938</v>
      </c>
      <c r="K1103" s="315">
        <f t="shared" si="39"/>
        <v>-1.4475878142676162E-2</v>
      </c>
      <c r="L1103" s="234"/>
      <c r="M1103" s="234"/>
      <c r="N1103" s="234"/>
      <c r="O1103" s="234"/>
      <c r="P1103" s="234"/>
      <c r="Q1103" s="234"/>
      <c r="R1103" s="234"/>
    </row>
    <row r="1104" spans="8:18" ht="15" customHeight="1" x14ac:dyDescent="0.3">
      <c r="H1104" s="234" t="s">
        <v>2412</v>
      </c>
      <c r="I1104" s="306" t="s">
        <v>2413</v>
      </c>
      <c r="J1104" s="234">
        <f t="shared" si="38"/>
        <v>1.0086600933755592</v>
      </c>
      <c r="K1104" s="315">
        <f t="shared" si="39"/>
        <v>8.6228098647504175E-3</v>
      </c>
      <c r="L1104" s="234"/>
      <c r="M1104" s="234"/>
      <c r="N1104" s="234"/>
      <c r="O1104" s="234"/>
      <c r="P1104" s="234"/>
      <c r="Q1104" s="234"/>
      <c r="R1104" s="234"/>
    </row>
    <row r="1105" spans="8:18" ht="15" customHeight="1" x14ac:dyDescent="0.3">
      <c r="H1105" s="234" t="s">
        <v>2414</v>
      </c>
      <c r="I1105" s="306" t="s">
        <v>2415</v>
      </c>
      <c r="J1105" s="234">
        <f t="shared" si="38"/>
        <v>1.0058537146047306</v>
      </c>
      <c r="K1105" s="315">
        <f t="shared" si="39"/>
        <v>5.8366481863012971E-3</v>
      </c>
      <c r="L1105" s="234"/>
      <c r="M1105" s="234"/>
      <c r="N1105" s="234"/>
      <c r="O1105" s="234"/>
      <c r="P1105" s="234"/>
      <c r="Q1105" s="234"/>
      <c r="R1105" s="234"/>
    </row>
    <row r="1106" spans="8:18" ht="15" customHeight="1" x14ac:dyDescent="0.3">
      <c r="H1106" s="234" t="s">
        <v>2416</v>
      </c>
      <c r="I1106" s="306" t="s">
        <v>1012</v>
      </c>
      <c r="J1106" s="234">
        <f t="shared" si="38"/>
        <v>0.96921350818002416</v>
      </c>
      <c r="K1106" s="315">
        <f t="shared" si="39"/>
        <v>-3.1270352683296906E-2</v>
      </c>
      <c r="L1106" s="234"/>
      <c r="M1106" s="234"/>
      <c r="N1106" s="234"/>
      <c r="O1106" s="234"/>
      <c r="P1106" s="234"/>
      <c r="Q1106" s="234"/>
      <c r="R1106" s="234"/>
    </row>
    <row r="1107" spans="8:18" ht="15" customHeight="1" x14ac:dyDescent="0.3">
      <c r="H1107" s="234" t="s">
        <v>2417</v>
      </c>
      <c r="I1107" s="306" t="s">
        <v>2418</v>
      </c>
      <c r="J1107" s="234">
        <f t="shared" si="38"/>
        <v>0.99514590014649407</v>
      </c>
      <c r="K1107" s="315">
        <f t="shared" si="39"/>
        <v>-4.8659192600983463E-3</v>
      </c>
      <c r="L1107" s="234"/>
      <c r="M1107" s="234"/>
      <c r="N1107" s="234"/>
      <c r="O1107" s="234"/>
      <c r="P1107" s="234"/>
      <c r="Q1107" s="234"/>
      <c r="R1107" s="234"/>
    </row>
    <row r="1108" spans="8:18" ht="15" customHeight="1" x14ac:dyDescent="0.3">
      <c r="H1108" s="234" t="s">
        <v>2419</v>
      </c>
      <c r="I1108" s="306" t="s">
        <v>2420</v>
      </c>
      <c r="J1108" s="234">
        <f t="shared" si="38"/>
        <v>1.0134012759298641</v>
      </c>
      <c r="K1108" s="315">
        <f t="shared" si="39"/>
        <v>1.3312273117360152E-2</v>
      </c>
      <c r="L1108" s="234"/>
      <c r="M1108" s="234"/>
      <c r="N1108" s="234"/>
      <c r="O1108" s="234"/>
      <c r="P1108" s="234"/>
      <c r="Q1108" s="234"/>
      <c r="R1108" s="234"/>
    </row>
    <row r="1109" spans="8:18" ht="15" customHeight="1" x14ac:dyDescent="0.3">
      <c r="H1109" s="234" t="s">
        <v>2421</v>
      </c>
      <c r="I1109" s="306" t="s">
        <v>2422</v>
      </c>
      <c r="J1109" s="234">
        <f t="shared" si="38"/>
        <v>0.988976540427288</v>
      </c>
      <c r="K1109" s="315">
        <f t="shared" si="39"/>
        <v>-1.1084668138952519E-2</v>
      </c>
      <c r="L1109" s="234"/>
      <c r="M1109" s="234"/>
      <c r="N1109" s="234"/>
      <c r="O1109" s="234"/>
      <c r="P1109" s="234"/>
      <c r="Q1109" s="234"/>
      <c r="R1109" s="234"/>
    </row>
    <row r="1110" spans="8:18" ht="15" customHeight="1" x14ac:dyDescent="0.3">
      <c r="H1110" s="234" t="s">
        <v>2423</v>
      </c>
      <c r="I1110" s="306" t="s">
        <v>2424</v>
      </c>
      <c r="J1110" s="234">
        <f t="shared" si="38"/>
        <v>1.0075644900766045</v>
      </c>
      <c r="K1110" s="315">
        <f t="shared" si="39"/>
        <v>7.5360227917408524E-3</v>
      </c>
      <c r="L1110" s="234"/>
      <c r="M1110" s="234"/>
      <c r="N1110" s="234"/>
      <c r="O1110" s="234"/>
      <c r="P1110" s="234"/>
      <c r="Q1110" s="234"/>
      <c r="R1110" s="234"/>
    </row>
    <row r="1111" spans="8:18" ht="15" customHeight="1" x14ac:dyDescent="0.3">
      <c r="H1111" s="234" t="s">
        <v>2425</v>
      </c>
      <c r="I1111" s="306" t="s">
        <v>2426</v>
      </c>
      <c r="J1111" s="234">
        <f t="shared" si="38"/>
        <v>0.99142222926906609</v>
      </c>
      <c r="K1111" s="315">
        <f t="shared" si="39"/>
        <v>-8.6147715479165318E-3</v>
      </c>
      <c r="L1111" s="234"/>
      <c r="M1111" s="234"/>
      <c r="N1111" s="234"/>
      <c r="O1111" s="234"/>
      <c r="P1111" s="234"/>
      <c r="Q1111" s="234"/>
      <c r="R1111" s="234"/>
    </row>
    <row r="1112" spans="8:18" ht="15" customHeight="1" x14ac:dyDescent="0.3">
      <c r="H1112" s="234" t="s">
        <v>2427</v>
      </c>
      <c r="I1112" s="306" t="s">
        <v>2428</v>
      </c>
      <c r="J1112" s="234">
        <f t="shared" si="38"/>
        <v>1.0016675931072818</v>
      </c>
      <c r="K1112" s="315">
        <f t="shared" si="39"/>
        <v>1.6662042177501145E-3</v>
      </c>
      <c r="L1112" s="234"/>
      <c r="M1112" s="234"/>
      <c r="N1112" s="234"/>
      <c r="O1112" s="234"/>
      <c r="P1112" s="234"/>
      <c r="Q1112" s="234"/>
      <c r="R1112" s="234"/>
    </row>
    <row r="1113" spans="8:18" ht="15" customHeight="1" x14ac:dyDescent="0.3">
      <c r="H1113" s="234" t="s">
        <v>2429</v>
      </c>
      <c r="I1113" s="306" t="s">
        <v>2430</v>
      </c>
      <c r="J1113" s="234">
        <f t="shared" si="38"/>
        <v>1.0041944435584191</v>
      </c>
      <c r="K1113" s="315">
        <f t="shared" si="39"/>
        <v>4.1856714010279419E-3</v>
      </c>
      <c r="L1113" s="234"/>
      <c r="M1113" s="234"/>
      <c r="N1113" s="234"/>
      <c r="O1113" s="234"/>
      <c r="P1113" s="234"/>
      <c r="Q1113" s="234"/>
      <c r="R1113" s="234"/>
    </row>
    <row r="1114" spans="8:18" ht="15" customHeight="1" x14ac:dyDescent="0.3">
      <c r="H1114" s="234" t="s">
        <v>2431</v>
      </c>
      <c r="I1114" s="306" t="s">
        <v>2432</v>
      </c>
      <c r="J1114" s="234">
        <f t="shared" si="38"/>
        <v>1.008111258491097</v>
      </c>
      <c r="K1114" s="315">
        <f t="shared" si="39"/>
        <v>8.0785390454503302E-3</v>
      </c>
      <c r="L1114" s="234"/>
      <c r="M1114" s="234"/>
      <c r="N1114" s="234"/>
      <c r="O1114" s="234"/>
      <c r="P1114" s="234"/>
      <c r="Q1114" s="234"/>
      <c r="R1114" s="234"/>
    </row>
    <row r="1115" spans="8:18" ht="15" customHeight="1" x14ac:dyDescent="0.3">
      <c r="H1115" s="234" t="s">
        <v>2433</v>
      </c>
      <c r="I1115" s="306" t="s">
        <v>2434</v>
      </c>
      <c r="J1115" s="234">
        <f t="shared" si="38"/>
        <v>0.98759110179583676</v>
      </c>
      <c r="K1115" s="315">
        <f t="shared" si="39"/>
        <v>-1.2486531478963536E-2</v>
      </c>
      <c r="L1115" s="234"/>
      <c r="M1115" s="234"/>
      <c r="N1115" s="234"/>
      <c r="O1115" s="234"/>
      <c r="P1115" s="234"/>
      <c r="Q1115" s="234"/>
      <c r="R1115" s="234"/>
    </row>
    <row r="1116" spans="8:18" ht="15" customHeight="1" x14ac:dyDescent="0.3">
      <c r="H1116" s="234" t="s">
        <v>2435</v>
      </c>
      <c r="I1116" s="306" t="s">
        <v>2436</v>
      </c>
      <c r="J1116" s="234">
        <f t="shared" si="38"/>
        <v>0.98815388960366524</v>
      </c>
      <c r="K1116" s="315">
        <f t="shared" si="39"/>
        <v>-1.1916834655234165E-2</v>
      </c>
      <c r="L1116" s="234"/>
      <c r="M1116" s="234"/>
      <c r="N1116" s="234"/>
      <c r="O1116" s="234"/>
      <c r="P1116" s="234"/>
      <c r="Q1116" s="234"/>
      <c r="R1116" s="234"/>
    </row>
    <row r="1117" spans="8:18" ht="15" customHeight="1" x14ac:dyDescent="0.3">
      <c r="H1117" s="234" t="s">
        <v>2437</v>
      </c>
      <c r="I1117" s="306" t="s">
        <v>2438</v>
      </c>
      <c r="J1117" s="234">
        <f t="shared" si="38"/>
        <v>0.99268731455450243</v>
      </c>
      <c r="K1117" s="315">
        <f t="shared" si="39"/>
        <v>-7.3395541983377862E-3</v>
      </c>
      <c r="L1117" s="234"/>
      <c r="M1117" s="234"/>
      <c r="N1117" s="234"/>
      <c r="O1117" s="234"/>
      <c r="P1117" s="234"/>
      <c r="Q1117" s="234"/>
      <c r="R1117" s="234"/>
    </row>
    <row r="1118" spans="8:18" ht="15" customHeight="1" x14ac:dyDescent="0.3">
      <c r="H1118" s="234" t="s">
        <v>2439</v>
      </c>
      <c r="I1118" s="306" t="s">
        <v>2440</v>
      </c>
      <c r="J1118" s="234">
        <f t="shared" si="38"/>
        <v>1.0018569232809806</v>
      </c>
      <c r="K1118" s="315">
        <f t="shared" si="39"/>
        <v>1.8552013303022444E-3</v>
      </c>
      <c r="L1118" s="234"/>
      <c r="M1118" s="234"/>
      <c r="N1118" s="234"/>
      <c r="O1118" s="234"/>
      <c r="P1118" s="234"/>
      <c r="Q1118" s="234"/>
      <c r="R1118" s="234"/>
    </row>
    <row r="1119" spans="8:18" ht="15" customHeight="1" x14ac:dyDescent="0.3">
      <c r="H1119" s="234" t="s">
        <v>2441</v>
      </c>
      <c r="I1119" s="306" t="s">
        <v>2442</v>
      </c>
      <c r="J1119" s="234">
        <f t="shared" si="38"/>
        <v>1.0045064814959952</v>
      </c>
      <c r="K1119" s="315">
        <f t="shared" si="39"/>
        <v>4.4963577119605533E-3</v>
      </c>
      <c r="L1119" s="234"/>
      <c r="M1119" s="234"/>
      <c r="N1119" s="234"/>
      <c r="O1119" s="234"/>
      <c r="P1119" s="234"/>
      <c r="Q1119" s="234"/>
      <c r="R1119" s="234"/>
    </row>
    <row r="1120" spans="8:18" ht="15" customHeight="1" x14ac:dyDescent="0.3">
      <c r="H1120" s="234" t="s">
        <v>2443</v>
      </c>
      <c r="I1120" s="306" t="s">
        <v>2444</v>
      </c>
      <c r="J1120" s="234">
        <f t="shared" si="38"/>
        <v>1.0172688713843798</v>
      </c>
      <c r="K1120" s="315">
        <f t="shared" si="39"/>
        <v>1.7121459100779945E-2</v>
      </c>
      <c r="L1120" s="234"/>
      <c r="M1120" s="234"/>
      <c r="N1120" s="234"/>
      <c r="O1120" s="234"/>
      <c r="P1120" s="234"/>
      <c r="Q1120" s="234"/>
      <c r="R1120" s="234"/>
    </row>
    <row r="1121" spans="8:18" ht="15" customHeight="1" x14ac:dyDescent="0.3">
      <c r="H1121" s="234" t="s">
        <v>2445</v>
      </c>
      <c r="I1121" s="306" t="s">
        <v>2446</v>
      </c>
      <c r="J1121" s="234">
        <f t="shared" si="38"/>
        <v>0.98752096242116949</v>
      </c>
      <c r="K1121" s="315">
        <f t="shared" si="39"/>
        <v>-1.2557554663893101E-2</v>
      </c>
      <c r="L1121" s="234"/>
      <c r="M1121" s="234"/>
      <c r="N1121" s="234"/>
      <c r="O1121" s="234"/>
      <c r="P1121" s="234"/>
      <c r="Q1121" s="234"/>
      <c r="R1121" s="234"/>
    </row>
    <row r="1122" spans="8:18" ht="15" customHeight="1" x14ac:dyDescent="0.3">
      <c r="H1122" s="234" t="s">
        <v>2447</v>
      </c>
      <c r="I1122" s="306" t="s">
        <v>2448</v>
      </c>
      <c r="J1122" s="234">
        <f t="shared" si="38"/>
        <v>1.0153242309905992</v>
      </c>
      <c r="K1122" s="315">
        <f t="shared" si="39"/>
        <v>1.5208000883453535E-2</v>
      </c>
      <c r="L1122" s="234"/>
      <c r="M1122" s="234"/>
      <c r="N1122" s="234"/>
      <c r="O1122" s="234"/>
      <c r="P1122" s="234"/>
      <c r="Q1122" s="234"/>
      <c r="R1122" s="234"/>
    </row>
    <row r="1123" spans="8:18" ht="15" customHeight="1" x14ac:dyDescent="0.3">
      <c r="H1123" s="234" t="s">
        <v>2449</v>
      </c>
      <c r="I1123" s="306" t="s">
        <v>2450</v>
      </c>
      <c r="J1123" s="234">
        <f t="shared" si="38"/>
        <v>0.98563650832420679</v>
      </c>
      <c r="K1123" s="315">
        <f t="shared" si="39"/>
        <v>-1.4467645163861998E-2</v>
      </c>
      <c r="L1123" s="234"/>
      <c r="M1123" s="234"/>
      <c r="N1123" s="234"/>
      <c r="O1123" s="234"/>
      <c r="P1123" s="234"/>
      <c r="Q1123" s="234"/>
      <c r="R1123" s="234"/>
    </row>
    <row r="1124" spans="8:18" ht="15" customHeight="1" x14ac:dyDescent="0.3">
      <c r="H1124" s="234" t="s">
        <v>2451</v>
      </c>
      <c r="I1124" s="306" t="s">
        <v>2452</v>
      </c>
      <c r="J1124" s="234">
        <f t="shared" si="38"/>
        <v>0.99449154534484652</v>
      </c>
      <c r="K1124" s="315">
        <f t="shared" si="39"/>
        <v>-5.5236821371719459E-3</v>
      </c>
      <c r="L1124" s="234"/>
      <c r="M1124" s="234"/>
      <c r="N1124" s="234"/>
      <c r="O1124" s="234"/>
      <c r="P1124" s="234"/>
      <c r="Q1124" s="234"/>
      <c r="R1124" s="234"/>
    </row>
    <row r="1125" spans="8:18" ht="15" customHeight="1" x14ac:dyDescent="0.3">
      <c r="H1125" s="234" t="s">
        <v>2453</v>
      </c>
      <c r="I1125" s="306" t="s">
        <v>2454</v>
      </c>
      <c r="J1125" s="234">
        <f t="shared" si="38"/>
        <v>1.0155569879124988</v>
      </c>
      <c r="K1125" s="315">
        <f t="shared" si="39"/>
        <v>1.5437218545965997E-2</v>
      </c>
      <c r="L1125" s="234"/>
      <c r="M1125" s="234"/>
      <c r="N1125" s="234"/>
      <c r="O1125" s="234"/>
      <c r="P1125" s="234"/>
      <c r="Q1125" s="234"/>
      <c r="R1125" s="234"/>
    </row>
    <row r="1126" spans="8:18" ht="15" customHeight="1" x14ac:dyDescent="0.3">
      <c r="H1126" s="234" t="s">
        <v>2455</v>
      </c>
      <c r="I1126" s="306" t="s">
        <v>2456</v>
      </c>
      <c r="J1126" s="234">
        <f t="shared" si="38"/>
        <v>0.99104903708143399</v>
      </c>
      <c r="K1126" s="315">
        <f t="shared" si="39"/>
        <v>-8.9912634531206011E-3</v>
      </c>
      <c r="L1126" s="234"/>
      <c r="M1126" s="234"/>
      <c r="N1126" s="234"/>
      <c r="O1126" s="234"/>
      <c r="P1126" s="234"/>
      <c r="Q1126" s="234"/>
      <c r="R1126" s="234"/>
    </row>
    <row r="1127" spans="8:18" ht="15" customHeight="1" x14ac:dyDescent="0.3">
      <c r="H1127" s="234" t="s">
        <v>2457</v>
      </c>
      <c r="I1127" s="306" t="s">
        <v>1256</v>
      </c>
      <c r="J1127" s="234">
        <f t="shared" si="38"/>
        <v>0.99590804489369555</v>
      </c>
      <c r="K1127" s="315">
        <f t="shared" si="39"/>
        <v>-4.1003500636190605E-3</v>
      </c>
      <c r="L1127" s="234"/>
      <c r="M1127" s="234"/>
      <c r="N1127" s="234"/>
      <c r="O1127" s="234"/>
      <c r="P1127" s="234"/>
      <c r="Q1127" s="234"/>
      <c r="R1127" s="234"/>
    </row>
    <row r="1128" spans="8:18" ht="15" customHeight="1" x14ac:dyDescent="0.3">
      <c r="H1128" s="234" t="s">
        <v>2458</v>
      </c>
      <c r="I1128" s="306" t="s">
        <v>2459</v>
      </c>
      <c r="J1128" s="234">
        <f t="shared" si="38"/>
        <v>0.99916816423263155</v>
      </c>
      <c r="K1128" s="315">
        <f t="shared" si="39"/>
        <v>-8.3218193472329094E-4</v>
      </c>
      <c r="L1128" s="234"/>
      <c r="M1128" s="234"/>
      <c r="N1128" s="234"/>
      <c r="O1128" s="234"/>
      <c r="P1128" s="234"/>
      <c r="Q1128" s="234"/>
      <c r="R1128" s="234"/>
    </row>
    <row r="1129" spans="8:18" ht="15" customHeight="1" x14ac:dyDescent="0.3">
      <c r="H1129" s="234" t="s">
        <v>2460</v>
      </c>
      <c r="I1129" s="306" t="s">
        <v>2461</v>
      </c>
      <c r="J1129" s="234">
        <f t="shared" si="38"/>
        <v>1.0013673333071391</v>
      </c>
      <c r="K1129" s="315">
        <f t="shared" si="39"/>
        <v>1.3663993582021024E-3</v>
      </c>
      <c r="L1129" s="234"/>
      <c r="M1129" s="234"/>
      <c r="N1129" s="234"/>
      <c r="O1129" s="234"/>
      <c r="P1129" s="234"/>
      <c r="Q1129" s="234"/>
      <c r="R1129" s="234"/>
    </row>
    <row r="1130" spans="8:18" ht="15" customHeight="1" x14ac:dyDescent="0.3">
      <c r="H1130" s="234" t="s">
        <v>2462</v>
      </c>
      <c r="I1130" s="306" t="s">
        <v>2463</v>
      </c>
      <c r="J1130" s="234">
        <f t="shared" si="38"/>
        <v>0.98256545674951545</v>
      </c>
      <c r="K1130" s="315">
        <f t="shared" si="39"/>
        <v>-1.75883148120934E-2</v>
      </c>
      <c r="L1130" s="234"/>
      <c r="M1130" s="234"/>
      <c r="N1130" s="234"/>
      <c r="O1130" s="234"/>
      <c r="P1130" s="234"/>
      <c r="Q1130" s="234"/>
      <c r="R1130" s="234"/>
    </row>
    <row r="1131" spans="8:18" ht="15" customHeight="1" x14ac:dyDescent="0.3">
      <c r="H1131" s="234" t="s">
        <v>2464</v>
      </c>
      <c r="I1131" s="306" t="s">
        <v>2465</v>
      </c>
      <c r="J1131" s="234">
        <f t="shared" si="38"/>
        <v>1.0084090537478685</v>
      </c>
      <c r="K1131" s="315">
        <f t="shared" si="39"/>
        <v>8.373894621220096E-3</v>
      </c>
      <c r="L1131" s="234"/>
      <c r="M1131" s="234"/>
      <c r="N1131" s="234"/>
      <c r="O1131" s="234"/>
      <c r="P1131" s="234"/>
      <c r="Q1131" s="234"/>
      <c r="R1131" s="234"/>
    </row>
    <row r="1132" spans="8:18" ht="15" customHeight="1" x14ac:dyDescent="0.3">
      <c r="H1132" s="234" t="s">
        <v>2466</v>
      </c>
      <c r="I1132" s="306" t="s">
        <v>2467</v>
      </c>
      <c r="J1132" s="234">
        <f t="shared" si="38"/>
        <v>0.99739067632737688</v>
      </c>
      <c r="K1132" s="315">
        <f t="shared" si="39"/>
        <v>-2.6127338911717613E-3</v>
      </c>
      <c r="L1132" s="234"/>
      <c r="M1132" s="234"/>
      <c r="N1132" s="234"/>
      <c r="O1132" s="234"/>
      <c r="P1132" s="234"/>
      <c r="Q1132" s="234"/>
      <c r="R1132" s="234"/>
    </row>
    <row r="1133" spans="8:18" ht="15" customHeight="1" x14ac:dyDescent="0.3">
      <c r="H1133" s="234" t="s">
        <v>2468</v>
      </c>
      <c r="I1133" s="306" t="s">
        <v>2469</v>
      </c>
      <c r="J1133" s="234">
        <f t="shared" si="38"/>
        <v>0.99634019900651494</v>
      </c>
      <c r="K1133" s="315">
        <f t="shared" si="39"/>
        <v>-3.6665144500898396E-3</v>
      </c>
      <c r="L1133" s="234"/>
      <c r="M1133" s="234"/>
      <c r="N1133" s="234"/>
      <c r="O1133" s="234"/>
      <c r="P1133" s="234"/>
      <c r="Q1133" s="234"/>
      <c r="R1133" s="234"/>
    </row>
    <row r="1134" spans="8:18" ht="15" customHeight="1" x14ac:dyDescent="0.3">
      <c r="H1134" s="234" t="s">
        <v>2470</v>
      </c>
      <c r="I1134" s="306" t="s">
        <v>2471</v>
      </c>
      <c r="J1134" s="234">
        <f t="shared" si="38"/>
        <v>1.0065184377555392</v>
      </c>
      <c r="K1134" s="315">
        <f t="shared" si="39"/>
        <v>6.4972846140166516E-3</v>
      </c>
      <c r="L1134" s="234"/>
      <c r="M1134" s="234"/>
      <c r="N1134" s="234"/>
      <c r="O1134" s="234"/>
      <c r="P1134" s="234"/>
      <c r="Q1134" s="234"/>
      <c r="R1134" s="234"/>
    </row>
    <row r="1135" spans="8:18" ht="15" customHeight="1" x14ac:dyDescent="0.3">
      <c r="H1135" s="234" t="s">
        <v>2472</v>
      </c>
      <c r="I1135" s="306" t="s">
        <v>2473</v>
      </c>
      <c r="J1135" s="234">
        <f t="shared" si="38"/>
        <v>1.0027723545490044</v>
      </c>
      <c r="K1135" s="315">
        <f t="shared" si="39"/>
        <v>2.7685186621218185E-3</v>
      </c>
      <c r="L1135" s="234"/>
      <c r="M1135" s="234"/>
      <c r="N1135" s="234"/>
      <c r="O1135" s="234"/>
      <c r="P1135" s="234"/>
      <c r="Q1135" s="234"/>
      <c r="R1135" s="234"/>
    </row>
    <row r="1136" spans="8:18" ht="15" customHeight="1" x14ac:dyDescent="0.3">
      <c r="H1136" s="234" t="s">
        <v>2474</v>
      </c>
      <c r="I1136" s="306" t="s">
        <v>2475</v>
      </c>
      <c r="J1136" s="234">
        <f t="shared" si="38"/>
        <v>0.99064668611083173</v>
      </c>
      <c r="K1136" s="315">
        <f t="shared" si="39"/>
        <v>-9.3973308139390279E-3</v>
      </c>
      <c r="L1136" s="234"/>
      <c r="M1136" s="234"/>
      <c r="N1136" s="234"/>
      <c r="O1136" s="234"/>
      <c r="P1136" s="234"/>
      <c r="Q1136" s="234"/>
      <c r="R1136" s="234"/>
    </row>
    <row r="1137" spans="8:18" ht="15" customHeight="1" x14ac:dyDescent="0.3">
      <c r="H1137" s="234" t="s">
        <v>2476</v>
      </c>
      <c r="I1137" s="306" t="s">
        <v>2477</v>
      </c>
      <c r="J1137" s="234">
        <f t="shared" si="38"/>
        <v>0.99360447686619369</v>
      </c>
      <c r="K1137" s="315">
        <f t="shared" si="39"/>
        <v>-6.4160621103824733E-3</v>
      </c>
      <c r="L1137" s="234"/>
      <c r="M1137" s="234"/>
      <c r="N1137" s="234"/>
      <c r="O1137" s="234"/>
      <c r="P1137" s="234"/>
      <c r="Q1137" s="234"/>
      <c r="R1137" s="234"/>
    </row>
    <row r="1138" spans="8:18" ht="15" customHeight="1" x14ac:dyDescent="0.3">
      <c r="H1138" s="234" t="s">
        <v>2478</v>
      </c>
      <c r="I1138" s="306" t="s">
        <v>2479</v>
      </c>
      <c r="J1138" s="234">
        <f t="shared" si="38"/>
        <v>0.99910143769968052</v>
      </c>
      <c r="K1138" s="315">
        <f t="shared" si="39"/>
        <v>-8.9896624942368013E-4</v>
      </c>
      <c r="L1138" s="234"/>
      <c r="M1138" s="234"/>
      <c r="N1138" s="234"/>
      <c r="O1138" s="234"/>
      <c r="P1138" s="234"/>
      <c r="Q1138" s="234"/>
      <c r="R1138" s="234"/>
    </row>
    <row r="1139" spans="8:18" ht="15" customHeight="1" x14ac:dyDescent="0.3">
      <c r="H1139" s="234" t="s">
        <v>2480</v>
      </c>
      <c r="I1139" s="306" t="s">
        <v>2481</v>
      </c>
      <c r="J1139" s="234">
        <f t="shared" si="38"/>
        <v>1.0059254795621171</v>
      </c>
      <c r="K1139" s="315">
        <f t="shared" si="39"/>
        <v>5.9079929517954436E-3</v>
      </c>
      <c r="L1139" s="234"/>
      <c r="M1139" s="234"/>
      <c r="N1139" s="234"/>
      <c r="O1139" s="234"/>
      <c r="P1139" s="234"/>
      <c r="Q1139" s="234"/>
      <c r="R1139" s="234"/>
    </row>
    <row r="1140" spans="8:18" ht="15" customHeight="1" x14ac:dyDescent="0.3">
      <c r="H1140" s="234" t="s">
        <v>2482</v>
      </c>
      <c r="I1140" s="306" t="s">
        <v>2483</v>
      </c>
      <c r="J1140" s="234">
        <f t="shared" si="38"/>
        <v>0.99511823856822168</v>
      </c>
      <c r="K1140" s="315">
        <f t="shared" si="39"/>
        <v>-4.8937161517129749E-3</v>
      </c>
      <c r="L1140" s="234"/>
      <c r="M1140" s="234"/>
      <c r="N1140" s="234"/>
      <c r="O1140" s="234"/>
      <c r="P1140" s="234"/>
      <c r="Q1140" s="234"/>
      <c r="R1140" s="234"/>
    </row>
    <row r="1141" spans="8:18" ht="15" customHeight="1" x14ac:dyDescent="0.3">
      <c r="H1141" s="234" t="s">
        <v>2484</v>
      </c>
      <c r="I1141" s="306" t="s">
        <v>2485</v>
      </c>
      <c r="J1141" s="234">
        <f t="shared" si="38"/>
        <v>1.0012701002994358</v>
      </c>
      <c r="K1141" s="315">
        <f t="shared" si="39"/>
        <v>1.2692944043566491E-3</v>
      </c>
      <c r="L1141" s="234"/>
      <c r="M1141" s="234"/>
      <c r="N1141" s="234"/>
      <c r="O1141" s="234"/>
      <c r="P1141" s="234"/>
      <c r="Q1141" s="234"/>
      <c r="R1141" s="234"/>
    </row>
    <row r="1142" spans="8:18" ht="15" customHeight="1" x14ac:dyDescent="0.3">
      <c r="H1142" s="234" t="s">
        <v>2486</v>
      </c>
      <c r="I1142" s="306" t="s">
        <v>2487</v>
      </c>
      <c r="J1142" s="234">
        <f t="shared" si="38"/>
        <v>1.0008551617873651</v>
      </c>
      <c r="K1142" s="315">
        <f t="shared" si="39"/>
        <v>8.5479634485063482E-4</v>
      </c>
      <c r="L1142" s="234"/>
      <c r="M1142" s="234"/>
      <c r="N1142" s="234"/>
      <c r="O1142" s="234"/>
      <c r="P1142" s="234"/>
      <c r="Q1142" s="234"/>
      <c r="R1142" s="234"/>
    </row>
    <row r="1143" spans="8:18" ht="15" customHeight="1" x14ac:dyDescent="0.3">
      <c r="H1143" s="234" t="s">
        <v>2488</v>
      </c>
      <c r="I1143" s="306" t="s">
        <v>2489</v>
      </c>
      <c r="J1143" s="234">
        <f t="shared" si="38"/>
        <v>0.99253685691564197</v>
      </c>
      <c r="K1143" s="315">
        <f t="shared" si="39"/>
        <v>-7.4911316789173319E-3</v>
      </c>
      <c r="L1143" s="234"/>
      <c r="M1143" s="234"/>
      <c r="N1143" s="234"/>
      <c r="O1143" s="234"/>
      <c r="P1143" s="234"/>
      <c r="Q1143" s="234"/>
      <c r="R1143" s="234"/>
    </row>
    <row r="1144" spans="8:18" ht="15" customHeight="1" x14ac:dyDescent="0.3">
      <c r="H1144" s="234" t="s">
        <v>2490</v>
      </c>
      <c r="I1144" s="306" t="s">
        <v>2491</v>
      </c>
      <c r="J1144" s="234">
        <f t="shared" si="38"/>
        <v>1.0050028818443804</v>
      </c>
      <c r="K1144" s="315">
        <f t="shared" si="39"/>
        <v>4.9904090137739112E-3</v>
      </c>
      <c r="L1144" s="234"/>
      <c r="M1144" s="234"/>
      <c r="N1144" s="234"/>
      <c r="O1144" s="234"/>
      <c r="P1144" s="234"/>
      <c r="Q1144" s="234"/>
      <c r="R1144" s="234"/>
    </row>
    <row r="1145" spans="8:18" ht="15" customHeight="1" x14ac:dyDescent="0.3">
      <c r="H1145" s="234" t="s">
        <v>2492</v>
      </c>
      <c r="I1145" s="306" t="s">
        <v>2493</v>
      </c>
      <c r="J1145" s="234">
        <f t="shared" si="38"/>
        <v>1.0040509259259258</v>
      </c>
      <c r="K1145" s="315">
        <f t="shared" si="39"/>
        <v>4.0427430169585298E-3</v>
      </c>
      <c r="L1145" s="234"/>
      <c r="M1145" s="234"/>
      <c r="N1145" s="234"/>
      <c r="O1145" s="234"/>
      <c r="P1145" s="234"/>
      <c r="Q1145" s="234"/>
      <c r="R1145" s="234"/>
    </row>
    <row r="1146" spans="8:18" ht="15" customHeight="1" x14ac:dyDescent="0.3">
      <c r="H1146" s="234" t="s">
        <v>2494</v>
      </c>
      <c r="I1146" s="306" t="s">
        <v>2495</v>
      </c>
      <c r="J1146" s="234">
        <f t="shared" si="38"/>
        <v>1.0103845074375526</v>
      </c>
      <c r="K1146" s="315">
        <f t="shared" si="39"/>
        <v>1.033095883836529E-2</v>
      </c>
      <c r="L1146" s="234"/>
      <c r="M1146" s="234"/>
      <c r="N1146" s="234"/>
      <c r="O1146" s="234"/>
      <c r="P1146" s="234"/>
      <c r="Q1146" s="234"/>
      <c r="R1146" s="234"/>
    </row>
    <row r="1147" spans="8:18" ht="15" customHeight="1" x14ac:dyDescent="0.3">
      <c r="H1147" s="234" t="s">
        <v>2496</v>
      </c>
      <c r="I1147" s="306" t="s">
        <v>2497</v>
      </c>
      <c r="J1147" s="234">
        <f t="shared" si="38"/>
        <v>1.0162417404807556</v>
      </c>
      <c r="K1147" s="315">
        <f t="shared" si="39"/>
        <v>1.611125439864439E-2</v>
      </c>
      <c r="L1147" s="234"/>
      <c r="M1147" s="234"/>
      <c r="N1147" s="234"/>
      <c r="O1147" s="234"/>
      <c r="P1147" s="234"/>
      <c r="Q1147" s="234"/>
      <c r="R1147" s="234"/>
    </row>
    <row r="1148" spans="8:18" ht="15" customHeight="1" x14ac:dyDescent="0.3">
      <c r="H1148" s="234" t="s">
        <v>2498</v>
      </c>
      <c r="I1148" s="306" t="s">
        <v>2499</v>
      </c>
      <c r="J1148" s="234">
        <f t="shared" si="38"/>
        <v>1.0052325164661002</v>
      </c>
      <c r="K1148" s="315">
        <f t="shared" si="39"/>
        <v>5.2188744192798705E-3</v>
      </c>
      <c r="L1148" s="234"/>
      <c r="M1148" s="234"/>
      <c r="N1148" s="234"/>
      <c r="O1148" s="234"/>
      <c r="P1148" s="234"/>
      <c r="Q1148" s="234"/>
      <c r="R1148" s="234"/>
    </row>
    <row r="1149" spans="8:18" ht="15" customHeight="1" x14ac:dyDescent="0.3">
      <c r="H1149" s="234" t="s">
        <v>2500</v>
      </c>
      <c r="I1149" s="306" t="s">
        <v>2501</v>
      </c>
      <c r="J1149" s="234">
        <f t="shared" si="38"/>
        <v>1.0096006175271575</v>
      </c>
      <c r="K1149" s="315">
        <f t="shared" si="39"/>
        <v>9.5548244598914981E-3</v>
      </c>
      <c r="L1149" s="234"/>
      <c r="M1149" s="234"/>
      <c r="N1149" s="234"/>
      <c r="O1149" s="234"/>
      <c r="P1149" s="234"/>
      <c r="Q1149" s="234"/>
      <c r="R1149" s="234"/>
    </row>
    <row r="1150" spans="8:18" ht="15" customHeight="1" x14ac:dyDescent="0.3">
      <c r="H1150" s="234" t="s">
        <v>2502</v>
      </c>
      <c r="I1150" s="306" t="s">
        <v>2503</v>
      </c>
      <c r="J1150" s="234">
        <f t="shared" si="38"/>
        <v>1.0030486575422013</v>
      </c>
      <c r="K1150" s="315">
        <f t="shared" si="39"/>
        <v>3.0440198093119077E-3</v>
      </c>
      <c r="L1150" s="234"/>
      <c r="M1150" s="234"/>
      <c r="N1150" s="234"/>
      <c r="O1150" s="234"/>
      <c r="P1150" s="234"/>
      <c r="Q1150" s="234"/>
      <c r="R1150" s="234"/>
    </row>
    <row r="1151" spans="8:18" ht="15" customHeight="1" x14ac:dyDescent="0.3">
      <c r="H1151" s="234" t="s">
        <v>2504</v>
      </c>
      <c r="I1151" s="306" t="s">
        <v>2505</v>
      </c>
      <c r="J1151" s="234">
        <f t="shared" si="38"/>
        <v>1.0081390054314241</v>
      </c>
      <c r="K1151" s="315">
        <f t="shared" si="39"/>
        <v>8.1060623552550535E-3</v>
      </c>
      <c r="L1151" s="234"/>
      <c r="M1151" s="234"/>
      <c r="N1151" s="234"/>
      <c r="O1151" s="234"/>
      <c r="P1151" s="234"/>
      <c r="Q1151" s="234"/>
      <c r="R1151" s="234"/>
    </row>
    <row r="1152" spans="8:18" ht="15" customHeight="1" x14ac:dyDescent="0.3">
      <c r="H1152" s="234" t="s">
        <v>2506</v>
      </c>
      <c r="I1152" s="306" t="s">
        <v>2507</v>
      </c>
      <c r="J1152" s="234">
        <f t="shared" si="38"/>
        <v>0.99158281733746134</v>
      </c>
      <c r="K1152" s="315">
        <f t="shared" si="39"/>
        <v>-8.4528071908201007E-3</v>
      </c>
      <c r="L1152" s="234"/>
      <c r="M1152" s="234"/>
      <c r="N1152" s="234"/>
      <c r="O1152" s="234"/>
      <c r="P1152" s="234"/>
      <c r="Q1152" s="234"/>
      <c r="R1152" s="234"/>
    </row>
    <row r="1153" spans="8:18" ht="15" customHeight="1" x14ac:dyDescent="0.3">
      <c r="H1153" s="234" t="s">
        <v>2508</v>
      </c>
      <c r="I1153" s="306" t="s">
        <v>2509</v>
      </c>
      <c r="J1153" s="234">
        <f t="shared" si="38"/>
        <v>1.0117462803445576</v>
      </c>
      <c r="K1153" s="315">
        <f t="shared" si="39"/>
        <v>1.1677828310007913E-2</v>
      </c>
      <c r="L1153" s="234"/>
      <c r="M1153" s="234"/>
      <c r="N1153" s="234"/>
      <c r="O1153" s="234"/>
      <c r="P1153" s="234"/>
      <c r="Q1153" s="234"/>
      <c r="R1153" s="234"/>
    </row>
    <row r="1154" spans="8:18" ht="15" customHeight="1" x14ac:dyDescent="0.3">
      <c r="H1154" s="234" t="s">
        <v>2510</v>
      </c>
      <c r="I1154" s="306" t="s">
        <v>2511</v>
      </c>
      <c r="J1154" s="234">
        <f t="shared" si="38"/>
        <v>0.99911166168164889</v>
      </c>
      <c r="K1154" s="315">
        <f t="shared" si="39"/>
        <v>-8.8873312466673999E-4</v>
      </c>
      <c r="L1154" s="234"/>
      <c r="M1154" s="234"/>
      <c r="N1154" s="234"/>
      <c r="O1154" s="234"/>
      <c r="P1154" s="234"/>
      <c r="Q1154" s="234"/>
      <c r="R1154" s="234"/>
    </row>
    <row r="1155" spans="8:18" ht="15" customHeight="1" x14ac:dyDescent="0.3">
      <c r="H1155" s="234" t="s">
        <v>2512</v>
      </c>
      <c r="I1155" s="306" t="s">
        <v>2513</v>
      </c>
      <c r="J1155" s="234">
        <f t="shared" si="38"/>
        <v>1.0005300238103003</v>
      </c>
      <c r="K1155" s="315">
        <f t="shared" si="39"/>
        <v>5.2988339729320873E-4</v>
      </c>
      <c r="L1155" s="234"/>
      <c r="M1155" s="234"/>
      <c r="N1155" s="234"/>
      <c r="O1155" s="234"/>
      <c r="P1155" s="234"/>
      <c r="Q1155" s="234"/>
      <c r="R1155" s="234"/>
    </row>
    <row r="1156" spans="8:18" ht="15" customHeight="1" x14ac:dyDescent="0.3">
      <c r="H1156" s="234" t="s">
        <v>2514</v>
      </c>
      <c r="I1156" s="306" t="s">
        <v>2515</v>
      </c>
      <c r="J1156" s="234">
        <f t="shared" si="38"/>
        <v>0.9972352328909706</v>
      </c>
      <c r="K1156" s="315">
        <f t="shared" si="39"/>
        <v>-2.7685961368214985E-3</v>
      </c>
      <c r="L1156" s="234"/>
      <c r="M1156" s="234"/>
      <c r="N1156" s="234"/>
      <c r="O1156" s="234"/>
      <c r="P1156" s="234"/>
      <c r="Q1156" s="234"/>
      <c r="R1156" s="234"/>
    </row>
    <row r="1157" spans="8:18" ht="15" customHeight="1" x14ac:dyDescent="0.3">
      <c r="H1157" s="234" t="s">
        <v>2516</v>
      </c>
      <c r="I1157" s="306" t="s">
        <v>2517</v>
      </c>
      <c r="J1157" s="234">
        <f t="shared" ref="J1157:J1220" si="40">I1157/I1158</f>
        <v>1.0003172356572878</v>
      </c>
      <c r="K1157" s="315">
        <f t="shared" ref="K1157:K1220" si="41">LN(J1157)</f>
        <v>3.1718534869618401E-4</v>
      </c>
      <c r="L1157" s="234"/>
      <c r="M1157" s="234"/>
      <c r="N1157" s="234"/>
      <c r="O1157" s="234"/>
      <c r="P1157" s="234"/>
      <c r="Q1157" s="234"/>
      <c r="R1157" s="234"/>
    </row>
    <row r="1158" spans="8:18" ht="15" customHeight="1" x14ac:dyDescent="0.3">
      <c r="H1158" s="234" t="s">
        <v>2518</v>
      </c>
      <c r="I1158" s="306" t="s">
        <v>2519</v>
      </c>
      <c r="J1158" s="234">
        <f t="shared" si="40"/>
        <v>1.0086724647193961</v>
      </c>
      <c r="K1158" s="315">
        <f t="shared" si="41"/>
        <v>8.6350749162288423E-3</v>
      </c>
      <c r="L1158" s="234"/>
      <c r="M1158" s="234"/>
      <c r="N1158" s="234"/>
      <c r="O1158" s="234"/>
      <c r="P1158" s="234"/>
      <c r="Q1158" s="234"/>
      <c r="R1158" s="234"/>
    </row>
    <row r="1159" spans="8:18" ht="15" customHeight="1" x14ac:dyDescent="0.3">
      <c r="H1159" s="234" t="s">
        <v>2520</v>
      </c>
      <c r="I1159" s="306" t="s">
        <v>2521</v>
      </c>
      <c r="J1159" s="234">
        <f t="shared" si="40"/>
        <v>1.0096173758894622</v>
      </c>
      <c r="K1159" s="315">
        <f t="shared" si="41"/>
        <v>9.5714233237682769E-3</v>
      </c>
      <c r="L1159" s="234"/>
      <c r="M1159" s="234"/>
      <c r="N1159" s="234"/>
      <c r="O1159" s="234"/>
      <c r="P1159" s="234"/>
      <c r="Q1159" s="234"/>
      <c r="R1159" s="234"/>
    </row>
    <row r="1160" spans="8:18" ht="15" customHeight="1" x14ac:dyDescent="0.3">
      <c r="H1160" s="234" t="s">
        <v>2522</v>
      </c>
      <c r="I1160" s="306" t="s">
        <v>2523</v>
      </c>
      <c r="J1160" s="234">
        <f t="shared" si="40"/>
        <v>1.008420278838202</v>
      </c>
      <c r="K1160" s="315">
        <f t="shared" si="41"/>
        <v>8.3850260443427346E-3</v>
      </c>
      <c r="L1160" s="234"/>
      <c r="M1160" s="234"/>
      <c r="N1160" s="234"/>
      <c r="O1160" s="234"/>
      <c r="P1160" s="234"/>
      <c r="Q1160" s="234"/>
      <c r="R1160" s="234"/>
    </row>
    <row r="1161" spans="8:18" ht="15" customHeight="1" x14ac:dyDescent="0.3">
      <c r="H1161" s="234" t="s">
        <v>2524</v>
      </c>
      <c r="I1161" s="306" t="s">
        <v>2525</v>
      </c>
      <c r="J1161" s="234">
        <f t="shared" si="40"/>
        <v>0.97354510263166461</v>
      </c>
      <c r="K1161" s="315">
        <f t="shared" si="41"/>
        <v>-2.6811124856183973E-2</v>
      </c>
      <c r="L1161" s="234"/>
      <c r="M1161" s="234"/>
      <c r="N1161" s="234"/>
      <c r="O1161" s="234"/>
      <c r="P1161" s="234"/>
      <c r="Q1161" s="234"/>
      <c r="R1161" s="234"/>
    </row>
    <row r="1162" spans="8:18" ht="15" customHeight="1" x14ac:dyDescent="0.3">
      <c r="H1162" s="234" t="s">
        <v>2526</v>
      </c>
      <c r="I1162" s="306" t="s">
        <v>2527</v>
      </c>
      <c r="J1162" s="234">
        <f t="shared" si="40"/>
        <v>1.0086953668460428</v>
      </c>
      <c r="K1162" s="315">
        <f t="shared" si="41"/>
        <v>8.6577798749273224E-3</v>
      </c>
      <c r="L1162" s="234"/>
      <c r="M1162" s="234"/>
      <c r="N1162" s="234"/>
      <c r="O1162" s="234"/>
      <c r="P1162" s="234"/>
      <c r="Q1162" s="234"/>
      <c r="R1162" s="234"/>
    </row>
    <row r="1163" spans="8:18" ht="15" customHeight="1" x14ac:dyDescent="0.3">
      <c r="H1163" s="234" t="s">
        <v>2528</v>
      </c>
      <c r="I1163" s="306" t="s">
        <v>2529</v>
      </c>
      <c r="J1163" s="234">
        <f t="shared" si="40"/>
        <v>0.99890198135007124</v>
      </c>
      <c r="K1163" s="315">
        <f t="shared" si="41"/>
        <v>-1.0986219140438147E-3</v>
      </c>
      <c r="L1163" s="234"/>
      <c r="M1163" s="234"/>
      <c r="N1163" s="234"/>
      <c r="O1163" s="234"/>
      <c r="P1163" s="234"/>
      <c r="Q1163" s="234"/>
      <c r="R1163" s="234"/>
    </row>
    <row r="1164" spans="8:18" ht="15" customHeight="1" x14ac:dyDescent="0.3">
      <c r="H1164" s="234" t="s">
        <v>2530</v>
      </c>
      <c r="I1164" s="306" t="s">
        <v>2531</v>
      </c>
      <c r="J1164" s="234">
        <f t="shared" si="40"/>
        <v>1.0176448024549289</v>
      </c>
      <c r="K1164" s="315">
        <f t="shared" si="41"/>
        <v>1.7490940204237831E-2</v>
      </c>
      <c r="L1164" s="234"/>
      <c r="M1164" s="234"/>
      <c r="N1164" s="234"/>
      <c r="O1164" s="234"/>
      <c r="P1164" s="234"/>
      <c r="Q1164" s="234"/>
      <c r="R1164" s="234"/>
    </row>
    <row r="1165" spans="8:18" ht="15" customHeight="1" x14ac:dyDescent="0.3">
      <c r="H1165" s="234" t="s">
        <v>2532</v>
      </c>
      <c r="I1165" s="306" t="s">
        <v>1810</v>
      </c>
      <c r="J1165" s="234">
        <f t="shared" si="40"/>
        <v>1.0028851702250432</v>
      </c>
      <c r="K1165" s="315">
        <f t="shared" si="41"/>
        <v>2.8810161097311891E-3</v>
      </c>
      <c r="L1165" s="234"/>
      <c r="M1165" s="234"/>
      <c r="N1165" s="234"/>
      <c r="O1165" s="234"/>
      <c r="P1165" s="234"/>
      <c r="Q1165" s="234"/>
      <c r="R1165" s="234"/>
    </row>
    <row r="1166" spans="8:18" ht="15" customHeight="1" x14ac:dyDescent="0.3">
      <c r="H1166" s="234" t="s">
        <v>2533</v>
      </c>
      <c r="I1166" s="306" t="s">
        <v>2534</v>
      </c>
      <c r="J1166" s="234">
        <f t="shared" si="40"/>
        <v>1.0157315778296878</v>
      </c>
      <c r="K1166" s="315">
        <f t="shared" si="41"/>
        <v>1.5609119201110116E-2</v>
      </c>
      <c r="L1166" s="234"/>
      <c r="M1166" s="234"/>
      <c r="N1166" s="234"/>
      <c r="O1166" s="234"/>
      <c r="P1166" s="234"/>
      <c r="Q1166" s="234"/>
      <c r="R1166" s="234"/>
    </row>
    <row r="1167" spans="8:18" ht="15" customHeight="1" x14ac:dyDescent="0.3">
      <c r="H1167" s="234" t="s">
        <v>2535</v>
      </c>
      <c r="I1167" s="306" t="s">
        <v>2536</v>
      </c>
      <c r="J1167" s="234">
        <f t="shared" si="40"/>
        <v>0.98755127549094446</v>
      </c>
      <c r="K1167" s="315">
        <f t="shared" si="41"/>
        <v>-1.2526859007100931E-2</v>
      </c>
      <c r="L1167" s="234"/>
      <c r="M1167" s="234"/>
      <c r="N1167" s="234"/>
      <c r="O1167" s="234"/>
      <c r="P1167" s="234"/>
      <c r="Q1167" s="234"/>
      <c r="R1167" s="234"/>
    </row>
    <row r="1168" spans="8:18" ht="15" customHeight="1" x14ac:dyDescent="0.3">
      <c r="H1168" s="234" t="s">
        <v>2537</v>
      </c>
      <c r="I1168" s="306" t="s">
        <v>2538</v>
      </c>
      <c r="J1168" s="234">
        <f t="shared" si="40"/>
        <v>1.0021689603282025</v>
      </c>
      <c r="K1168" s="315">
        <f t="shared" si="41"/>
        <v>2.1666115294375369E-3</v>
      </c>
      <c r="L1168" s="234"/>
      <c r="M1168" s="234"/>
      <c r="N1168" s="234"/>
      <c r="O1168" s="234"/>
      <c r="P1168" s="234"/>
      <c r="Q1168" s="234"/>
      <c r="R1168" s="234"/>
    </row>
    <row r="1169" spans="8:18" ht="15" customHeight="1" x14ac:dyDescent="0.3">
      <c r="H1169" s="234" t="s">
        <v>2539</v>
      </c>
      <c r="I1169" s="306" t="s">
        <v>2540</v>
      </c>
      <c r="J1169" s="234">
        <f t="shared" si="40"/>
        <v>0.99072994402985071</v>
      </c>
      <c r="K1169" s="315">
        <f t="shared" si="41"/>
        <v>-9.3132903364230822E-3</v>
      </c>
      <c r="L1169" s="234"/>
      <c r="M1169" s="234"/>
      <c r="N1169" s="234"/>
      <c r="O1169" s="234"/>
      <c r="P1169" s="234"/>
      <c r="Q1169" s="234"/>
      <c r="R1169" s="234"/>
    </row>
    <row r="1170" spans="8:18" ht="15" customHeight="1" x14ac:dyDescent="0.3">
      <c r="H1170" s="234" t="s">
        <v>2541</v>
      </c>
      <c r="I1170" s="306" t="s">
        <v>2542</v>
      </c>
      <c r="J1170" s="234">
        <f t="shared" si="40"/>
        <v>0.99183002486514171</v>
      </c>
      <c r="K1170" s="315">
        <f t="shared" si="41"/>
        <v>-8.2035322807253123E-3</v>
      </c>
      <c r="L1170" s="234"/>
      <c r="M1170" s="234"/>
      <c r="N1170" s="234"/>
      <c r="O1170" s="234"/>
      <c r="P1170" s="234"/>
      <c r="Q1170" s="234"/>
      <c r="R1170" s="234"/>
    </row>
    <row r="1171" spans="8:18" ht="15" customHeight="1" x14ac:dyDescent="0.3">
      <c r="H1171" s="234" t="s">
        <v>2543</v>
      </c>
      <c r="I1171" s="306" t="s">
        <v>2544</v>
      </c>
      <c r="J1171" s="234">
        <f t="shared" si="40"/>
        <v>1.0139121549182524</v>
      </c>
      <c r="K1171" s="315">
        <f t="shared" si="41"/>
        <v>1.3816269185682652E-2</v>
      </c>
      <c r="L1171" s="234"/>
      <c r="M1171" s="234"/>
      <c r="N1171" s="234"/>
      <c r="O1171" s="234"/>
      <c r="P1171" s="234"/>
      <c r="Q1171" s="234"/>
      <c r="R1171" s="234"/>
    </row>
    <row r="1172" spans="8:18" ht="15" customHeight="1" x14ac:dyDescent="0.3">
      <c r="H1172" s="234" t="s">
        <v>2545</v>
      </c>
      <c r="I1172" s="306" t="s">
        <v>2546</v>
      </c>
      <c r="J1172" s="234">
        <f t="shared" si="40"/>
        <v>0.99002446204237327</v>
      </c>
      <c r="K1172" s="315">
        <f t="shared" si="41"/>
        <v>-1.0025627025056688E-2</v>
      </c>
      <c r="L1172" s="234"/>
      <c r="M1172" s="234"/>
      <c r="N1172" s="234"/>
      <c r="O1172" s="234"/>
      <c r="P1172" s="234"/>
      <c r="Q1172" s="234"/>
      <c r="R1172" s="234"/>
    </row>
    <row r="1173" spans="8:18" ht="15" customHeight="1" x14ac:dyDescent="0.3">
      <c r="H1173" s="234" t="s">
        <v>2547</v>
      </c>
      <c r="I1173" s="306" t="s">
        <v>2548</v>
      </c>
      <c r="J1173" s="234">
        <f t="shared" si="40"/>
        <v>1.0005060812716744</v>
      </c>
      <c r="K1173" s="315">
        <f t="shared" si="41"/>
        <v>5.0595325573678501E-4</v>
      </c>
      <c r="L1173" s="234"/>
      <c r="M1173" s="234"/>
      <c r="N1173" s="234"/>
      <c r="O1173" s="234"/>
      <c r="P1173" s="234"/>
      <c r="Q1173" s="234"/>
      <c r="R1173" s="234"/>
    </row>
    <row r="1174" spans="8:18" ht="15" customHeight="1" x14ac:dyDescent="0.3">
      <c r="H1174" s="234" t="s">
        <v>2549</v>
      </c>
      <c r="I1174" s="306" t="s">
        <v>2550</v>
      </c>
      <c r="J1174" s="234">
        <f t="shared" si="40"/>
        <v>1.0097342760446335</v>
      </c>
      <c r="K1174" s="315">
        <f t="shared" si="41"/>
        <v>9.6872032130113587E-3</v>
      </c>
      <c r="L1174" s="234"/>
      <c r="M1174" s="234"/>
      <c r="N1174" s="234"/>
      <c r="O1174" s="234"/>
      <c r="P1174" s="234"/>
      <c r="Q1174" s="234"/>
      <c r="R1174" s="234"/>
    </row>
    <row r="1175" spans="8:18" ht="15" customHeight="1" x14ac:dyDescent="0.3">
      <c r="H1175" s="234" t="s">
        <v>2551</v>
      </c>
      <c r="I1175" s="306" t="s">
        <v>2552</v>
      </c>
      <c r="J1175" s="234">
        <f t="shared" si="40"/>
        <v>0.99423640724946694</v>
      </c>
      <c r="K1175" s="315">
        <f t="shared" si="41"/>
        <v>-5.7802663486489483E-3</v>
      </c>
      <c r="L1175" s="234"/>
      <c r="M1175" s="234"/>
      <c r="N1175" s="234"/>
      <c r="O1175" s="234"/>
      <c r="P1175" s="234"/>
      <c r="Q1175" s="234"/>
      <c r="R1175" s="234"/>
    </row>
    <row r="1176" spans="8:18" ht="15" customHeight="1" x14ac:dyDescent="0.3">
      <c r="H1176" s="234" t="s">
        <v>2553</v>
      </c>
      <c r="I1176" s="306" t="s">
        <v>2542</v>
      </c>
      <c r="J1176" s="234">
        <f t="shared" si="40"/>
        <v>0.99287988422575979</v>
      </c>
      <c r="K1176" s="315">
        <f t="shared" si="41"/>
        <v>-7.1455847653420891E-3</v>
      </c>
      <c r="L1176" s="234"/>
      <c r="M1176" s="234"/>
      <c r="N1176" s="234"/>
      <c r="O1176" s="234"/>
      <c r="P1176" s="234"/>
      <c r="Q1176" s="234"/>
      <c r="R1176" s="234"/>
    </row>
    <row r="1177" spans="8:18" ht="15" customHeight="1" x14ac:dyDescent="0.3">
      <c r="H1177" s="234" t="s">
        <v>2554</v>
      </c>
      <c r="I1177" s="306" t="s">
        <v>2555</v>
      </c>
      <c r="J1177" s="234">
        <f t="shared" si="40"/>
        <v>0.99842299943855473</v>
      </c>
      <c r="K1177" s="315">
        <f t="shared" si="41"/>
        <v>-1.578245335675907E-3</v>
      </c>
      <c r="L1177" s="234"/>
      <c r="M1177" s="234"/>
      <c r="N1177" s="234"/>
      <c r="O1177" s="234"/>
      <c r="P1177" s="234"/>
      <c r="Q1177" s="234"/>
      <c r="R1177" s="234"/>
    </row>
    <row r="1178" spans="8:18" ht="15" customHeight="1" x14ac:dyDescent="0.3">
      <c r="H1178" s="234" t="s">
        <v>2556</v>
      </c>
      <c r="I1178" s="306" t="s">
        <v>2557</v>
      </c>
      <c r="J1178" s="234">
        <f t="shared" si="40"/>
        <v>1.0034382482332376</v>
      </c>
      <c r="K1178" s="315">
        <f t="shared" si="41"/>
        <v>3.4323509714149639E-3</v>
      </c>
      <c r="L1178" s="234"/>
      <c r="M1178" s="234"/>
      <c r="N1178" s="234"/>
      <c r="O1178" s="234"/>
      <c r="P1178" s="234"/>
      <c r="Q1178" s="234"/>
      <c r="R1178" s="234"/>
    </row>
    <row r="1179" spans="8:18" ht="15" customHeight="1" x14ac:dyDescent="0.3">
      <c r="H1179" s="234" t="s">
        <v>2558</v>
      </c>
      <c r="I1179" s="306" t="s">
        <v>2399</v>
      </c>
      <c r="J1179" s="234">
        <f t="shared" si="40"/>
        <v>1.003416742871394</v>
      </c>
      <c r="K1179" s="315">
        <f t="shared" si="41"/>
        <v>3.410919067326549E-3</v>
      </c>
      <c r="L1179" s="234"/>
      <c r="M1179" s="234"/>
      <c r="N1179" s="234"/>
      <c r="O1179" s="234"/>
      <c r="P1179" s="234"/>
      <c r="Q1179" s="234"/>
      <c r="R1179" s="234"/>
    </row>
    <row r="1180" spans="8:18" ht="15" customHeight="1" x14ac:dyDescent="0.3">
      <c r="H1180" s="234" t="s">
        <v>2559</v>
      </c>
      <c r="I1180" s="306" t="s">
        <v>2560</v>
      </c>
      <c r="J1180" s="234">
        <f t="shared" si="40"/>
        <v>1.0083153112374055</v>
      </c>
      <c r="K1180" s="315">
        <f t="shared" si="41"/>
        <v>8.2809295019820872E-3</v>
      </c>
      <c r="L1180" s="234"/>
      <c r="M1180" s="234"/>
      <c r="N1180" s="234"/>
      <c r="O1180" s="234"/>
      <c r="P1180" s="234"/>
      <c r="Q1180" s="234"/>
      <c r="R1180" s="234"/>
    </row>
    <row r="1181" spans="8:18" ht="15" customHeight="1" x14ac:dyDescent="0.3">
      <c r="H1181" s="234" t="s">
        <v>2561</v>
      </c>
      <c r="I1181" s="306" t="s">
        <v>2562</v>
      </c>
      <c r="J1181" s="234">
        <f t="shared" si="40"/>
        <v>1.0041158498093579</v>
      </c>
      <c r="K1181" s="315">
        <f t="shared" si="41"/>
        <v>4.1074028691572024E-3</v>
      </c>
      <c r="L1181" s="234"/>
      <c r="M1181" s="234"/>
      <c r="N1181" s="234"/>
      <c r="O1181" s="234"/>
      <c r="P1181" s="234"/>
      <c r="Q1181" s="234"/>
      <c r="R1181" s="234"/>
    </row>
    <row r="1182" spans="8:18" ht="15" customHeight="1" x14ac:dyDescent="0.3">
      <c r="H1182" s="234" t="s">
        <v>2563</v>
      </c>
      <c r="I1182" s="306" t="s">
        <v>2564</v>
      </c>
      <c r="J1182" s="234">
        <f t="shared" si="40"/>
        <v>1.0097568438140081</v>
      </c>
      <c r="K1182" s="315">
        <f t="shared" si="41"/>
        <v>9.7095531695460639E-3</v>
      </c>
      <c r="L1182" s="234"/>
      <c r="M1182" s="234"/>
      <c r="N1182" s="234"/>
      <c r="O1182" s="234"/>
      <c r="P1182" s="234"/>
      <c r="Q1182" s="234"/>
      <c r="R1182" s="234"/>
    </row>
    <row r="1183" spans="8:18" ht="15" customHeight="1" x14ac:dyDescent="0.3">
      <c r="H1183" s="234" t="s">
        <v>2565</v>
      </c>
      <c r="I1183" s="306" t="s">
        <v>2566</v>
      </c>
      <c r="J1183" s="234">
        <f t="shared" si="40"/>
        <v>0.99448919391782808</v>
      </c>
      <c r="K1183" s="315">
        <f t="shared" si="41"/>
        <v>-5.5260465914595278E-3</v>
      </c>
      <c r="L1183" s="234"/>
      <c r="M1183" s="234"/>
      <c r="N1183" s="234"/>
      <c r="O1183" s="234"/>
      <c r="P1183" s="234"/>
      <c r="Q1183" s="234"/>
      <c r="R1183" s="234"/>
    </row>
    <row r="1184" spans="8:18" ht="15" customHeight="1" x14ac:dyDescent="0.3">
      <c r="H1184" s="234" t="s">
        <v>2567</v>
      </c>
      <c r="I1184" s="306" t="s">
        <v>2568</v>
      </c>
      <c r="J1184" s="234">
        <f t="shared" si="40"/>
        <v>1.0058576480990273</v>
      </c>
      <c r="K1184" s="315">
        <f t="shared" si="41"/>
        <v>5.8405587813992379E-3</v>
      </c>
      <c r="L1184" s="234"/>
      <c r="M1184" s="234"/>
      <c r="N1184" s="234"/>
      <c r="O1184" s="234"/>
      <c r="P1184" s="234"/>
      <c r="Q1184" s="234"/>
      <c r="R1184" s="234"/>
    </row>
    <row r="1185" spans="8:18" ht="15" customHeight="1" x14ac:dyDescent="0.3">
      <c r="H1185" s="234" t="s">
        <v>2569</v>
      </c>
      <c r="I1185" s="306" t="s">
        <v>2570</v>
      </c>
      <c r="J1185" s="234">
        <f t="shared" si="40"/>
        <v>1.0010638388411817</v>
      </c>
      <c r="K1185" s="315">
        <f t="shared" si="41"/>
        <v>1.0632733656560111E-3</v>
      </c>
      <c r="L1185" s="234"/>
      <c r="M1185" s="234"/>
      <c r="N1185" s="234"/>
      <c r="O1185" s="234"/>
      <c r="P1185" s="234"/>
      <c r="Q1185" s="234"/>
      <c r="R1185" s="234"/>
    </row>
    <row r="1186" spans="8:18" ht="15" customHeight="1" x14ac:dyDescent="0.3">
      <c r="H1186" s="234" t="s">
        <v>2571</v>
      </c>
      <c r="I1186" s="306" t="s">
        <v>2572</v>
      </c>
      <c r="J1186" s="234">
        <f t="shared" si="40"/>
        <v>0.99982981475335908</v>
      </c>
      <c r="K1186" s="315">
        <f t="shared" si="41"/>
        <v>-1.7019972979324225E-4</v>
      </c>
      <c r="L1186" s="234"/>
      <c r="M1186" s="234"/>
      <c r="N1186" s="234"/>
      <c r="O1186" s="234"/>
      <c r="P1186" s="234"/>
      <c r="Q1186" s="234"/>
      <c r="R1186" s="234"/>
    </row>
    <row r="1187" spans="8:18" ht="15" customHeight="1" x14ac:dyDescent="0.3">
      <c r="H1187" s="234" t="s">
        <v>2573</v>
      </c>
      <c r="I1187" s="306" t="s">
        <v>2574</v>
      </c>
      <c r="J1187" s="234">
        <f t="shared" si="40"/>
        <v>1.0195814752476966</v>
      </c>
      <c r="K1187" s="315">
        <f t="shared" si="41"/>
        <v>1.9392224707945844E-2</v>
      </c>
      <c r="L1187" s="234"/>
      <c r="M1187" s="234"/>
      <c r="N1187" s="234"/>
      <c r="O1187" s="234"/>
      <c r="P1187" s="234"/>
      <c r="Q1187" s="234"/>
      <c r="R1187" s="234"/>
    </row>
    <row r="1188" spans="8:18" ht="15" customHeight="1" x14ac:dyDescent="0.3">
      <c r="H1188" s="234" t="s">
        <v>2575</v>
      </c>
      <c r="I1188" s="306" t="s">
        <v>2576</v>
      </c>
      <c r="J1188" s="234">
        <f t="shared" si="40"/>
        <v>0.98815198381399816</v>
      </c>
      <c r="K1188" s="315">
        <f t="shared" si="41"/>
        <v>-1.1918763293602053E-2</v>
      </c>
      <c r="L1188" s="234"/>
      <c r="M1188" s="234"/>
      <c r="N1188" s="234"/>
      <c r="O1188" s="234"/>
      <c r="P1188" s="234"/>
      <c r="Q1188" s="234"/>
      <c r="R1188" s="234"/>
    </row>
    <row r="1189" spans="8:18" ht="15" customHeight="1" x14ac:dyDescent="0.3">
      <c r="H1189" s="234" t="s">
        <v>2577</v>
      </c>
      <c r="I1189" s="306" t="s">
        <v>2578</v>
      </c>
      <c r="J1189" s="234">
        <f t="shared" si="40"/>
        <v>0.99823705605477109</v>
      </c>
      <c r="K1189" s="315">
        <f t="shared" si="41"/>
        <v>-1.7644997597172974E-3</v>
      </c>
      <c r="L1189" s="234"/>
      <c r="M1189" s="234"/>
      <c r="N1189" s="234"/>
      <c r="O1189" s="234"/>
      <c r="P1189" s="234"/>
      <c r="Q1189" s="234"/>
      <c r="R1189" s="234"/>
    </row>
    <row r="1190" spans="8:18" ht="15" customHeight="1" x14ac:dyDescent="0.3">
      <c r="H1190" s="234" t="s">
        <v>2579</v>
      </c>
      <c r="I1190" s="306" t="s">
        <v>2580</v>
      </c>
      <c r="J1190" s="234">
        <f t="shared" si="40"/>
        <v>1.0124421647287158</v>
      </c>
      <c r="K1190" s="315">
        <f t="shared" si="41"/>
        <v>1.2365397111486815E-2</v>
      </c>
      <c r="L1190" s="234"/>
      <c r="M1190" s="234"/>
      <c r="N1190" s="234"/>
      <c r="O1190" s="234"/>
      <c r="P1190" s="234"/>
      <c r="Q1190" s="234"/>
      <c r="R1190" s="234"/>
    </row>
    <row r="1191" spans="8:18" ht="15" customHeight="1" x14ac:dyDescent="0.3">
      <c r="H1191" s="234" t="s">
        <v>2581</v>
      </c>
      <c r="I1191" s="306" t="s">
        <v>2582</v>
      </c>
      <c r="J1191" s="234">
        <f t="shared" si="40"/>
        <v>1.0055586533770127</v>
      </c>
      <c r="K1191" s="315">
        <f t="shared" si="41"/>
        <v>5.5432610772914422E-3</v>
      </c>
      <c r="L1191" s="234"/>
      <c r="M1191" s="234"/>
      <c r="N1191" s="234"/>
      <c r="O1191" s="234"/>
      <c r="P1191" s="234"/>
      <c r="Q1191" s="234"/>
      <c r="R1191" s="234"/>
    </row>
    <row r="1192" spans="8:18" ht="15" customHeight="1" x14ac:dyDescent="0.3">
      <c r="H1192" s="234" t="s">
        <v>2583</v>
      </c>
      <c r="I1192" s="306" t="s">
        <v>2584</v>
      </c>
      <c r="J1192" s="234">
        <f t="shared" si="40"/>
        <v>1.0090197802197802</v>
      </c>
      <c r="K1192" s="315">
        <f t="shared" si="41"/>
        <v>8.9793449650290551E-3</v>
      </c>
      <c r="L1192" s="234"/>
      <c r="M1192" s="234"/>
      <c r="N1192" s="234"/>
      <c r="O1192" s="234"/>
      <c r="P1192" s="234"/>
      <c r="Q1192" s="234"/>
      <c r="R1192" s="234"/>
    </row>
    <row r="1193" spans="8:18" ht="15" customHeight="1" x14ac:dyDescent="0.3">
      <c r="H1193" s="234" t="s">
        <v>2585</v>
      </c>
      <c r="I1193" s="306" t="s">
        <v>2586</v>
      </c>
      <c r="J1193" s="234">
        <f t="shared" si="40"/>
        <v>1.0150359166555125</v>
      </c>
      <c r="K1193" s="315">
        <f t="shared" si="41"/>
        <v>1.4923997735185631E-2</v>
      </c>
      <c r="L1193" s="234"/>
      <c r="M1193" s="234"/>
      <c r="N1193" s="234"/>
      <c r="O1193" s="234"/>
      <c r="P1193" s="234"/>
      <c r="Q1193" s="234"/>
      <c r="R1193" s="234"/>
    </row>
    <row r="1194" spans="8:18" ht="15" customHeight="1" x14ac:dyDescent="0.3">
      <c r="H1194" s="234" t="s">
        <v>2587</v>
      </c>
      <c r="I1194" s="306" t="s">
        <v>2588</v>
      </c>
      <c r="J1194" s="234">
        <f t="shared" si="40"/>
        <v>0.98934423334981281</v>
      </c>
      <c r="K1194" s="315">
        <f t="shared" si="41"/>
        <v>-1.0712945886795507E-2</v>
      </c>
      <c r="L1194" s="234"/>
      <c r="M1194" s="234"/>
      <c r="N1194" s="234"/>
      <c r="O1194" s="234"/>
      <c r="P1194" s="234"/>
      <c r="Q1194" s="234"/>
      <c r="R1194" s="234"/>
    </row>
    <row r="1195" spans="8:18" ht="15" customHeight="1" x14ac:dyDescent="0.3">
      <c r="H1195" s="234" t="s">
        <v>2589</v>
      </c>
      <c r="I1195" s="306" t="s">
        <v>2590</v>
      </c>
      <c r="J1195" s="234">
        <f t="shared" si="40"/>
        <v>0.98517094723292487</v>
      </c>
      <c r="K1195" s="315">
        <f t="shared" si="41"/>
        <v>-1.4940102377913251E-2</v>
      </c>
      <c r="L1195" s="234"/>
      <c r="M1195" s="234"/>
      <c r="N1195" s="234"/>
      <c r="O1195" s="234"/>
      <c r="P1195" s="234"/>
      <c r="Q1195" s="234"/>
      <c r="R1195" s="234"/>
    </row>
    <row r="1196" spans="8:18" ht="15" customHeight="1" x14ac:dyDescent="0.3">
      <c r="H1196" s="234" t="s">
        <v>2591</v>
      </c>
      <c r="I1196" s="306" t="s">
        <v>2592</v>
      </c>
      <c r="J1196" s="234">
        <f t="shared" si="40"/>
        <v>0.98928774242398165</v>
      </c>
      <c r="K1196" s="315">
        <f t="shared" si="41"/>
        <v>-1.0770046880348803E-2</v>
      </c>
      <c r="L1196" s="234"/>
      <c r="M1196" s="234"/>
      <c r="N1196" s="234"/>
      <c r="O1196" s="234"/>
      <c r="P1196" s="234"/>
      <c r="Q1196" s="234"/>
      <c r="R1196" s="234"/>
    </row>
    <row r="1197" spans="8:18" ht="15" customHeight="1" x14ac:dyDescent="0.3">
      <c r="H1197" s="234" t="s">
        <v>2593</v>
      </c>
      <c r="I1197" s="306" t="s">
        <v>2594</v>
      </c>
      <c r="J1197" s="234">
        <f t="shared" si="40"/>
        <v>1.0120605728118985</v>
      </c>
      <c r="K1197" s="315">
        <f t="shared" si="41"/>
        <v>1.1988423631273263E-2</v>
      </c>
      <c r="L1197" s="234"/>
      <c r="M1197" s="234"/>
      <c r="N1197" s="234"/>
      <c r="O1197" s="234"/>
      <c r="P1197" s="234"/>
      <c r="Q1197" s="234"/>
      <c r="R1197" s="234"/>
    </row>
    <row r="1198" spans="8:18" ht="15" customHeight="1" x14ac:dyDescent="0.3">
      <c r="H1198" s="234" t="s">
        <v>2595</v>
      </c>
      <c r="I1198" s="306" t="s">
        <v>2596</v>
      </c>
      <c r="J1198" s="234">
        <f t="shared" si="40"/>
        <v>0.98531089927841509</v>
      </c>
      <c r="K1198" s="315">
        <f t="shared" si="41"/>
        <v>-1.4798053826719209E-2</v>
      </c>
      <c r="L1198" s="234"/>
      <c r="M1198" s="234"/>
      <c r="N1198" s="234"/>
      <c r="O1198" s="234"/>
      <c r="P1198" s="234"/>
      <c r="Q1198" s="234"/>
      <c r="R1198" s="234"/>
    </row>
    <row r="1199" spans="8:18" ht="15" customHeight="1" x14ac:dyDescent="0.3">
      <c r="H1199" s="234" t="s">
        <v>2597</v>
      </c>
      <c r="I1199" s="306" t="s">
        <v>2598</v>
      </c>
      <c r="J1199" s="234">
        <f t="shared" si="40"/>
        <v>1.0221982493992177</v>
      </c>
      <c r="K1199" s="315">
        <f t="shared" si="41"/>
        <v>2.1955454769102045E-2</v>
      </c>
      <c r="L1199" s="234"/>
      <c r="M1199" s="234"/>
      <c r="N1199" s="234"/>
      <c r="O1199" s="234"/>
      <c r="P1199" s="234"/>
      <c r="Q1199" s="234"/>
      <c r="R1199" s="234"/>
    </row>
    <row r="1200" spans="8:18" ht="15" customHeight="1" x14ac:dyDescent="0.3">
      <c r="H1200" s="234" t="s">
        <v>2599</v>
      </c>
      <c r="I1200" s="306" t="s">
        <v>2600</v>
      </c>
      <c r="J1200" s="234">
        <f t="shared" si="40"/>
        <v>0.99279898994296656</v>
      </c>
      <c r="K1200" s="315">
        <f t="shared" si="41"/>
        <v>-7.2270624744423069E-3</v>
      </c>
      <c r="L1200" s="234"/>
      <c r="M1200" s="234"/>
      <c r="N1200" s="234"/>
      <c r="O1200" s="234"/>
      <c r="P1200" s="234"/>
      <c r="Q1200" s="234"/>
      <c r="R1200" s="234"/>
    </row>
    <row r="1201" spans="8:18" ht="15" customHeight="1" x14ac:dyDescent="0.3">
      <c r="H1201" s="234" t="s">
        <v>2601</v>
      </c>
      <c r="I1201" s="306" t="s">
        <v>2602</v>
      </c>
      <c r="J1201" s="234">
        <f t="shared" si="40"/>
        <v>1.0065911142664317</v>
      </c>
      <c r="K1201" s="315">
        <f t="shared" si="41"/>
        <v>6.5694878489087278E-3</v>
      </c>
      <c r="L1201" s="234"/>
      <c r="M1201" s="234"/>
      <c r="N1201" s="234"/>
      <c r="O1201" s="234"/>
      <c r="P1201" s="234"/>
      <c r="Q1201" s="234"/>
      <c r="R1201" s="234"/>
    </row>
    <row r="1202" spans="8:18" ht="15" customHeight="1" x14ac:dyDescent="0.3">
      <c r="H1202" s="234" t="s">
        <v>2603</v>
      </c>
      <c r="I1202" s="306" t="s">
        <v>2604</v>
      </c>
      <c r="J1202" s="234">
        <f t="shared" si="40"/>
        <v>0.99225109580463366</v>
      </c>
      <c r="K1202" s="315">
        <f t="shared" si="41"/>
        <v>-7.7790829561216988E-3</v>
      </c>
      <c r="L1202" s="234"/>
      <c r="M1202" s="234"/>
      <c r="N1202" s="234"/>
      <c r="O1202" s="234"/>
      <c r="P1202" s="234"/>
      <c r="Q1202" s="234"/>
      <c r="R1202" s="234"/>
    </row>
    <row r="1203" spans="8:18" ht="15" customHeight="1" x14ac:dyDescent="0.3">
      <c r="H1203" s="234" t="s">
        <v>2605</v>
      </c>
      <c r="I1203" s="306" t="s">
        <v>2606</v>
      </c>
      <c r="J1203" s="234">
        <f t="shared" si="40"/>
        <v>1.019524392190243</v>
      </c>
      <c r="K1203" s="315">
        <f t="shared" si="41"/>
        <v>1.9336236386417262E-2</v>
      </c>
      <c r="L1203" s="234"/>
      <c r="M1203" s="234"/>
      <c r="N1203" s="234"/>
      <c r="O1203" s="234"/>
      <c r="P1203" s="234"/>
      <c r="Q1203" s="234"/>
      <c r="R1203" s="234"/>
    </row>
    <row r="1204" spans="8:18" ht="15" customHeight="1" x14ac:dyDescent="0.3">
      <c r="H1204" s="234" t="s">
        <v>2607</v>
      </c>
      <c r="I1204" s="306" t="s">
        <v>2608</v>
      </c>
      <c r="J1204" s="234">
        <f t="shared" si="40"/>
        <v>1.0130332072827875</v>
      </c>
      <c r="K1204" s="315">
        <f t="shared" si="41"/>
        <v>1.2949005857378756E-2</v>
      </c>
      <c r="L1204" s="234"/>
      <c r="M1204" s="234"/>
      <c r="N1204" s="234"/>
      <c r="O1204" s="234"/>
      <c r="P1204" s="234"/>
      <c r="Q1204" s="234"/>
      <c r="R1204" s="234"/>
    </row>
    <row r="1205" spans="8:18" ht="15" customHeight="1" x14ac:dyDescent="0.3">
      <c r="H1205" s="234" t="s">
        <v>2609</v>
      </c>
      <c r="I1205" s="306" t="s">
        <v>2610</v>
      </c>
      <c r="J1205" s="234">
        <f t="shared" si="40"/>
        <v>1.0065092983518817</v>
      </c>
      <c r="K1205" s="315">
        <f t="shared" si="41"/>
        <v>6.4882043579490749E-3</v>
      </c>
      <c r="L1205" s="234"/>
      <c r="M1205" s="234"/>
      <c r="N1205" s="234"/>
      <c r="O1205" s="234"/>
      <c r="P1205" s="234"/>
      <c r="Q1205" s="234"/>
      <c r="R1205" s="234"/>
    </row>
    <row r="1206" spans="8:18" ht="15" customHeight="1" x14ac:dyDescent="0.3">
      <c r="H1206" s="234" t="s">
        <v>2611</v>
      </c>
      <c r="I1206" s="306" t="s">
        <v>2612</v>
      </c>
      <c r="J1206" s="234">
        <f t="shared" si="40"/>
        <v>0.96014826131490771</v>
      </c>
      <c r="K1206" s="315">
        <f t="shared" si="41"/>
        <v>-4.0667567575014114E-2</v>
      </c>
      <c r="L1206" s="234"/>
      <c r="M1206" s="234"/>
      <c r="N1206" s="234"/>
      <c r="O1206" s="234"/>
      <c r="P1206" s="234"/>
      <c r="Q1206" s="234"/>
      <c r="R1206" s="234"/>
    </row>
    <row r="1207" spans="8:18" ht="15" customHeight="1" x14ac:dyDescent="0.3">
      <c r="H1207" s="234" t="s">
        <v>2613</v>
      </c>
      <c r="I1207" s="306" t="s">
        <v>2614</v>
      </c>
      <c r="J1207" s="234">
        <f t="shared" si="40"/>
        <v>1.0222912414588694</v>
      </c>
      <c r="K1207" s="315">
        <f t="shared" si="41"/>
        <v>2.2046423257941615E-2</v>
      </c>
      <c r="L1207" s="234"/>
      <c r="M1207" s="234"/>
      <c r="N1207" s="234"/>
      <c r="O1207" s="234"/>
      <c r="P1207" s="234"/>
      <c r="Q1207" s="234"/>
      <c r="R1207" s="234"/>
    </row>
    <row r="1208" spans="8:18" ht="15" customHeight="1" x14ac:dyDescent="0.3">
      <c r="H1208" s="234" t="s">
        <v>2615</v>
      </c>
      <c r="I1208" s="306" t="s">
        <v>2616</v>
      </c>
      <c r="J1208" s="234">
        <f t="shared" si="40"/>
        <v>1.0134813069403099</v>
      </c>
      <c r="K1208" s="315">
        <f t="shared" si="41"/>
        <v>1.3391242675008734E-2</v>
      </c>
      <c r="L1208" s="234"/>
      <c r="M1208" s="234"/>
      <c r="N1208" s="234"/>
      <c r="O1208" s="234"/>
      <c r="P1208" s="234"/>
      <c r="Q1208" s="234"/>
      <c r="R1208" s="234"/>
    </row>
    <row r="1209" spans="8:18" ht="15" customHeight="1" x14ac:dyDescent="0.3">
      <c r="H1209" s="234" t="s">
        <v>2617</v>
      </c>
      <c r="I1209" s="306" t="s">
        <v>2618</v>
      </c>
      <c r="J1209" s="234">
        <f t="shared" si="40"/>
        <v>0.99696939809376939</v>
      </c>
      <c r="K1209" s="315">
        <f t="shared" si="41"/>
        <v>-3.0352034795640146E-3</v>
      </c>
      <c r="L1209" s="234"/>
      <c r="M1209" s="234"/>
      <c r="N1209" s="234"/>
      <c r="O1209" s="234"/>
      <c r="P1209" s="234"/>
      <c r="Q1209" s="234"/>
      <c r="R1209" s="234"/>
    </row>
    <row r="1210" spans="8:18" ht="15" customHeight="1" x14ac:dyDescent="0.3">
      <c r="H1210" s="234" t="s">
        <v>2619</v>
      </c>
      <c r="I1210" s="306" t="s">
        <v>2620</v>
      </c>
      <c r="J1210" s="234">
        <f t="shared" si="40"/>
        <v>1.0108857225726924</v>
      </c>
      <c r="K1210" s="315">
        <f t="shared" si="41"/>
        <v>1.0826899596776768E-2</v>
      </c>
      <c r="L1210" s="234"/>
      <c r="M1210" s="234"/>
      <c r="N1210" s="234"/>
      <c r="O1210" s="234"/>
      <c r="P1210" s="234"/>
      <c r="Q1210" s="234"/>
      <c r="R1210" s="234"/>
    </row>
    <row r="1211" spans="8:18" ht="15" customHeight="1" x14ac:dyDescent="0.3">
      <c r="H1211" s="234" t="s">
        <v>2621</v>
      </c>
      <c r="I1211" s="306" t="s">
        <v>2622</v>
      </c>
      <c r="J1211" s="234">
        <f t="shared" si="40"/>
        <v>1.0026536769784433</v>
      </c>
      <c r="K1211" s="315">
        <f t="shared" si="41"/>
        <v>2.6501621943849341E-3</v>
      </c>
      <c r="L1211" s="234"/>
      <c r="M1211" s="234"/>
      <c r="N1211" s="234"/>
      <c r="O1211" s="234"/>
      <c r="P1211" s="234"/>
      <c r="Q1211" s="234"/>
      <c r="R1211" s="234"/>
    </row>
    <row r="1212" spans="8:18" ht="15" customHeight="1" x14ac:dyDescent="0.3">
      <c r="H1212" s="234" t="s">
        <v>2623</v>
      </c>
      <c r="I1212" s="306" t="s">
        <v>2624</v>
      </c>
      <c r="J1212" s="234">
        <f t="shared" si="40"/>
        <v>0.98018884731872435</v>
      </c>
      <c r="K1212" s="315">
        <f t="shared" si="41"/>
        <v>-2.0010024536401758E-2</v>
      </c>
      <c r="L1212" s="234"/>
      <c r="M1212" s="234"/>
      <c r="N1212" s="234"/>
      <c r="O1212" s="234"/>
      <c r="P1212" s="234"/>
      <c r="Q1212" s="234"/>
      <c r="R1212" s="234"/>
    </row>
    <row r="1213" spans="8:18" ht="15" customHeight="1" x14ac:dyDescent="0.3">
      <c r="H1213" s="234" t="s">
        <v>2625</v>
      </c>
      <c r="I1213" s="306" t="s">
        <v>2626</v>
      </c>
      <c r="J1213" s="234">
        <f t="shared" si="40"/>
        <v>0.97053636269322541</v>
      </c>
      <c r="K1213" s="315">
        <f t="shared" si="41"/>
        <v>-2.9906409075778191E-2</v>
      </c>
      <c r="L1213" s="234"/>
      <c r="M1213" s="234"/>
      <c r="N1213" s="234"/>
      <c r="O1213" s="234"/>
      <c r="P1213" s="234"/>
      <c r="Q1213" s="234"/>
      <c r="R1213" s="234"/>
    </row>
    <row r="1214" spans="8:18" ht="15" customHeight="1" x14ac:dyDescent="0.3">
      <c r="H1214" s="234" t="s">
        <v>2627</v>
      </c>
      <c r="I1214" s="306" t="s">
        <v>2628</v>
      </c>
      <c r="J1214" s="234">
        <f t="shared" si="40"/>
        <v>1.0038098048234385</v>
      </c>
      <c r="K1214" s="315">
        <f t="shared" si="41"/>
        <v>3.8025658971476278E-3</v>
      </c>
      <c r="L1214" s="234"/>
      <c r="M1214" s="234"/>
      <c r="N1214" s="234"/>
      <c r="O1214" s="234"/>
      <c r="P1214" s="234"/>
      <c r="Q1214" s="234"/>
      <c r="R1214" s="234"/>
    </row>
    <row r="1215" spans="8:18" ht="15" customHeight="1" x14ac:dyDescent="0.3">
      <c r="H1215" s="234" t="s">
        <v>2629</v>
      </c>
      <c r="I1215" s="306" t="s">
        <v>2630</v>
      </c>
      <c r="J1215" s="234">
        <f t="shared" si="40"/>
        <v>1.0226578863289431</v>
      </c>
      <c r="K1215" s="315">
        <f t="shared" si="41"/>
        <v>2.2405009072151084E-2</v>
      </c>
      <c r="L1215" s="234"/>
      <c r="M1215" s="234"/>
      <c r="N1215" s="234"/>
      <c r="O1215" s="234"/>
      <c r="P1215" s="234"/>
      <c r="Q1215" s="234"/>
      <c r="R1215" s="234"/>
    </row>
    <row r="1216" spans="8:18" ht="15" customHeight="1" x14ac:dyDescent="0.3">
      <c r="H1216" s="234" t="s">
        <v>2631</v>
      </c>
      <c r="I1216" s="306" t="s">
        <v>2632</v>
      </c>
      <c r="J1216" s="234">
        <f t="shared" si="40"/>
        <v>0.95175186674325096</v>
      </c>
      <c r="K1216" s="315">
        <f t="shared" si="41"/>
        <v>-4.9450922341626173E-2</v>
      </c>
      <c r="L1216" s="234"/>
      <c r="M1216" s="234"/>
      <c r="N1216" s="234"/>
      <c r="O1216" s="234"/>
      <c r="P1216" s="234"/>
      <c r="Q1216" s="234"/>
      <c r="R1216" s="234"/>
    </row>
    <row r="1217" spans="8:18" ht="15" customHeight="1" x14ac:dyDescent="0.3">
      <c r="H1217" s="234" t="s">
        <v>2633</v>
      </c>
      <c r="I1217" s="306" t="s">
        <v>1471</v>
      </c>
      <c r="J1217" s="234">
        <f t="shared" si="40"/>
        <v>0.99319625164640646</v>
      </c>
      <c r="K1217" s="315">
        <f t="shared" si="41"/>
        <v>-6.8269993721556477E-3</v>
      </c>
      <c r="L1217" s="234"/>
      <c r="M1217" s="234"/>
      <c r="N1217" s="234"/>
      <c r="O1217" s="234"/>
      <c r="P1217" s="234"/>
      <c r="Q1217" s="234"/>
      <c r="R1217" s="234"/>
    </row>
    <row r="1218" spans="8:18" ht="15" customHeight="1" x14ac:dyDescent="0.3">
      <c r="H1218" s="234" t="s">
        <v>2634</v>
      </c>
      <c r="I1218" s="306" t="s">
        <v>2635</v>
      </c>
      <c r="J1218" s="234">
        <f t="shared" si="40"/>
        <v>0.99034570998911609</v>
      </c>
      <c r="K1218" s="315">
        <f t="shared" si="41"/>
        <v>-9.7011948011244721E-3</v>
      </c>
      <c r="L1218" s="234"/>
      <c r="M1218" s="234"/>
      <c r="N1218" s="234"/>
      <c r="O1218" s="234"/>
      <c r="P1218" s="234"/>
      <c r="Q1218" s="234"/>
      <c r="R1218" s="234"/>
    </row>
    <row r="1219" spans="8:18" ht="15" customHeight="1" x14ac:dyDescent="0.3">
      <c r="H1219" s="234" t="s">
        <v>2636</v>
      </c>
      <c r="I1219" s="306" t="s">
        <v>2637</v>
      </c>
      <c r="J1219" s="234">
        <f t="shared" si="40"/>
        <v>1.0078713124157392</v>
      </c>
      <c r="K1219" s="315">
        <f t="shared" si="41"/>
        <v>7.8404952449200316E-3</v>
      </c>
      <c r="L1219" s="234"/>
      <c r="M1219" s="234"/>
      <c r="N1219" s="234"/>
      <c r="O1219" s="234"/>
      <c r="P1219" s="234"/>
      <c r="Q1219" s="234"/>
      <c r="R1219" s="234"/>
    </row>
    <row r="1220" spans="8:18" ht="15" customHeight="1" x14ac:dyDescent="0.3">
      <c r="H1220" s="234" t="s">
        <v>2638</v>
      </c>
      <c r="I1220" s="306" t="s">
        <v>2639</v>
      </c>
      <c r="J1220" s="234">
        <f t="shared" si="40"/>
        <v>1.0010142497904442</v>
      </c>
      <c r="K1220" s="315">
        <f t="shared" si="41"/>
        <v>1.0137357866482712E-3</v>
      </c>
      <c r="L1220" s="234"/>
      <c r="M1220" s="234"/>
      <c r="N1220" s="234"/>
      <c r="O1220" s="234"/>
      <c r="P1220" s="234"/>
      <c r="Q1220" s="234"/>
      <c r="R1220" s="234"/>
    </row>
    <row r="1221" spans="8:18" ht="15" customHeight="1" x14ac:dyDescent="0.3">
      <c r="H1221" s="234" t="s">
        <v>2640</v>
      </c>
      <c r="I1221" s="306" t="s">
        <v>2641</v>
      </c>
      <c r="J1221" s="234">
        <f t="shared" ref="J1221:J1284" si="42">I1221/I1222</f>
        <v>1.0072610604525498</v>
      </c>
      <c r="K1221" s="315">
        <f t="shared" ref="K1221:K1284" si="43">LN(J1221)</f>
        <v>7.2348258704799063E-3</v>
      </c>
      <c r="L1221" s="234"/>
      <c r="M1221" s="234"/>
      <c r="N1221" s="234"/>
      <c r="O1221" s="234"/>
      <c r="P1221" s="234"/>
      <c r="Q1221" s="234"/>
      <c r="R1221" s="234"/>
    </row>
    <row r="1222" spans="8:18" ht="15" customHeight="1" x14ac:dyDescent="0.3">
      <c r="H1222" s="234" t="s">
        <v>2642</v>
      </c>
      <c r="I1222" s="306" t="s">
        <v>2643</v>
      </c>
      <c r="J1222" s="234">
        <f t="shared" si="42"/>
        <v>0.99136199276818004</v>
      </c>
      <c r="K1222" s="315">
        <f t="shared" si="43"/>
        <v>-8.6755310599553031E-3</v>
      </c>
      <c r="L1222" s="234"/>
      <c r="M1222" s="234"/>
      <c r="N1222" s="234"/>
      <c r="O1222" s="234"/>
      <c r="P1222" s="234"/>
      <c r="Q1222" s="234"/>
      <c r="R1222" s="234"/>
    </row>
    <row r="1223" spans="8:18" ht="15" customHeight="1" x14ac:dyDescent="0.3">
      <c r="H1223" s="234" t="s">
        <v>2644</v>
      </c>
      <c r="I1223" s="306" t="s">
        <v>2645</v>
      </c>
      <c r="J1223" s="234">
        <f t="shared" si="42"/>
        <v>0.99812859243416652</v>
      </c>
      <c r="K1223" s="315">
        <f t="shared" si="43"/>
        <v>-1.8731608367032583E-3</v>
      </c>
      <c r="L1223" s="234"/>
      <c r="M1223" s="234"/>
      <c r="N1223" s="234"/>
      <c r="O1223" s="234"/>
      <c r="P1223" s="234"/>
      <c r="Q1223" s="234"/>
      <c r="R1223" s="234"/>
    </row>
    <row r="1224" spans="8:18" ht="15" customHeight="1" x14ac:dyDescent="0.3">
      <c r="H1224" s="234" t="s">
        <v>2646</v>
      </c>
      <c r="I1224" s="306" t="s">
        <v>2647</v>
      </c>
      <c r="J1224" s="234">
        <f t="shared" si="42"/>
        <v>0.99548399437786406</v>
      </c>
      <c r="K1224" s="315">
        <f t="shared" si="43"/>
        <v>-4.5262335801525728E-3</v>
      </c>
      <c r="L1224" s="234"/>
      <c r="M1224" s="234"/>
      <c r="N1224" s="234"/>
      <c r="O1224" s="234"/>
      <c r="P1224" s="234"/>
      <c r="Q1224" s="234"/>
      <c r="R1224" s="234"/>
    </row>
    <row r="1225" spans="8:18" ht="15" customHeight="1" x14ac:dyDescent="0.3">
      <c r="H1225" s="234" t="s">
        <v>2648</v>
      </c>
      <c r="I1225" s="306" t="s">
        <v>2649</v>
      </c>
      <c r="J1225" s="234">
        <f t="shared" si="42"/>
        <v>1.0082005014212525</v>
      </c>
      <c r="K1225" s="315">
        <f t="shared" si="43"/>
        <v>8.167060009309321E-3</v>
      </c>
      <c r="L1225" s="234"/>
      <c r="M1225" s="234"/>
      <c r="N1225" s="234"/>
      <c r="O1225" s="234"/>
      <c r="P1225" s="234"/>
      <c r="Q1225" s="234"/>
      <c r="R1225" s="234"/>
    </row>
    <row r="1226" spans="8:18" ht="15" customHeight="1" x14ac:dyDescent="0.3">
      <c r="H1226" s="234" t="s">
        <v>2650</v>
      </c>
      <c r="I1226" s="306" t="s">
        <v>2651</v>
      </c>
      <c r="J1226" s="234">
        <f t="shared" si="42"/>
        <v>0.99609949218227989</v>
      </c>
      <c r="K1226" s="315">
        <f t="shared" si="43"/>
        <v>-3.9081346371103816E-3</v>
      </c>
      <c r="L1226" s="234"/>
      <c r="M1226" s="234"/>
      <c r="N1226" s="234"/>
      <c r="O1226" s="234"/>
      <c r="P1226" s="234"/>
      <c r="Q1226" s="234"/>
      <c r="R1226" s="234"/>
    </row>
    <row r="1227" spans="8:18" ht="15" customHeight="1" x14ac:dyDescent="0.3">
      <c r="H1227" s="234" t="s">
        <v>2652</v>
      </c>
      <c r="I1227" s="306" t="s">
        <v>2653</v>
      </c>
      <c r="J1227" s="234">
        <f t="shared" si="42"/>
        <v>1.0126273945955089</v>
      </c>
      <c r="K1227" s="315">
        <f t="shared" si="43"/>
        <v>1.2548333906380339E-2</v>
      </c>
      <c r="L1227" s="234"/>
      <c r="M1227" s="234"/>
      <c r="N1227" s="234"/>
      <c r="O1227" s="234"/>
      <c r="P1227" s="234"/>
      <c r="Q1227" s="234"/>
      <c r="R1227" s="234"/>
    </row>
    <row r="1228" spans="8:18" ht="15" customHeight="1" x14ac:dyDescent="0.3">
      <c r="H1228" s="234" t="s">
        <v>2654</v>
      </c>
      <c r="I1228" s="306" t="s">
        <v>2655</v>
      </c>
      <c r="J1228" s="234">
        <f t="shared" si="42"/>
        <v>1.0060840707964602</v>
      </c>
      <c r="K1228" s="315">
        <f t="shared" si="43"/>
        <v>6.0656375660004978E-3</v>
      </c>
      <c r="L1228" s="234"/>
      <c r="M1228" s="234"/>
      <c r="N1228" s="234"/>
      <c r="O1228" s="234"/>
      <c r="P1228" s="234"/>
      <c r="Q1228" s="234"/>
      <c r="R1228" s="234"/>
    </row>
    <row r="1229" spans="8:18" ht="15" customHeight="1" x14ac:dyDescent="0.3">
      <c r="H1229" s="234" t="s">
        <v>2656</v>
      </c>
      <c r="I1229" s="306" t="s">
        <v>2657</v>
      </c>
      <c r="J1229" s="234">
        <f t="shared" si="42"/>
        <v>1.0210872946226095</v>
      </c>
      <c r="K1229" s="315">
        <f t="shared" si="43"/>
        <v>2.0868034668341029E-2</v>
      </c>
      <c r="L1229" s="234"/>
      <c r="M1229" s="234"/>
      <c r="N1229" s="234"/>
      <c r="O1229" s="234"/>
      <c r="P1229" s="234"/>
      <c r="Q1229" s="234"/>
      <c r="R1229" s="234"/>
    </row>
    <row r="1230" spans="8:18" ht="15" customHeight="1" x14ac:dyDescent="0.3">
      <c r="H1230" s="234" t="s">
        <v>2658</v>
      </c>
      <c r="I1230" s="306" t="s">
        <v>2659</v>
      </c>
      <c r="J1230" s="234">
        <f t="shared" si="42"/>
        <v>0.96814434724091525</v>
      </c>
      <c r="K1230" s="315">
        <f t="shared" si="43"/>
        <v>-3.2374083772168202E-2</v>
      </c>
      <c r="L1230" s="234"/>
      <c r="M1230" s="234"/>
      <c r="N1230" s="234"/>
      <c r="O1230" s="234"/>
      <c r="P1230" s="234"/>
      <c r="Q1230" s="234"/>
      <c r="R1230" s="234"/>
    </row>
    <row r="1231" spans="8:18" ht="15" customHeight="1" x14ac:dyDescent="0.3">
      <c r="H1231" s="234" t="s">
        <v>2660</v>
      </c>
      <c r="I1231" s="306" t="s">
        <v>2661</v>
      </c>
      <c r="J1231" s="234">
        <f t="shared" si="42"/>
        <v>1.0258711447852125</v>
      </c>
      <c r="K1231" s="315">
        <f t="shared" si="43"/>
        <v>2.5542148983548143E-2</v>
      </c>
      <c r="L1231" s="234"/>
      <c r="M1231" s="234"/>
      <c r="N1231" s="234"/>
      <c r="O1231" s="234"/>
      <c r="P1231" s="234"/>
      <c r="Q1231" s="234"/>
      <c r="R1231" s="234"/>
    </row>
    <row r="1232" spans="8:18" ht="15" customHeight="1" x14ac:dyDescent="0.3">
      <c r="H1232" s="234" t="s">
        <v>2662</v>
      </c>
      <c r="I1232" s="306" t="s">
        <v>2663</v>
      </c>
      <c r="J1232" s="234">
        <f t="shared" si="42"/>
        <v>0.99501129113967524</v>
      </c>
      <c r="K1232" s="315">
        <f t="shared" si="43"/>
        <v>-5.001194008860386E-3</v>
      </c>
      <c r="L1232" s="234"/>
      <c r="M1232" s="234"/>
      <c r="N1232" s="234"/>
      <c r="O1232" s="234"/>
      <c r="P1232" s="234"/>
      <c r="Q1232" s="234"/>
      <c r="R1232" s="234"/>
    </row>
    <row r="1233" spans="8:18" ht="15" customHeight="1" x14ac:dyDescent="0.3">
      <c r="H1233" s="234" t="s">
        <v>2664</v>
      </c>
      <c r="I1233" s="306" t="s">
        <v>2665</v>
      </c>
      <c r="J1233" s="234">
        <f t="shared" si="42"/>
        <v>0.99217931351751987</v>
      </c>
      <c r="K1233" s="315">
        <f t="shared" si="43"/>
        <v>-7.851428438037213E-3</v>
      </c>
      <c r="L1233" s="234"/>
      <c r="M1233" s="234"/>
      <c r="N1233" s="234"/>
      <c r="O1233" s="234"/>
      <c r="P1233" s="234"/>
      <c r="Q1233" s="234"/>
      <c r="R1233" s="234"/>
    </row>
    <row r="1234" spans="8:18" ht="15" customHeight="1" x14ac:dyDescent="0.3">
      <c r="H1234" s="234" t="s">
        <v>2666</v>
      </c>
      <c r="I1234" s="306" t="s">
        <v>2667</v>
      </c>
      <c r="J1234" s="234">
        <f t="shared" si="42"/>
        <v>0.99208066397335992</v>
      </c>
      <c r="K1234" s="315">
        <f t="shared" si="43"/>
        <v>-7.9508605138340193E-3</v>
      </c>
      <c r="L1234" s="234"/>
      <c r="M1234" s="234"/>
      <c r="N1234" s="234"/>
      <c r="O1234" s="234"/>
      <c r="P1234" s="234"/>
      <c r="Q1234" s="234"/>
      <c r="R1234" s="234"/>
    </row>
    <row r="1235" spans="8:18" ht="15" customHeight="1" x14ac:dyDescent="0.3">
      <c r="H1235" s="234" t="s">
        <v>2668</v>
      </c>
      <c r="I1235" s="306" t="s">
        <v>2669</v>
      </c>
      <c r="J1235" s="234">
        <f t="shared" si="42"/>
        <v>0.98904938643127027</v>
      </c>
      <c r="K1235" s="315">
        <f t="shared" si="43"/>
        <v>-1.1011012881934833E-2</v>
      </c>
      <c r="L1235" s="234"/>
      <c r="M1235" s="234"/>
      <c r="N1235" s="234"/>
      <c r="O1235" s="234"/>
      <c r="P1235" s="234"/>
      <c r="Q1235" s="234"/>
      <c r="R1235" s="234"/>
    </row>
    <row r="1236" spans="8:18" ht="15" customHeight="1" x14ac:dyDescent="0.3">
      <c r="H1236" s="234" t="s">
        <v>2670</v>
      </c>
      <c r="I1236" s="306" t="s">
        <v>2671</v>
      </c>
      <c r="J1236" s="234">
        <f t="shared" si="42"/>
        <v>0.99157852856337658</v>
      </c>
      <c r="K1236" s="315">
        <f t="shared" si="43"/>
        <v>-8.4571323800878648E-3</v>
      </c>
      <c r="L1236" s="234"/>
      <c r="M1236" s="234"/>
      <c r="N1236" s="234"/>
      <c r="O1236" s="234"/>
      <c r="P1236" s="234"/>
      <c r="Q1236" s="234"/>
      <c r="R1236" s="234"/>
    </row>
    <row r="1237" spans="8:18" ht="15" customHeight="1" x14ac:dyDescent="0.3">
      <c r="H1237" s="234" t="s">
        <v>2672</v>
      </c>
      <c r="I1237" s="306" t="s">
        <v>2673</v>
      </c>
      <c r="J1237" s="234">
        <f t="shared" si="42"/>
        <v>0.99500206185567008</v>
      </c>
      <c r="K1237" s="315">
        <f t="shared" si="43"/>
        <v>-5.0104696089374673E-3</v>
      </c>
      <c r="L1237" s="234"/>
      <c r="M1237" s="234"/>
      <c r="N1237" s="234"/>
      <c r="O1237" s="234"/>
      <c r="P1237" s="234"/>
      <c r="Q1237" s="234"/>
      <c r="R1237" s="234"/>
    </row>
    <row r="1238" spans="8:18" ht="15" customHeight="1" x14ac:dyDescent="0.3">
      <c r="H1238" s="234" t="s">
        <v>2674</v>
      </c>
      <c r="I1238" s="306" t="s">
        <v>2675</v>
      </c>
      <c r="J1238" s="234">
        <f t="shared" si="42"/>
        <v>1.0074698174506236</v>
      </c>
      <c r="K1238" s="315">
        <f t="shared" si="43"/>
        <v>7.4420565245691623E-3</v>
      </c>
      <c r="L1238" s="234"/>
      <c r="M1238" s="234"/>
      <c r="N1238" s="234"/>
      <c r="O1238" s="234"/>
      <c r="P1238" s="234"/>
      <c r="Q1238" s="234"/>
      <c r="R1238" s="234"/>
    </row>
    <row r="1239" spans="8:18" ht="15" customHeight="1" x14ac:dyDescent="0.3">
      <c r="H1239" s="234" t="s">
        <v>2676</v>
      </c>
      <c r="I1239" s="306" t="s">
        <v>2677</v>
      </c>
      <c r="J1239" s="234">
        <f t="shared" si="42"/>
        <v>0.97472301412465989</v>
      </c>
      <c r="K1239" s="315">
        <f t="shared" si="43"/>
        <v>-2.5601936422223776E-2</v>
      </c>
      <c r="L1239" s="234"/>
      <c r="M1239" s="234"/>
      <c r="N1239" s="234"/>
      <c r="O1239" s="234"/>
      <c r="P1239" s="234"/>
      <c r="Q1239" s="234"/>
      <c r="R1239" s="234"/>
    </row>
    <row r="1240" spans="8:18" ht="15" customHeight="1" x14ac:dyDescent="0.3">
      <c r="H1240" s="234" t="s">
        <v>2678</v>
      </c>
      <c r="I1240" s="306" t="s">
        <v>2679</v>
      </c>
      <c r="J1240" s="234">
        <f t="shared" si="42"/>
        <v>1.012505432687971</v>
      </c>
      <c r="K1240" s="315">
        <f t="shared" si="43"/>
        <v>1.2427885601911411E-2</v>
      </c>
      <c r="L1240" s="234"/>
      <c r="M1240" s="234"/>
      <c r="N1240" s="234"/>
      <c r="O1240" s="234"/>
      <c r="P1240" s="234"/>
      <c r="Q1240" s="234"/>
      <c r="R1240" s="234"/>
    </row>
    <row r="1241" spans="8:18" ht="15" customHeight="1" x14ac:dyDescent="0.3">
      <c r="H1241" s="234" t="s">
        <v>2680</v>
      </c>
      <c r="I1241" s="306" t="s">
        <v>2681</v>
      </c>
      <c r="J1241" s="234">
        <f t="shared" si="42"/>
        <v>0.98347527339591601</v>
      </c>
      <c r="K1241" s="315">
        <f t="shared" si="43"/>
        <v>-1.6662782906882358E-2</v>
      </c>
      <c r="L1241" s="234"/>
      <c r="M1241" s="234"/>
      <c r="N1241" s="234"/>
      <c r="O1241" s="234"/>
      <c r="P1241" s="234"/>
      <c r="Q1241" s="234"/>
      <c r="R1241" s="234"/>
    </row>
    <row r="1242" spans="8:18" ht="15" customHeight="1" x14ac:dyDescent="0.3">
      <c r="H1242" s="234" t="s">
        <v>2682</v>
      </c>
      <c r="I1242" s="306" t="s">
        <v>2683</v>
      </c>
      <c r="J1242" s="234">
        <f t="shared" si="42"/>
        <v>1.0060119264938543</v>
      </c>
      <c r="K1242" s="315">
        <f t="shared" si="43"/>
        <v>5.9939269689574057E-3</v>
      </c>
      <c r="L1242" s="234"/>
      <c r="M1242" s="234"/>
      <c r="N1242" s="234"/>
      <c r="O1242" s="234"/>
      <c r="P1242" s="234"/>
      <c r="Q1242" s="234"/>
      <c r="R1242" s="234"/>
    </row>
    <row r="1243" spans="8:18" ht="15" customHeight="1" x14ac:dyDescent="0.3">
      <c r="H1243" s="234" t="s">
        <v>2684</v>
      </c>
      <c r="I1243" s="306" t="s">
        <v>2685</v>
      </c>
      <c r="J1243" s="234">
        <f t="shared" si="42"/>
        <v>0.98544873076154305</v>
      </c>
      <c r="K1243" s="315">
        <f t="shared" si="43"/>
        <v>-1.4658177323007903E-2</v>
      </c>
      <c r="L1243" s="234"/>
      <c r="M1243" s="234"/>
      <c r="N1243" s="234"/>
      <c r="O1243" s="234"/>
      <c r="P1243" s="234"/>
      <c r="Q1243" s="234"/>
      <c r="R1243" s="234"/>
    </row>
    <row r="1244" spans="8:18" ht="15" customHeight="1" x14ac:dyDescent="0.3">
      <c r="H1244" s="234" t="s">
        <v>2686</v>
      </c>
      <c r="I1244" s="306" t="s">
        <v>2687</v>
      </c>
      <c r="J1244" s="234">
        <f t="shared" si="42"/>
        <v>1.0219631169977204</v>
      </c>
      <c r="K1244" s="315">
        <f t="shared" si="43"/>
        <v>2.1725402086961037E-2</v>
      </c>
      <c r="L1244" s="234"/>
      <c r="M1244" s="234"/>
      <c r="N1244" s="234"/>
      <c r="O1244" s="234"/>
      <c r="P1244" s="234"/>
      <c r="Q1244" s="234"/>
      <c r="R1244" s="234"/>
    </row>
    <row r="1245" spans="8:18" ht="15" customHeight="1" x14ac:dyDescent="0.3">
      <c r="H1245" s="234" t="s">
        <v>2688</v>
      </c>
      <c r="I1245" s="306" t="s">
        <v>2689</v>
      </c>
      <c r="J1245" s="234">
        <f t="shared" si="42"/>
        <v>1.0275727731459325</v>
      </c>
      <c r="K1245" s="315">
        <f t="shared" si="43"/>
        <v>2.7199490326412182E-2</v>
      </c>
      <c r="L1245" s="234"/>
      <c r="M1245" s="234"/>
      <c r="N1245" s="234"/>
      <c r="O1245" s="234"/>
      <c r="P1245" s="234"/>
      <c r="Q1245" s="234"/>
      <c r="R1245" s="234"/>
    </row>
    <row r="1246" spans="8:18" ht="15" customHeight="1" x14ac:dyDescent="0.3">
      <c r="H1246" s="234" t="s">
        <v>2690</v>
      </c>
      <c r="I1246" s="306" t="s">
        <v>2691</v>
      </c>
      <c r="J1246" s="234">
        <f t="shared" si="42"/>
        <v>0.99770475049632679</v>
      </c>
      <c r="K1246" s="315">
        <f t="shared" si="43"/>
        <v>-2.2978876263548488E-3</v>
      </c>
      <c r="L1246" s="234"/>
      <c r="M1246" s="234"/>
      <c r="N1246" s="234"/>
      <c r="O1246" s="234"/>
      <c r="P1246" s="234"/>
      <c r="Q1246" s="234"/>
      <c r="R1246" s="234"/>
    </row>
    <row r="1247" spans="8:18" ht="15" customHeight="1" x14ac:dyDescent="0.3">
      <c r="H1247" s="234" t="s">
        <v>2692</v>
      </c>
      <c r="I1247" s="306" t="s">
        <v>2693</v>
      </c>
      <c r="J1247" s="234">
        <f t="shared" si="42"/>
        <v>1.0045609458492868</v>
      </c>
      <c r="K1247" s="315">
        <f t="shared" si="43"/>
        <v>4.5505762539204955E-3</v>
      </c>
      <c r="L1247" s="234"/>
      <c r="M1247" s="234"/>
      <c r="N1247" s="234"/>
      <c r="O1247" s="234"/>
      <c r="P1247" s="234"/>
      <c r="Q1247" s="234"/>
      <c r="R1247" s="234"/>
    </row>
    <row r="1248" spans="8:18" ht="15" customHeight="1" x14ac:dyDescent="0.3">
      <c r="H1248" s="234" t="s">
        <v>2694</v>
      </c>
      <c r="I1248" s="306" t="s">
        <v>2695</v>
      </c>
      <c r="J1248" s="234">
        <f t="shared" si="42"/>
        <v>0.99841208495765554</v>
      </c>
      <c r="K1248" s="315">
        <f t="shared" si="43"/>
        <v>-1.5891771156557157E-3</v>
      </c>
      <c r="L1248" s="234"/>
      <c r="M1248" s="234"/>
      <c r="N1248" s="234"/>
      <c r="O1248" s="234"/>
      <c r="P1248" s="234"/>
      <c r="Q1248" s="234"/>
      <c r="R1248" s="234"/>
    </row>
    <row r="1249" spans="8:18" ht="15" customHeight="1" x14ac:dyDescent="0.3">
      <c r="H1249" s="234" t="s">
        <v>2696</v>
      </c>
      <c r="I1249" s="306" t="s">
        <v>2697</v>
      </c>
      <c r="J1249" s="234">
        <f t="shared" si="42"/>
        <v>0.99676743991290506</v>
      </c>
      <c r="K1249" s="315">
        <f t="shared" si="43"/>
        <v>-3.2377960963077593E-3</v>
      </c>
      <c r="L1249" s="234"/>
      <c r="M1249" s="234"/>
      <c r="N1249" s="234"/>
      <c r="O1249" s="234"/>
      <c r="P1249" s="234"/>
      <c r="Q1249" s="234"/>
      <c r="R1249" s="234"/>
    </row>
    <row r="1250" spans="8:18" ht="15" customHeight="1" x14ac:dyDescent="0.3">
      <c r="H1250" s="234" t="s">
        <v>2698</v>
      </c>
      <c r="I1250" s="306" t="s">
        <v>2699</v>
      </c>
      <c r="J1250" s="234">
        <f t="shared" si="42"/>
        <v>1.0023503735415094</v>
      </c>
      <c r="K1250" s="315">
        <f t="shared" si="43"/>
        <v>2.3476157340235515E-3</v>
      </c>
      <c r="L1250" s="234"/>
      <c r="M1250" s="234"/>
      <c r="N1250" s="234"/>
      <c r="O1250" s="234"/>
      <c r="P1250" s="234"/>
      <c r="Q1250" s="234"/>
      <c r="R1250" s="234"/>
    </row>
    <row r="1251" spans="8:18" ht="15" customHeight="1" x14ac:dyDescent="0.3">
      <c r="H1251" s="234" t="s">
        <v>2700</v>
      </c>
      <c r="I1251" s="306" t="s">
        <v>2701</v>
      </c>
      <c r="J1251" s="234">
        <f t="shared" si="42"/>
        <v>1.0112388163590988</v>
      </c>
      <c r="K1251" s="315">
        <f t="shared" si="43"/>
        <v>1.1176130104786585E-2</v>
      </c>
      <c r="L1251" s="234"/>
      <c r="M1251" s="234"/>
      <c r="N1251" s="234"/>
      <c r="O1251" s="234"/>
      <c r="P1251" s="234"/>
      <c r="Q1251" s="234"/>
      <c r="R1251" s="234"/>
    </row>
    <row r="1252" spans="8:18" ht="15" customHeight="1" x14ac:dyDescent="0.3">
      <c r="H1252" s="234" t="s">
        <v>2702</v>
      </c>
      <c r="I1252" s="306" t="s">
        <v>2703</v>
      </c>
      <c r="J1252" s="234">
        <f t="shared" si="42"/>
        <v>1.0100312082032992</v>
      </c>
      <c r="K1252" s="315">
        <f t="shared" si="43"/>
        <v>9.9812295869845871E-3</v>
      </c>
      <c r="L1252" s="234"/>
      <c r="M1252" s="234"/>
      <c r="N1252" s="234"/>
      <c r="O1252" s="234"/>
      <c r="P1252" s="234"/>
      <c r="Q1252" s="234"/>
      <c r="R1252" s="234"/>
    </row>
    <row r="1253" spans="8:18" ht="15" customHeight="1" x14ac:dyDescent="0.3">
      <c r="H1253" s="234" t="s">
        <v>2704</v>
      </c>
      <c r="I1253" s="306" t="s">
        <v>2705</v>
      </c>
      <c r="J1253" s="234">
        <f t="shared" si="42"/>
        <v>1.0070019425857974</v>
      </c>
      <c r="K1253" s="315">
        <f t="shared" si="43"/>
        <v>6.9775428167864612E-3</v>
      </c>
      <c r="L1253" s="234"/>
      <c r="M1253" s="234"/>
      <c r="N1253" s="234"/>
      <c r="O1253" s="234"/>
      <c r="P1253" s="234"/>
      <c r="Q1253" s="234"/>
      <c r="R1253" s="234"/>
    </row>
    <row r="1254" spans="8:18" ht="15" customHeight="1" x14ac:dyDescent="0.3">
      <c r="H1254" s="234" t="s">
        <v>2706</v>
      </c>
      <c r="I1254" s="306" t="s">
        <v>2707</v>
      </c>
      <c r="J1254" s="234">
        <f t="shared" si="42"/>
        <v>0.98139314189847571</v>
      </c>
      <c r="K1254" s="315">
        <f t="shared" si="43"/>
        <v>-1.8782143430559509E-2</v>
      </c>
      <c r="L1254" s="234"/>
      <c r="M1254" s="234"/>
      <c r="N1254" s="234"/>
      <c r="O1254" s="234"/>
      <c r="P1254" s="234"/>
      <c r="Q1254" s="234"/>
      <c r="R1254" s="234"/>
    </row>
    <row r="1255" spans="8:18" ht="15" customHeight="1" x14ac:dyDescent="0.3">
      <c r="H1255" s="234" t="s">
        <v>2708</v>
      </c>
      <c r="I1255" s="306" t="s">
        <v>2709</v>
      </c>
      <c r="J1255" s="234">
        <f t="shared" si="42"/>
        <v>0.99684108281599726</v>
      </c>
      <c r="K1255" s="315">
        <f t="shared" si="43"/>
        <v>-3.163917095203883E-3</v>
      </c>
      <c r="L1255" s="234"/>
      <c r="M1255" s="234"/>
      <c r="N1255" s="234"/>
      <c r="O1255" s="234"/>
      <c r="P1255" s="234"/>
      <c r="Q1255" s="234"/>
      <c r="R1255" s="234"/>
    </row>
    <row r="1256" spans="8:18" ht="15" customHeight="1" x14ac:dyDescent="0.3">
      <c r="H1256" s="234" t="s">
        <v>2710</v>
      </c>
      <c r="I1256" s="306" t="s">
        <v>2711</v>
      </c>
      <c r="J1256" s="234">
        <f t="shared" si="42"/>
        <v>1.004505192425168</v>
      </c>
      <c r="K1256" s="315">
        <f t="shared" si="43"/>
        <v>4.4950744234222876E-3</v>
      </c>
      <c r="L1256" s="234"/>
      <c r="M1256" s="234"/>
      <c r="N1256" s="234"/>
      <c r="O1256" s="234"/>
      <c r="P1256" s="234"/>
      <c r="Q1256" s="234"/>
      <c r="R1256" s="234"/>
    </row>
    <row r="1257" spans="8:18" ht="15" customHeight="1" x14ac:dyDescent="0.3">
      <c r="H1257" s="234" t="s">
        <v>2712</v>
      </c>
      <c r="I1257" s="306" t="s">
        <v>1358</v>
      </c>
      <c r="J1257" s="234">
        <f t="shared" si="42"/>
        <v>1.0147655167069884</v>
      </c>
      <c r="K1257" s="315">
        <f t="shared" si="43"/>
        <v>1.4657567782305304E-2</v>
      </c>
      <c r="L1257" s="234"/>
      <c r="M1257" s="234"/>
      <c r="N1257" s="234"/>
      <c r="O1257" s="234"/>
      <c r="P1257" s="234"/>
      <c r="Q1257" s="234"/>
      <c r="R1257" s="234"/>
    </row>
    <row r="1258" spans="8:18" ht="15" customHeight="1" x14ac:dyDescent="0.3">
      <c r="H1258" s="234" t="s">
        <v>2713</v>
      </c>
      <c r="I1258" s="306" t="s">
        <v>2714</v>
      </c>
      <c r="J1258" s="234">
        <f t="shared" si="42"/>
        <v>1.0134016211075532</v>
      </c>
      <c r="K1258" s="315">
        <f t="shared" si="43"/>
        <v>1.3312613730341911E-2</v>
      </c>
      <c r="L1258" s="234"/>
      <c r="M1258" s="234"/>
      <c r="N1258" s="234"/>
      <c r="O1258" s="234"/>
      <c r="P1258" s="234"/>
      <c r="Q1258" s="234"/>
      <c r="R1258" s="234"/>
    </row>
    <row r="1259" spans="8:18" ht="15" customHeight="1" x14ac:dyDescent="0.3">
      <c r="H1259" s="234" t="s">
        <v>2715</v>
      </c>
      <c r="I1259" s="306" t="s">
        <v>2716</v>
      </c>
      <c r="J1259" s="234">
        <f t="shared" si="42"/>
        <v>0.99544890000607966</v>
      </c>
      <c r="K1259" s="315">
        <f t="shared" si="43"/>
        <v>-4.5614877787114733E-3</v>
      </c>
      <c r="L1259" s="234"/>
      <c r="M1259" s="234"/>
      <c r="N1259" s="234"/>
      <c r="O1259" s="234"/>
      <c r="P1259" s="234"/>
      <c r="Q1259" s="234"/>
      <c r="R1259" s="234"/>
    </row>
    <row r="1260" spans="8:18" ht="15" customHeight="1" x14ac:dyDescent="0.3">
      <c r="H1260" s="234" t="s">
        <v>2717</v>
      </c>
      <c r="I1260" s="306" t="s">
        <v>2718</v>
      </c>
      <c r="J1260" s="234">
        <f t="shared" si="42"/>
        <v>1.0000781738586617</v>
      </c>
      <c r="K1260" s="315">
        <f t="shared" si="43"/>
        <v>7.8170803244857759E-5</v>
      </c>
      <c r="L1260" s="234"/>
      <c r="M1260" s="234"/>
      <c r="N1260" s="234"/>
      <c r="O1260" s="234"/>
      <c r="P1260" s="234"/>
      <c r="Q1260" s="234"/>
      <c r="R1260" s="234"/>
    </row>
    <row r="1261" spans="8:18" ht="15" customHeight="1" x14ac:dyDescent="0.3">
      <c r="H1261" s="234" t="s">
        <v>2719</v>
      </c>
      <c r="I1261" s="306" t="s">
        <v>2720</v>
      </c>
      <c r="J1261" s="234">
        <f t="shared" si="42"/>
        <v>1.0188138263039592</v>
      </c>
      <c r="K1261" s="315">
        <f t="shared" si="43"/>
        <v>1.8639035197115166E-2</v>
      </c>
      <c r="L1261" s="234"/>
      <c r="M1261" s="234"/>
      <c r="N1261" s="234"/>
      <c r="O1261" s="234"/>
      <c r="P1261" s="234"/>
      <c r="Q1261" s="234"/>
      <c r="R1261" s="234"/>
    </row>
    <row r="1262" spans="8:18" ht="15" customHeight="1" x14ac:dyDescent="0.3">
      <c r="H1262" s="234" t="s">
        <v>2721</v>
      </c>
      <c r="I1262" s="306" t="s">
        <v>2722</v>
      </c>
      <c r="J1262" s="234">
        <f t="shared" si="42"/>
        <v>0.99299642351866013</v>
      </c>
      <c r="K1262" s="315">
        <f t="shared" si="43"/>
        <v>-7.0282166366427857E-3</v>
      </c>
      <c r="L1262" s="234"/>
      <c r="M1262" s="234"/>
      <c r="N1262" s="234"/>
      <c r="O1262" s="234"/>
      <c r="P1262" s="234"/>
      <c r="Q1262" s="234"/>
      <c r="R1262" s="234"/>
    </row>
    <row r="1263" spans="8:18" ht="15" customHeight="1" x14ac:dyDescent="0.3">
      <c r="H1263" s="234" t="s">
        <v>2723</v>
      </c>
      <c r="I1263" s="306" t="s">
        <v>2724</v>
      </c>
      <c r="J1263" s="234">
        <f t="shared" si="42"/>
        <v>1.0018399506998856</v>
      </c>
      <c r="K1263" s="315">
        <f t="shared" si="43"/>
        <v>1.8382600640699973E-3</v>
      </c>
      <c r="L1263" s="234"/>
      <c r="M1263" s="234"/>
      <c r="N1263" s="234"/>
      <c r="O1263" s="234"/>
      <c r="P1263" s="234"/>
      <c r="Q1263" s="234"/>
      <c r="R1263" s="234"/>
    </row>
    <row r="1264" spans="8:18" ht="15" customHeight="1" x14ac:dyDescent="0.3">
      <c r="H1264" s="234" t="s">
        <v>2725</v>
      </c>
      <c r="I1264" s="306" t="s">
        <v>2726</v>
      </c>
      <c r="J1264" s="234">
        <f t="shared" si="42"/>
        <v>0.99859340659340656</v>
      </c>
      <c r="K1264" s="315">
        <f t="shared" si="43"/>
        <v>-1.4075835877295976E-3</v>
      </c>
      <c r="L1264" s="234"/>
      <c r="M1264" s="234"/>
      <c r="N1264" s="234"/>
      <c r="O1264" s="234"/>
      <c r="P1264" s="234"/>
      <c r="Q1264" s="234"/>
      <c r="R1264" s="234"/>
    </row>
    <row r="1265" spans="8:18" ht="15" customHeight="1" x14ac:dyDescent="0.3">
      <c r="H1265" s="234" t="s">
        <v>2727</v>
      </c>
      <c r="I1265" s="306" t="s">
        <v>2586</v>
      </c>
      <c r="J1265" s="234">
        <f t="shared" si="42"/>
        <v>1.012965964343598</v>
      </c>
      <c r="K1265" s="315">
        <f t="shared" si="43"/>
        <v>1.288262583101361E-2</v>
      </c>
      <c r="L1265" s="234"/>
      <c r="M1265" s="234"/>
      <c r="N1265" s="234"/>
      <c r="O1265" s="234"/>
      <c r="P1265" s="234"/>
      <c r="Q1265" s="234"/>
      <c r="R1265" s="234"/>
    </row>
    <row r="1266" spans="8:18" ht="15" customHeight="1" x14ac:dyDescent="0.3">
      <c r="H1266" s="234" t="s">
        <v>2728</v>
      </c>
      <c r="I1266" s="306" t="s">
        <v>2729</v>
      </c>
      <c r="J1266" s="234">
        <f t="shared" si="42"/>
        <v>1.0037542235014392</v>
      </c>
      <c r="K1266" s="315">
        <f t="shared" si="43"/>
        <v>3.747193992461807E-3</v>
      </c>
      <c r="L1266" s="234"/>
      <c r="M1266" s="234"/>
      <c r="N1266" s="234"/>
      <c r="O1266" s="234"/>
      <c r="P1266" s="234"/>
      <c r="Q1266" s="234"/>
      <c r="R1266" s="234"/>
    </row>
    <row r="1267" spans="8:18" ht="15" customHeight="1" x14ac:dyDescent="0.3">
      <c r="H1267" s="234" t="s">
        <v>2730</v>
      </c>
      <c r="I1267" s="306" t="s">
        <v>2731</v>
      </c>
      <c r="J1267" s="234">
        <f t="shared" si="42"/>
        <v>1.0042369077754438</v>
      </c>
      <c r="K1267" s="315">
        <f t="shared" si="43"/>
        <v>4.2279573541951455E-3</v>
      </c>
      <c r="L1267" s="234"/>
      <c r="M1267" s="234"/>
      <c r="N1267" s="234"/>
      <c r="O1267" s="234"/>
      <c r="P1267" s="234"/>
      <c r="Q1267" s="234"/>
      <c r="R1267" s="234"/>
    </row>
    <row r="1268" spans="8:18" ht="15" customHeight="1" x14ac:dyDescent="0.3">
      <c r="H1268" s="234" t="s">
        <v>2732</v>
      </c>
      <c r="I1268" s="306" t="s">
        <v>2733</v>
      </c>
      <c r="J1268" s="234">
        <f t="shared" si="42"/>
        <v>1.0230033885230998</v>
      </c>
      <c r="K1268" s="315">
        <f t="shared" si="43"/>
        <v>2.2742799303299636E-2</v>
      </c>
      <c r="L1268" s="234"/>
      <c r="M1268" s="234"/>
      <c r="N1268" s="234"/>
      <c r="O1268" s="234"/>
      <c r="P1268" s="234"/>
      <c r="Q1268" s="234"/>
      <c r="R1268" s="234"/>
    </row>
    <row r="1269" spans="8:18" ht="15" customHeight="1" x14ac:dyDescent="0.3">
      <c r="H1269" s="234" t="s">
        <v>2734</v>
      </c>
      <c r="I1269" s="306" t="s">
        <v>2735</v>
      </c>
      <c r="J1269" s="234">
        <f t="shared" si="42"/>
        <v>0.98461997504475673</v>
      </c>
      <c r="K1269" s="315">
        <f t="shared" si="43"/>
        <v>-1.5499524392002006E-2</v>
      </c>
      <c r="L1269" s="234"/>
      <c r="M1269" s="234"/>
      <c r="N1269" s="234"/>
      <c r="O1269" s="234"/>
      <c r="P1269" s="234"/>
      <c r="Q1269" s="234"/>
      <c r="R1269" s="234"/>
    </row>
    <row r="1270" spans="8:18" ht="15" customHeight="1" x14ac:dyDescent="0.3">
      <c r="H1270" s="234" t="s">
        <v>2736</v>
      </c>
      <c r="I1270" s="306" t="s">
        <v>2737</v>
      </c>
      <c r="J1270" s="234">
        <f t="shared" si="42"/>
        <v>1.003347576409112</v>
      </c>
      <c r="K1270" s="315">
        <f t="shared" si="43"/>
        <v>3.3419857485058888E-3</v>
      </c>
      <c r="L1270" s="234"/>
      <c r="M1270" s="234"/>
      <c r="N1270" s="234"/>
      <c r="O1270" s="234"/>
      <c r="P1270" s="234"/>
      <c r="Q1270" s="234"/>
      <c r="R1270" s="234"/>
    </row>
    <row r="1271" spans="8:18" ht="15" customHeight="1" x14ac:dyDescent="0.3">
      <c r="H1271" s="234" t="s">
        <v>2738</v>
      </c>
      <c r="I1271" s="306" t="s">
        <v>2739</v>
      </c>
      <c r="J1271" s="234">
        <f t="shared" si="42"/>
        <v>1.0008716733404157</v>
      </c>
      <c r="K1271" s="315">
        <f t="shared" si="43"/>
        <v>8.7129365383527724E-4</v>
      </c>
      <c r="L1271" s="234"/>
      <c r="M1271" s="234"/>
      <c r="N1271" s="234"/>
      <c r="O1271" s="234"/>
      <c r="P1271" s="234"/>
      <c r="Q1271" s="234"/>
      <c r="R1271" s="234"/>
    </row>
    <row r="1272" spans="8:18" ht="15" customHeight="1" x14ac:dyDescent="0.3">
      <c r="H1272" s="234" t="s">
        <v>2740</v>
      </c>
      <c r="I1272" s="306" t="s">
        <v>2741</v>
      </c>
      <c r="J1272" s="234">
        <f t="shared" si="42"/>
        <v>1.0031606944419142</v>
      </c>
      <c r="K1272" s="315">
        <f t="shared" si="43"/>
        <v>3.1557099474508995E-3</v>
      </c>
      <c r="L1272" s="234"/>
      <c r="M1272" s="234"/>
      <c r="N1272" s="234"/>
      <c r="O1272" s="234"/>
      <c r="P1272" s="234"/>
      <c r="Q1272" s="234"/>
      <c r="R1272" s="234"/>
    </row>
    <row r="1273" spans="8:18" ht="15" customHeight="1" x14ac:dyDescent="0.3">
      <c r="H1273" s="234" t="s">
        <v>2742</v>
      </c>
      <c r="I1273" s="306" t="s">
        <v>2743</v>
      </c>
      <c r="J1273" s="234">
        <f t="shared" si="42"/>
        <v>1.0224254502784555</v>
      </c>
      <c r="K1273" s="315">
        <f t="shared" si="43"/>
        <v>2.217769701368608E-2</v>
      </c>
      <c r="L1273" s="234"/>
      <c r="M1273" s="234"/>
      <c r="N1273" s="234"/>
      <c r="O1273" s="234"/>
      <c r="P1273" s="234"/>
      <c r="Q1273" s="234"/>
      <c r="R1273" s="234"/>
    </row>
    <row r="1274" spans="8:18" ht="15" customHeight="1" x14ac:dyDescent="0.3">
      <c r="H1274" s="234" t="s">
        <v>2744</v>
      </c>
      <c r="I1274" s="306" t="s">
        <v>2745</v>
      </c>
      <c r="J1274" s="234">
        <f t="shared" si="42"/>
        <v>1.0125223950966524</v>
      </c>
      <c r="K1274" s="315">
        <f t="shared" si="43"/>
        <v>1.2444638367921925E-2</v>
      </c>
      <c r="L1274" s="234"/>
      <c r="M1274" s="234"/>
      <c r="N1274" s="234"/>
      <c r="O1274" s="234"/>
      <c r="P1274" s="234"/>
      <c r="Q1274" s="234"/>
      <c r="R1274" s="234"/>
    </row>
    <row r="1275" spans="8:18" ht="15" customHeight="1" x14ac:dyDescent="0.3">
      <c r="H1275" s="234" t="s">
        <v>2746</v>
      </c>
      <c r="I1275" s="306" t="s">
        <v>2747</v>
      </c>
      <c r="J1275" s="234">
        <f t="shared" si="42"/>
        <v>0.99418768163494886</v>
      </c>
      <c r="K1275" s="315">
        <f t="shared" si="43"/>
        <v>-5.8292756267000548E-3</v>
      </c>
      <c r="L1275" s="234"/>
      <c r="M1275" s="234"/>
      <c r="N1275" s="234"/>
      <c r="O1275" s="234"/>
      <c r="P1275" s="234"/>
      <c r="Q1275" s="234"/>
      <c r="R1275" s="234"/>
    </row>
    <row r="1276" spans="8:18" ht="15" customHeight="1" x14ac:dyDescent="0.3">
      <c r="H1276" s="234" t="s">
        <v>2748</v>
      </c>
      <c r="I1276" s="306" t="s">
        <v>2189</v>
      </c>
      <c r="J1276" s="234">
        <f t="shared" si="42"/>
        <v>1.0052112291150335</v>
      </c>
      <c r="K1276" s="315">
        <f t="shared" si="43"/>
        <v>5.1976976506044456E-3</v>
      </c>
      <c r="L1276" s="234"/>
      <c r="M1276" s="234"/>
      <c r="N1276" s="234"/>
      <c r="O1276" s="234"/>
      <c r="P1276" s="234"/>
      <c r="Q1276" s="234"/>
      <c r="R1276" s="234"/>
    </row>
    <row r="1277" spans="8:18" ht="15" customHeight="1" x14ac:dyDescent="0.3">
      <c r="H1277" s="234" t="s">
        <v>2749</v>
      </c>
      <c r="I1277" s="306" t="s">
        <v>2750</v>
      </c>
      <c r="J1277" s="234">
        <f t="shared" si="42"/>
        <v>0.98947280085038136</v>
      </c>
      <c r="K1277" s="315">
        <f t="shared" si="43"/>
        <v>-1.0583002088528751E-2</v>
      </c>
      <c r="L1277" s="234"/>
      <c r="M1277" s="234"/>
      <c r="N1277" s="234"/>
      <c r="O1277" s="234"/>
      <c r="P1277" s="234"/>
      <c r="Q1277" s="234"/>
      <c r="R1277" s="234"/>
    </row>
    <row r="1278" spans="8:18" ht="15" customHeight="1" x14ac:dyDescent="0.3">
      <c r="H1278" s="234" t="s">
        <v>2751</v>
      </c>
      <c r="I1278" s="306" t="s">
        <v>2752</v>
      </c>
      <c r="J1278" s="234">
        <f t="shared" si="42"/>
        <v>1.0076670111810579</v>
      </c>
      <c r="K1278" s="315">
        <f t="shared" si="43"/>
        <v>7.6377690223628676E-3</v>
      </c>
      <c r="L1278" s="234"/>
      <c r="M1278" s="234"/>
      <c r="N1278" s="234"/>
      <c r="O1278" s="234"/>
      <c r="P1278" s="234"/>
      <c r="Q1278" s="234"/>
      <c r="R1278" s="234"/>
    </row>
    <row r="1279" spans="8:18" ht="15" customHeight="1" x14ac:dyDescent="0.3">
      <c r="H1279" s="234" t="s">
        <v>2753</v>
      </c>
      <c r="I1279" s="306" t="s">
        <v>2754</v>
      </c>
      <c r="J1279" s="234">
        <f t="shared" si="42"/>
        <v>1.0162419196211174</v>
      </c>
      <c r="K1279" s="315">
        <f t="shared" si="43"/>
        <v>1.6111430675940383E-2</v>
      </c>
      <c r="L1279" s="234"/>
      <c r="M1279" s="234"/>
      <c r="N1279" s="234"/>
      <c r="O1279" s="234"/>
      <c r="P1279" s="234"/>
      <c r="Q1279" s="234"/>
      <c r="R1279" s="234"/>
    </row>
    <row r="1280" spans="8:18" ht="15" customHeight="1" x14ac:dyDescent="0.3">
      <c r="H1280" s="234" t="s">
        <v>2755</v>
      </c>
      <c r="I1280" s="306" t="s">
        <v>2756</v>
      </c>
      <c r="J1280" s="234">
        <f t="shared" si="42"/>
        <v>1.0216566350271683</v>
      </c>
      <c r="K1280" s="315">
        <f t="shared" si="43"/>
        <v>2.1425461775123594E-2</v>
      </c>
      <c r="L1280" s="234"/>
      <c r="M1280" s="234"/>
      <c r="N1280" s="234"/>
      <c r="O1280" s="234"/>
      <c r="P1280" s="234"/>
      <c r="Q1280" s="234"/>
      <c r="R1280" s="234"/>
    </row>
    <row r="1281" spans="8:18" ht="15" customHeight="1" x14ac:dyDescent="0.3">
      <c r="H1281" s="234" t="s">
        <v>2757</v>
      </c>
      <c r="I1281" s="306" t="s">
        <v>2758</v>
      </c>
      <c r="J1281" s="234">
        <f t="shared" si="42"/>
        <v>0.97804598797824638</v>
      </c>
      <c r="K1281" s="315">
        <f t="shared" si="43"/>
        <v>-2.2198587580196969E-2</v>
      </c>
      <c r="L1281" s="234"/>
      <c r="M1281" s="234"/>
      <c r="N1281" s="234"/>
      <c r="O1281" s="234"/>
      <c r="P1281" s="234"/>
      <c r="Q1281" s="234"/>
      <c r="R1281" s="234"/>
    </row>
    <row r="1282" spans="8:18" ht="15" customHeight="1" x14ac:dyDescent="0.3">
      <c r="H1282" s="234" t="s">
        <v>2759</v>
      </c>
      <c r="I1282" s="306" t="s">
        <v>2760</v>
      </c>
      <c r="J1282" s="234">
        <f t="shared" si="42"/>
        <v>0.99755394177048928</v>
      </c>
      <c r="K1282" s="315">
        <f t="shared" si="43"/>
        <v>-2.4490547173282536E-3</v>
      </c>
      <c r="L1282" s="234"/>
      <c r="M1282" s="234"/>
      <c r="N1282" s="234"/>
      <c r="O1282" s="234"/>
      <c r="P1282" s="234"/>
      <c r="Q1282" s="234"/>
      <c r="R1282" s="234"/>
    </row>
    <row r="1283" spans="8:18" ht="15" customHeight="1" x14ac:dyDescent="0.3">
      <c r="H1283" s="234" t="s">
        <v>2761</v>
      </c>
      <c r="I1283" s="306" t="s">
        <v>2762</v>
      </c>
      <c r="J1283" s="234">
        <f t="shared" si="42"/>
        <v>1.0149831910042892</v>
      </c>
      <c r="K1283" s="315">
        <f t="shared" si="43"/>
        <v>1.4872051769715471E-2</v>
      </c>
      <c r="L1283" s="234"/>
      <c r="M1283" s="234"/>
      <c r="N1283" s="234"/>
      <c r="O1283" s="234"/>
      <c r="P1283" s="234"/>
      <c r="Q1283" s="234"/>
      <c r="R1283" s="234"/>
    </row>
    <row r="1284" spans="8:18" ht="15" customHeight="1" x14ac:dyDescent="0.3">
      <c r="H1284" s="234" t="s">
        <v>2763</v>
      </c>
      <c r="I1284" s="306" t="s">
        <v>2764</v>
      </c>
      <c r="J1284" s="234">
        <f t="shared" si="42"/>
        <v>1.0253778948828178</v>
      </c>
      <c r="K1284" s="315">
        <f t="shared" si="43"/>
        <v>2.5061222579817615E-2</v>
      </c>
      <c r="L1284" s="234"/>
      <c r="M1284" s="234"/>
      <c r="N1284" s="234"/>
      <c r="O1284" s="234"/>
      <c r="P1284" s="234"/>
      <c r="Q1284" s="234"/>
      <c r="R1284" s="234"/>
    </row>
    <row r="1285" spans="8:18" ht="15" customHeight="1" x14ac:dyDescent="0.3">
      <c r="H1285" s="234" t="s">
        <v>2765</v>
      </c>
      <c r="I1285" s="306" t="s">
        <v>2766</v>
      </c>
      <c r="J1285" s="234">
        <f t="shared" ref="J1285:J1348" si="44">I1285/I1286</f>
        <v>1.0020148683387757</v>
      </c>
      <c r="K1285" s="315">
        <f t="shared" ref="K1285:K1348" si="45">LN(J1285)</f>
        <v>2.0128412140340353E-3</v>
      </c>
      <c r="L1285" s="234"/>
      <c r="M1285" s="234"/>
      <c r="N1285" s="234"/>
      <c r="O1285" s="234"/>
      <c r="P1285" s="234"/>
      <c r="Q1285" s="234"/>
      <c r="R1285" s="234"/>
    </row>
    <row r="1286" spans="8:18" ht="15" customHeight="1" x14ac:dyDescent="0.3">
      <c r="H1286" s="234" t="s">
        <v>2767</v>
      </c>
      <c r="I1286" s="306" t="s">
        <v>2768</v>
      </c>
      <c r="J1286" s="234">
        <f t="shared" si="44"/>
        <v>1.029405454006723</v>
      </c>
      <c r="K1286" s="315">
        <f t="shared" si="45"/>
        <v>2.8981406460992273E-2</v>
      </c>
      <c r="L1286" s="234"/>
      <c r="M1286" s="234"/>
      <c r="N1286" s="234"/>
      <c r="O1286" s="234"/>
      <c r="P1286" s="234"/>
      <c r="Q1286" s="234"/>
      <c r="R1286" s="234"/>
    </row>
    <row r="1287" spans="8:18" ht="15" customHeight="1" x14ac:dyDescent="0.3">
      <c r="H1287" s="234" t="s">
        <v>2769</v>
      </c>
      <c r="I1287" s="306" t="s">
        <v>2770</v>
      </c>
      <c r="J1287" s="234">
        <f t="shared" si="44"/>
        <v>1.0195953829485791</v>
      </c>
      <c r="K1287" s="315">
        <f t="shared" si="45"/>
        <v>1.9405865212767007E-2</v>
      </c>
      <c r="L1287" s="234"/>
      <c r="M1287" s="234"/>
      <c r="N1287" s="234"/>
      <c r="O1287" s="234"/>
      <c r="P1287" s="234"/>
      <c r="Q1287" s="234"/>
      <c r="R1287" s="234"/>
    </row>
    <row r="1288" spans="8:18" ht="15" customHeight="1" x14ac:dyDescent="0.3">
      <c r="H1288" s="234" t="s">
        <v>2771</v>
      </c>
      <c r="I1288" s="306" t="s">
        <v>2772</v>
      </c>
      <c r="J1288" s="234">
        <f t="shared" si="44"/>
        <v>1.0215392474033713</v>
      </c>
      <c r="K1288" s="315">
        <f t="shared" si="45"/>
        <v>2.1310555881924063E-2</v>
      </c>
      <c r="L1288" s="234"/>
      <c r="M1288" s="234"/>
      <c r="N1288" s="234"/>
      <c r="O1288" s="234"/>
      <c r="P1288" s="234"/>
      <c r="Q1288" s="234"/>
      <c r="R1288" s="234"/>
    </row>
    <row r="1289" spans="8:18" ht="15" customHeight="1" x14ac:dyDescent="0.3">
      <c r="H1289" s="234" t="s">
        <v>2773</v>
      </c>
      <c r="I1289" s="306" t="s">
        <v>2774</v>
      </c>
      <c r="J1289" s="234">
        <f t="shared" si="44"/>
        <v>0.97296513734869894</v>
      </c>
      <c r="K1289" s="315">
        <f t="shared" si="45"/>
        <v>-2.7407027501046149E-2</v>
      </c>
      <c r="L1289" s="234"/>
      <c r="M1289" s="234"/>
      <c r="N1289" s="234"/>
      <c r="O1289" s="234"/>
      <c r="P1289" s="234"/>
      <c r="Q1289" s="234"/>
      <c r="R1289" s="234"/>
    </row>
    <row r="1290" spans="8:18" ht="15" customHeight="1" x14ac:dyDescent="0.3">
      <c r="H1290" s="234" t="s">
        <v>2775</v>
      </c>
      <c r="I1290" s="306" t="s">
        <v>2776</v>
      </c>
      <c r="J1290" s="234">
        <f t="shared" si="44"/>
        <v>1.0126981796829124</v>
      </c>
      <c r="K1290" s="315">
        <f t="shared" si="45"/>
        <v>1.2618233865509219E-2</v>
      </c>
      <c r="L1290" s="234"/>
      <c r="M1290" s="234"/>
      <c r="N1290" s="234"/>
      <c r="O1290" s="234"/>
      <c r="P1290" s="234"/>
      <c r="Q1290" s="234"/>
      <c r="R1290" s="234"/>
    </row>
    <row r="1291" spans="8:18" ht="15" customHeight="1" x14ac:dyDescent="0.3">
      <c r="H1291" s="234" t="s">
        <v>2777</v>
      </c>
      <c r="I1291" s="306" t="s">
        <v>2778</v>
      </c>
      <c r="J1291" s="234">
        <f t="shared" si="44"/>
        <v>0.95752926765597701</v>
      </c>
      <c r="K1291" s="315">
        <f t="shared" si="45"/>
        <v>-4.3398991651954613E-2</v>
      </c>
      <c r="L1291" s="234"/>
      <c r="M1291" s="234"/>
      <c r="N1291" s="234"/>
      <c r="O1291" s="234"/>
      <c r="P1291" s="234"/>
      <c r="Q1291" s="234"/>
      <c r="R1291" s="234"/>
    </row>
    <row r="1292" spans="8:18" ht="15" customHeight="1" x14ac:dyDescent="0.3">
      <c r="H1292" s="234" t="s">
        <v>2779</v>
      </c>
      <c r="I1292" s="306" t="s">
        <v>2780</v>
      </c>
      <c r="J1292" s="234">
        <f t="shared" si="44"/>
        <v>0.98595285941970168</v>
      </c>
      <c r="K1292" s="315">
        <f t="shared" si="45"/>
        <v>-1.4146735441598906E-2</v>
      </c>
      <c r="L1292" s="234"/>
      <c r="M1292" s="234"/>
      <c r="N1292" s="234"/>
      <c r="O1292" s="234"/>
      <c r="P1292" s="234"/>
      <c r="Q1292" s="234"/>
      <c r="R1292" s="234"/>
    </row>
    <row r="1293" spans="8:18" ht="15" customHeight="1" x14ac:dyDescent="0.3">
      <c r="H1293" s="234" t="s">
        <v>2781</v>
      </c>
      <c r="I1293" s="306" t="s">
        <v>2782</v>
      </c>
      <c r="J1293" s="234">
        <f t="shared" si="44"/>
        <v>0.99760023701362832</v>
      </c>
      <c r="K1293" s="315">
        <f t="shared" si="45"/>
        <v>-2.4026470325090679E-3</v>
      </c>
      <c r="L1293" s="234"/>
      <c r="M1293" s="234"/>
      <c r="N1293" s="234"/>
      <c r="O1293" s="234"/>
      <c r="P1293" s="234"/>
      <c r="Q1293" s="234"/>
      <c r="R1293" s="234"/>
    </row>
    <row r="1294" spans="8:18" ht="15" customHeight="1" x14ac:dyDescent="0.3">
      <c r="H1294" s="234" t="s">
        <v>2783</v>
      </c>
      <c r="I1294" s="306" t="s">
        <v>2784</v>
      </c>
      <c r="J1294" s="234">
        <f t="shared" si="44"/>
        <v>0.99354382935300933</v>
      </c>
      <c r="K1294" s="315">
        <f t="shared" si="45"/>
        <v>-6.4771018556429288E-3</v>
      </c>
      <c r="L1294" s="234"/>
      <c r="M1294" s="234"/>
      <c r="N1294" s="234"/>
      <c r="O1294" s="234"/>
      <c r="P1294" s="234"/>
      <c r="Q1294" s="234"/>
      <c r="R1294" s="234"/>
    </row>
    <row r="1295" spans="8:18" ht="15" customHeight="1" x14ac:dyDescent="0.3">
      <c r="H1295" s="234" t="s">
        <v>2785</v>
      </c>
      <c r="I1295" s="306" t="s">
        <v>2786</v>
      </c>
      <c r="J1295" s="234">
        <f t="shared" si="44"/>
        <v>1.0135749306335962</v>
      </c>
      <c r="K1295" s="315">
        <f t="shared" si="45"/>
        <v>1.3483616721290625E-2</v>
      </c>
      <c r="L1295" s="234"/>
      <c r="M1295" s="234"/>
      <c r="N1295" s="234"/>
      <c r="O1295" s="234"/>
      <c r="P1295" s="234"/>
      <c r="Q1295" s="234"/>
      <c r="R1295" s="234"/>
    </row>
    <row r="1296" spans="8:18" ht="15" customHeight="1" x14ac:dyDescent="0.3">
      <c r="H1296" s="234" t="s">
        <v>2787</v>
      </c>
      <c r="I1296" s="306" t="s">
        <v>2788</v>
      </c>
      <c r="J1296" s="234">
        <f t="shared" si="44"/>
        <v>1.0001193542932734</v>
      </c>
      <c r="K1296" s="315">
        <f t="shared" si="45"/>
        <v>1.1934717111640564E-4</v>
      </c>
      <c r="L1296" s="234"/>
      <c r="M1296" s="234"/>
      <c r="N1296" s="234"/>
      <c r="O1296" s="234"/>
      <c r="P1296" s="234"/>
      <c r="Q1296" s="234"/>
      <c r="R1296" s="234"/>
    </row>
    <row r="1297" spans="8:18" ht="15" customHeight="1" x14ac:dyDescent="0.3">
      <c r="H1297" s="234" t="s">
        <v>2789</v>
      </c>
      <c r="I1297" s="306" t="s">
        <v>2790</v>
      </c>
      <c r="J1297" s="234">
        <f t="shared" si="44"/>
        <v>1.0190241628152112</v>
      </c>
      <c r="K1297" s="315">
        <f t="shared" si="45"/>
        <v>1.8845466241312031E-2</v>
      </c>
      <c r="L1297" s="234"/>
      <c r="M1297" s="234"/>
      <c r="N1297" s="234"/>
      <c r="O1297" s="234"/>
      <c r="P1297" s="234"/>
      <c r="Q1297" s="234"/>
      <c r="R1297" s="234"/>
    </row>
    <row r="1298" spans="8:18" ht="15" customHeight="1" x14ac:dyDescent="0.3">
      <c r="H1298" s="234" t="s">
        <v>2791</v>
      </c>
      <c r="I1298" s="306" t="s">
        <v>2792</v>
      </c>
      <c r="J1298" s="234">
        <f t="shared" si="44"/>
        <v>1.0036008544400365</v>
      </c>
      <c r="K1298" s="315">
        <f t="shared" si="45"/>
        <v>3.5943868848539902E-3</v>
      </c>
      <c r="L1298" s="234"/>
      <c r="M1298" s="234"/>
      <c r="N1298" s="234"/>
      <c r="O1298" s="234"/>
      <c r="P1298" s="234"/>
      <c r="Q1298" s="234"/>
      <c r="R1298" s="234"/>
    </row>
    <row r="1299" spans="8:18" ht="15" customHeight="1" x14ac:dyDescent="0.3">
      <c r="H1299" s="234" t="s">
        <v>2793</v>
      </c>
      <c r="I1299" s="306" t="s">
        <v>2794</v>
      </c>
      <c r="J1299" s="234">
        <f t="shared" si="44"/>
        <v>0.99248894542370825</v>
      </c>
      <c r="K1299" s="315">
        <f t="shared" si="45"/>
        <v>-7.5394045949535547E-3</v>
      </c>
      <c r="L1299" s="234"/>
      <c r="M1299" s="234"/>
      <c r="N1299" s="234"/>
      <c r="O1299" s="234"/>
      <c r="P1299" s="234"/>
      <c r="Q1299" s="234"/>
      <c r="R1299" s="234"/>
    </row>
    <row r="1300" spans="8:18" ht="15" customHeight="1" x14ac:dyDescent="0.3">
      <c r="H1300" s="234" t="s">
        <v>2795</v>
      </c>
      <c r="I1300" s="306" t="s">
        <v>2796</v>
      </c>
      <c r="J1300" s="234">
        <f t="shared" si="44"/>
        <v>0.99724146262886593</v>
      </c>
      <c r="K1300" s="315">
        <f t="shared" si="45"/>
        <v>-2.7623491469124777E-3</v>
      </c>
      <c r="L1300" s="234"/>
      <c r="M1300" s="234"/>
      <c r="N1300" s="234"/>
      <c r="O1300" s="234"/>
      <c r="P1300" s="234"/>
      <c r="Q1300" s="234"/>
      <c r="R1300" s="234"/>
    </row>
    <row r="1301" spans="8:18" ht="15" customHeight="1" x14ac:dyDescent="0.3">
      <c r="H1301" s="234" t="s">
        <v>2797</v>
      </c>
      <c r="I1301" s="306" t="s">
        <v>2798</v>
      </c>
      <c r="J1301" s="234">
        <f t="shared" si="44"/>
        <v>1.0083856165357048</v>
      </c>
      <c r="K1301" s="315">
        <f t="shared" si="45"/>
        <v>8.3506525802626488E-3</v>
      </c>
      <c r="L1301" s="234"/>
      <c r="M1301" s="234"/>
      <c r="N1301" s="234"/>
      <c r="O1301" s="234"/>
      <c r="P1301" s="234"/>
      <c r="Q1301" s="234"/>
      <c r="R1301" s="234"/>
    </row>
    <row r="1302" spans="8:18" ht="15" customHeight="1" x14ac:dyDescent="0.3">
      <c r="H1302" s="234" t="s">
        <v>2799</v>
      </c>
      <c r="I1302" s="306" t="s">
        <v>2800</v>
      </c>
      <c r="J1302" s="234">
        <f t="shared" si="44"/>
        <v>1.0104531046438867</v>
      </c>
      <c r="K1302" s="315">
        <f t="shared" si="45"/>
        <v>1.0398848713286821E-2</v>
      </c>
      <c r="L1302" s="234"/>
      <c r="M1302" s="234"/>
      <c r="N1302" s="234"/>
      <c r="O1302" s="234"/>
      <c r="P1302" s="234"/>
      <c r="Q1302" s="234"/>
      <c r="R1302" s="234"/>
    </row>
    <row r="1303" spans="8:18" ht="15" customHeight="1" x14ac:dyDescent="0.3">
      <c r="H1303" s="234" t="s">
        <v>2801</v>
      </c>
      <c r="I1303" s="306" t="s">
        <v>2802</v>
      </c>
      <c r="J1303" s="234">
        <f t="shared" si="44"/>
        <v>0.99549650749560881</v>
      </c>
      <c r="K1303" s="315">
        <f t="shared" si="45"/>
        <v>-4.5136637757440014E-3</v>
      </c>
      <c r="L1303" s="234"/>
      <c r="M1303" s="234"/>
      <c r="N1303" s="234"/>
      <c r="O1303" s="234"/>
      <c r="P1303" s="234"/>
      <c r="Q1303" s="234"/>
      <c r="R1303" s="234"/>
    </row>
    <row r="1304" spans="8:18" ht="15" customHeight="1" x14ac:dyDescent="0.3">
      <c r="H1304" s="234" t="s">
        <v>2803</v>
      </c>
      <c r="I1304" s="306" t="s">
        <v>2804</v>
      </c>
      <c r="J1304" s="234">
        <f t="shared" si="44"/>
        <v>1.0250601905160683</v>
      </c>
      <c r="K1304" s="315">
        <f t="shared" si="45"/>
        <v>2.4751333320976468E-2</v>
      </c>
      <c r="L1304" s="234"/>
      <c r="M1304" s="234"/>
      <c r="N1304" s="234"/>
      <c r="O1304" s="234"/>
      <c r="P1304" s="234"/>
      <c r="Q1304" s="234"/>
      <c r="R1304" s="234"/>
    </row>
    <row r="1305" spans="8:18" ht="15" customHeight="1" x14ac:dyDescent="0.3">
      <c r="H1305" s="234" t="s">
        <v>2805</v>
      </c>
      <c r="I1305" s="306" t="s">
        <v>2806</v>
      </c>
      <c r="J1305" s="234">
        <f t="shared" si="44"/>
        <v>0.99910056894243637</v>
      </c>
      <c r="K1305" s="315">
        <f t="shared" si="45"/>
        <v>-8.9983578838045801E-4</v>
      </c>
      <c r="L1305" s="234"/>
      <c r="M1305" s="234"/>
      <c r="N1305" s="234"/>
      <c r="O1305" s="234"/>
      <c r="P1305" s="234"/>
      <c r="Q1305" s="234"/>
      <c r="R1305" s="234"/>
    </row>
    <row r="1306" spans="8:18" ht="15" customHeight="1" x14ac:dyDescent="0.3">
      <c r="H1306" s="234" t="s">
        <v>2807</v>
      </c>
      <c r="I1306" s="306" t="s">
        <v>2808</v>
      </c>
      <c r="J1306" s="234">
        <f t="shared" si="44"/>
        <v>0.99505676910428653</v>
      </c>
      <c r="K1306" s="315">
        <f t="shared" si="45"/>
        <v>-4.955489074915928E-3</v>
      </c>
      <c r="L1306" s="234"/>
      <c r="M1306" s="234"/>
      <c r="N1306" s="234"/>
      <c r="O1306" s="234"/>
      <c r="P1306" s="234"/>
      <c r="Q1306" s="234"/>
      <c r="R1306" s="234"/>
    </row>
    <row r="1307" spans="8:18" ht="15" customHeight="1" x14ac:dyDescent="0.3">
      <c r="H1307" s="234" t="s">
        <v>2809</v>
      </c>
      <c r="I1307" s="306" t="s">
        <v>2810</v>
      </c>
      <c r="J1307" s="234">
        <f t="shared" si="44"/>
        <v>1.0220380986821813</v>
      </c>
      <c r="K1307" s="315">
        <f t="shared" si="45"/>
        <v>2.1798769640678128E-2</v>
      </c>
      <c r="L1307" s="234"/>
      <c r="M1307" s="234"/>
      <c r="N1307" s="234"/>
      <c r="O1307" s="234"/>
      <c r="P1307" s="234"/>
      <c r="Q1307" s="234"/>
      <c r="R1307" s="234"/>
    </row>
    <row r="1308" spans="8:18" ht="15" customHeight="1" x14ac:dyDescent="0.3">
      <c r="H1308" s="234" t="s">
        <v>2811</v>
      </c>
      <c r="I1308" s="306" t="s">
        <v>2812</v>
      </c>
      <c r="J1308" s="234">
        <f t="shared" si="44"/>
        <v>0.9847499345378371</v>
      </c>
      <c r="K1308" s="315">
        <f t="shared" si="45"/>
        <v>-1.5367543607044691E-2</v>
      </c>
      <c r="L1308" s="234"/>
      <c r="M1308" s="234"/>
      <c r="N1308" s="234"/>
      <c r="O1308" s="234"/>
      <c r="P1308" s="234"/>
      <c r="Q1308" s="234"/>
      <c r="R1308" s="234"/>
    </row>
    <row r="1309" spans="8:18" ht="15" customHeight="1" x14ac:dyDescent="0.3">
      <c r="H1309" s="234" t="s">
        <v>2813</v>
      </c>
      <c r="I1309" s="306" t="s">
        <v>2814</v>
      </c>
      <c r="J1309" s="234">
        <f t="shared" si="44"/>
        <v>1.0092067988668556</v>
      </c>
      <c r="K1309" s="315">
        <f t="shared" si="45"/>
        <v>9.1646746495635933E-3</v>
      </c>
      <c r="L1309" s="234"/>
      <c r="M1309" s="234"/>
      <c r="N1309" s="234"/>
      <c r="O1309" s="234"/>
      <c r="P1309" s="234"/>
      <c r="Q1309" s="234"/>
      <c r="R1309" s="234"/>
    </row>
    <row r="1310" spans="8:18" ht="15" customHeight="1" x14ac:dyDescent="0.3">
      <c r="H1310" s="234" t="s">
        <v>2815</v>
      </c>
      <c r="I1310" s="306" t="s">
        <v>2816</v>
      </c>
      <c r="J1310" s="234">
        <f t="shared" si="44"/>
        <v>1.010877695381788</v>
      </c>
      <c r="K1310" s="315">
        <f t="shared" si="45"/>
        <v>1.0818958815147047E-2</v>
      </c>
      <c r="L1310" s="234"/>
      <c r="M1310" s="234"/>
      <c r="N1310" s="234"/>
      <c r="O1310" s="234"/>
      <c r="P1310" s="234"/>
      <c r="Q1310" s="234"/>
      <c r="R1310" s="234"/>
    </row>
    <row r="1311" spans="8:18" ht="15" customHeight="1" x14ac:dyDescent="0.3">
      <c r="H1311" s="234" t="s">
        <v>2817</v>
      </c>
      <c r="I1311" s="306" t="s">
        <v>2818</v>
      </c>
      <c r="J1311" s="234">
        <f t="shared" si="44"/>
        <v>0.98860191200549308</v>
      </c>
      <c r="K1311" s="315">
        <f t="shared" si="45"/>
        <v>-1.1463544057443093E-2</v>
      </c>
      <c r="L1311" s="234"/>
      <c r="M1311" s="234"/>
      <c r="N1311" s="234"/>
      <c r="O1311" s="234"/>
      <c r="P1311" s="234"/>
      <c r="Q1311" s="234"/>
      <c r="R1311" s="234"/>
    </row>
    <row r="1312" spans="8:18" ht="15" customHeight="1" x14ac:dyDescent="0.3">
      <c r="H1312" s="234" t="s">
        <v>2819</v>
      </c>
      <c r="I1312" s="306" t="s">
        <v>2820</v>
      </c>
      <c r="J1312" s="234">
        <f t="shared" si="44"/>
        <v>0.97587753208597494</v>
      </c>
      <c r="K1312" s="315">
        <f t="shared" si="45"/>
        <v>-2.4418179862353267E-2</v>
      </c>
      <c r="L1312" s="234"/>
      <c r="M1312" s="234"/>
      <c r="N1312" s="234"/>
      <c r="O1312" s="234"/>
      <c r="P1312" s="234"/>
      <c r="Q1312" s="234"/>
      <c r="R1312" s="234"/>
    </row>
    <row r="1313" spans="8:18" ht="15" customHeight="1" x14ac:dyDescent="0.3">
      <c r="H1313" s="234" t="s">
        <v>2821</v>
      </c>
      <c r="I1313" s="306" t="s">
        <v>2822</v>
      </c>
      <c r="J1313" s="234">
        <f t="shared" si="44"/>
        <v>0.99993815134366204</v>
      </c>
      <c r="K1313" s="315">
        <f t="shared" si="45"/>
        <v>-6.1850569044970825E-5</v>
      </c>
      <c r="L1313" s="234"/>
      <c r="M1313" s="234"/>
      <c r="N1313" s="234"/>
      <c r="O1313" s="234"/>
      <c r="P1313" s="234"/>
      <c r="Q1313" s="234"/>
      <c r="R1313" s="234"/>
    </row>
    <row r="1314" spans="8:18" ht="15" customHeight="1" x14ac:dyDescent="0.3">
      <c r="H1314" s="234" t="s">
        <v>2823</v>
      </c>
      <c r="I1314" s="306" t="s">
        <v>2824</v>
      </c>
      <c r="J1314" s="234">
        <f t="shared" si="44"/>
        <v>1.0133284587663864</v>
      </c>
      <c r="K1314" s="315">
        <f t="shared" si="45"/>
        <v>1.3240416310542376E-2</v>
      </c>
      <c r="L1314" s="234"/>
      <c r="M1314" s="234"/>
      <c r="N1314" s="234"/>
      <c r="O1314" s="234"/>
      <c r="P1314" s="234"/>
      <c r="Q1314" s="234"/>
      <c r="R1314" s="234"/>
    </row>
    <row r="1315" spans="8:18" ht="15" customHeight="1" x14ac:dyDescent="0.3">
      <c r="H1315" s="234" t="s">
        <v>2825</v>
      </c>
      <c r="I1315" s="306" t="s">
        <v>2826</v>
      </c>
      <c r="J1315" s="234">
        <f t="shared" si="44"/>
        <v>0.98397640142249265</v>
      </c>
      <c r="K1315" s="315">
        <f t="shared" si="45"/>
        <v>-1.6153364511678227E-2</v>
      </c>
      <c r="L1315" s="234"/>
      <c r="M1315" s="234"/>
      <c r="N1315" s="234"/>
      <c r="O1315" s="234"/>
      <c r="P1315" s="234"/>
      <c r="Q1315" s="234"/>
      <c r="R1315" s="234"/>
    </row>
    <row r="1316" spans="8:18" ht="15" customHeight="1" x14ac:dyDescent="0.3">
      <c r="H1316" s="234" t="s">
        <v>2827</v>
      </c>
      <c r="I1316" s="306" t="s">
        <v>2828</v>
      </c>
      <c r="J1316" s="234">
        <f t="shared" si="44"/>
        <v>1.0030826331254188</v>
      </c>
      <c r="K1316" s="315">
        <f t="shared" si="45"/>
        <v>3.0778915537772815E-3</v>
      </c>
      <c r="L1316" s="234"/>
      <c r="M1316" s="234"/>
      <c r="N1316" s="234"/>
      <c r="O1316" s="234"/>
      <c r="P1316" s="234"/>
      <c r="Q1316" s="234"/>
      <c r="R1316" s="234"/>
    </row>
    <row r="1317" spans="8:18" ht="15" customHeight="1" x14ac:dyDescent="0.3">
      <c r="H1317" s="234" t="s">
        <v>2829</v>
      </c>
      <c r="I1317" s="306" t="s">
        <v>2830</v>
      </c>
      <c r="J1317" s="234">
        <f t="shared" si="44"/>
        <v>0.98689498692551103</v>
      </c>
      <c r="K1317" s="315">
        <f t="shared" si="45"/>
        <v>-1.3191641434554788E-2</v>
      </c>
      <c r="L1317" s="234"/>
      <c r="M1317" s="234"/>
      <c r="N1317" s="234"/>
      <c r="O1317" s="234"/>
      <c r="P1317" s="234"/>
      <c r="Q1317" s="234"/>
      <c r="R1317" s="234"/>
    </row>
    <row r="1318" spans="8:18" ht="15" customHeight="1" x14ac:dyDescent="0.3">
      <c r="H1318" s="234" t="s">
        <v>2831</v>
      </c>
      <c r="I1318" s="306" t="s">
        <v>2832</v>
      </c>
      <c r="J1318" s="234">
        <f t="shared" si="44"/>
        <v>0.98186776958580591</v>
      </c>
      <c r="K1318" s="315">
        <f t="shared" si="45"/>
        <v>-1.8298633883967495E-2</v>
      </c>
      <c r="L1318" s="234"/>
      <c r="M1318" s="234"/>
      <c r="N1318" s="234"/>
      <c r="O1318" s="234"/>
      <c r="P1318" s="234"/>
      <c r="Q1318" s="234"/>
      <c r="R1318" s="234"/>
    </row>
    <row r="1319" spans="8:18" ht="15" customHeight="1" x14ac:dyDescent="0.3">
      <c r="H1319" s="234" t="s">
        <v>2833</v>
      </c>
      <c r="I1319" s="306" t="s">
        <v>2834</v>
      </c>
      <c r="J1319" s="234">
        <f t="shared" si="44"/>
        <v>1.0042538676084034</v>
      </c>
      <c r="K1319" s="315">
        <f t="shared" si="45"/>
        <v>4.2448454904692439E-3</v>
      </c>
      <c r="L1319" s="234"/>
      <c r="M1319" s="234"/>
      <c r="N1319" s="234"/>
      <c r="O1319" s="234"/>
      <c r="P1319" s="234"/>
      <c r="Q1319" s="234"/>
      <c r="R1319" s="234"/>
    </row>
    <row r="1320" spans="8:18" ht="15" customHeight="1" x14ac:dyDescent="0.3">
      <c r="H1320" s="234" t="s">
        <v>2835</v>
      </c>
      <c r="I1320" s="306" t="s">
        <v>2836</v>
      </c>
      <c r="J1320" s="234">
        <f t="shared" si="44"/>
        <v>0.9937686317909451</v>
      </c>
      <c r="K1320" s="315">
        <f t="shared" si="45"/>
        <v>-6.2508642173349479E-3</v>
      </c>
      <c r="L1320" s="234"/>
      <c r="M1320" s="234"/>
      <c r="N1320" s="234"/>
      <c r="O1320" s="234"/>
      <c r="P1320" s="234"/>
      <c r="Q1320" s="234"/>
      <c r="R1320" s="234"/>
    </row>
    <row r="1321" spans="8:18" ht="15" customHeight="1" x14ac:dyDescent="0.3">
      <c r="H1321" s="234" t="s">
        <v>2837</v>
      </c>
      <c r="I1321" s="306" t="s">
        <v>2838</v>
      </c>
      <c r="J1321" s="234">
        <f t="shared" si="44"/>
        <v>1.0002193922833751</v>
      </c>
      <c r="K1321" s="315">
        <f t="shared" si="45"/>
        <v>2.1936822040750575E-4</v>
      </c>
      <c r="L1321" s="234"/>
      <c r="M1321" s="234"/>
      <c r="N1321" s="234"/>
      <c r="O1321" s="234"/>
      <c r="P1321" s="234"/>
      <c r="Q1321" s="234"/>
      <c r="R1321" s="234"/>
    </row>
    <row r="1322" spans="8:18" ht="15" customHeight="1" x14ac:dyDescent="0.3">
      <c r="H1322" s="234" t="s">
        <v>2839</v>
      </c>
      <c r="I1322" s="306" t="s">
        <v>2840</v>
      </c>
      <c r="J1322" s="234">
        <f t="shared" si="44"/>
        <v>1.0194170809316132</v>
      </c>
      <c r="K1322" s="315">
        <f t="shared" si="45"/>
        <v>1.9230974651204612E-2</v>
      </c>
      <c r="L1322" s="234"/>
      <c r="M1322" s="234"/>
      <c r="N1322" s="234"/>
      <c r="O1322" s="234"/>
      <c r="P1322" s="234"/>
      <c r="Q1322" s="234"/>
      <c r="R1322" s="234"/>
    </row>
    <row r="1323" spans="8:18" ht="15" customHeight="1" x14ac:dyDescent="0.3">
      <c r="H1323" s="234" t="s">
        <v>2841</v>
      </c>
      <c r="I1323" s="306" t="s">
        <v>2842</v>
      </c>
      <c r="J1323" s="234">
        <f t="shared" si="44"/>
        <v>0.99522455710802415</v>
      </c>
      <c r="K1323" s="315">
        <f t="shared" si="45"/>
        <v>-4.7868817509910885E-3</v>
      </c>
      <c r="L1323" s="234"/>
      <c r="M1323" s="234"/>
      <c r="N1323" s="234"/>
      <c r="O1323" s="234"/>
      <c r="P1323" s="234"/>
      <c r="Q1323" s="234"/>
      <c r="R1323" s="234"/>
    </row>
    <row r="1324" spans="8:18" ht="15" customHeight="1" x14ac:dyDescent="0.3">
      <c r="H1324" s="234" t="s">
        <v>2843</v>
      </c>
      <c r="I1324" s="306" t="s">
        <v>2844</v>
      </c>
      <c r="J1324" s="234">
        <f t="shared" si="44"/>
        <v>0.97579251858506677</v>
      </c>
      <c r="K1324" s="315">
        <f t="shared" si="45"/>
        <v>-2.4505298585041777E-2</v>
      </c>
      <c r="L1324" s="234"/>
      <c r="M1324" s="234"/>
      <c r="N1324" s="234"/>
      <c r="O1324" s="234"/>
      <c r="P1324" s="234"/>
      <c r="Q1324" s="234"/>
      <c r="R1324" s="234"/>
    </row>
    <row r="1325" spans="8:18" ht="15" customHeight="1" x14ac:dyDescent="0.3">
      <c r="H1325" s="234" t="s">
        <v>2845</v>
      </c>
      <c r="I1325" s="306" t="s">
        <v>2846</v>
      </c>
      <c r="J1325" s="234">
        <f t="shared" si="44"/>
        <v>1.0124037981009495</v>
      </c>
      <c r="K1325" s="315">
        <f t="shared" si="45"/>
        <v>1.2327501263135638E-2</v>
      </c>
      <c r="L1325" s="234"/>
      <c r="M1325" s="234"/>
      <c r="N1325" s="234"/>
      <c r="O1325" s="234"/>
      <c r="P1325" s="234"/>
      <c r="Q1325" s="234"/>
      <c r="R1325" s="234"/>
    </row>
    <row r="1326" spans="8:18" ht="15" customHeight="1" x14ac:dyDescent="0.3">
      <c r="H1326" s="234" t="s">
        <v>2847</v>
      </c>
      <c r="I1326" s="306" t="s">
        <v>2848</v>
      </c>
      <c r="J1326" s="234">
        <f t="shared" si="44"/>
        <v>0.98825551417931823</v>
      </c>
      <c r="K1326" s="315">
        <f t="shared" si="45"/>
        <v>-1.1813997079630611E-2</v>
      </c>
      <c r="L1326" s="234"/>
      <c r="M1326" s="234"/>
      <c r="N1326" s="234"/>
      <c r="O1326" s="234"/>
      <c r="P1326" s="234"/>
      <c r="Q1326" s="234"/>
      <c r="R1326" s="234"/>
    </row>
    <row r="1327" spans="8:18" ht="15" customHeight="1" x14ac:dyDescent="0.3">
      <c r="H1327" s="234" t="s">
        <v>2849</v>
      </c>
      <c r="I1327" s="306" t="s">
        <v>2850</v>
      </c>
      <c r="J1327" s="234">
        <f t="shared" si="44"/>
        <v>1.0050231800899407</v>
      </c>
      <c r="K1327" s="315">
        <f t="shared" si="45"/>
        <v>5.0106060111616323E-3</v>
      </c>
      <c r="L1327" s="234"/>
      <c r="M1327" s="234"/>
      <c r="N1327" s="234"/>
      <c r="O1327" s="234"/>
      <c r="P1327" s="234"/>
      <c r="Q1327" s="234"/>
      <c r="R1327" s="234"/>
    </row>
    <row r="1328" spans="8:18" ht="15" customHeight="1" x14ac:dyDescent="0.3">
      <c r="H1328" s="234" t="s">
        <v>2851</v>
      </c>
      <c r="I1328" s="306" t="s">
        <v>2852</v>
      </c>
      <c r="J1328" s="234">
        <f t="shared" si="44"/>
        <v>0.98844089450599049</v>
      </c>
      <c r="K1328" s="315">
        <f t="shared" si="45"/>
        <v>-1.1626431273975063E-2</v>
      </c>
      <c r="L1328" s="234"/>
      <c r="M1328" s="234"/>
      <c r="N1328" s="234"/>
      <c r="O1328" s="234"/>
      <c r="P1328" s="234"/>
      <c r="Q1328" s="234"/>
      <c r="R1328" s="234"/>
    </row>
    <row r="1329" spans="8:18" ht="15" customHeight="1" x14ac:dyDescent="0.3">
      <c r="H1329" s="234" t="s">
        <v>2853</v>
      </c>
      <c r="I1329" s="306" t="s">
        <v>2854</v>
      </c>
      <c r="J1329" s="234">
        <f t="shared" si="44"/>
        <v>0.99748453527523295</v>
      </c>
      <c r="K1329" s="315">
        <f t="shared" si="45"/>
        <v>-2.5186338217745088E-3</v>
      </c>
      <c r="L1329" s="234"/>
      <c r="M1329" s="234"/>
      <c r="N1329" s="234"/>
      <c r="O1329" s="234"/>
      <c r="P1329" s="234"/>
      <c r="Q1329" s="234"/>
      <c r="R1329" s="234"/>
    </row>
    <row r="1330" spans="8:18" ht="15" customHeight="1" x14ac:dyDescent="0.3">
      <c r="H1330" s="234" t="s">
        <v>2855</v>
      </c>
      <c r="I1330" s="306" t="s">
        <v>2856</v>
      </c>
      <c r="J1330" s="234">
        <f t="shared" si="44"/>
        <v>1.0280332454569239</v>
      </c>
      <c r="K1330" s="315">
        <f t="shared" si="45"/>
        <v>2.7647506448690722E-2</v>
      </c>
      <c r="L1330" s="234"/>
      <c r="M1330" s="234"/>
      <c r="N1330" s="234"/>
      <c r="O1330" s="234"/>
      <c r="P1330" s="234"/>
      <c r="Q1330" s="234"/>
      <c r="R1330" s="234"/>
    </row>
    <row r="1331" spans="8:18" ht="15" customHeight="1" x14ac:dyDescent="0.3">
      <c r="H1331" s="234" t="s">
        <v>2857</v>
      </c>
      <c r="I1331" s="306" t="s">
        <v>2858</v>
      </c>
      <c r="J1331" s="234">
        <f t="shared" si="44"/>
        <v>0.97297879422764388</v>
      </c>
      <c r="K1331" s="315">
        <f t="shared" si="45"/>
        <v>-2.7392991249822706E-2</v>
      </c>
      <c r="L1331" s="234"/>
      <c r="M1331" s="234"/>
      <c r="N1331" s="234"/>
      <c r="O1331" s="234"/>
      <c r="P1331" s="234"/>
      <c r="Q1331" s="234"/>
      <c r="R1331" s="234"/>
    </row>
    <row r="1332" spans="8:18" ht="15" customHeight="1" x14ac:dyDescent="0.3">
      <c r="H1332" s="234" t="s">
        <v>2859</v>
      </c>
      <c r="I1332" s="306" t="s">
        <v>2860</v>
      </c>
      <c r="J1332" s="234">
        <f t="shared" si="44"/>
        <v>1.0150152537488448</v>
      </c>
      <c r="K1332" s="315">
        <f t="shared" si="45"/>
        <v>1.4903640704811575E-2</v>
      </c>
      <c r="L1332" s="234"/>
      <c r="M1332" s="234"/>
      <c r="N1332" s="234"/>
      <c r="O1332" s="234"/>
      <c r="P1332" s="234"/>
      <c r="Q1332" s="234"/>
      <c r="R1332" s="234"/>
    </row>
    <row r="1333" spans="8:18" ht="15" customHeight="1" x14ac:dyDescent="0.3">
      <c r="H1333" s="234" t="s">
        <v>2861</v>
      </c>
      <c r="I1333" s="306" t="s">
        <v>2862</v>
      </c>
      <c r="J1333" s="234">
        <f t="shared" si="44"/>
        <v>1.0000596273291926</v>
      </c>
      <c r="K1333" s="315">
        <f t="shared" si="45"/>
        <v>5.9625551554094361E-5</v>
      </c>
      <c r="L1333" s="234"/>
      <c r="M1333" s="234"/>
      <c r="N1333" s="234"/>
      <c r="O1333" s="234"/>
      <c r="P1333" s="234"/>
      <c r="Q1333" s="234"/>
      <c r="R1333" s="234"/>
    </row>
    <row r="1334" spans="8:18" ht="15" customHeight="1" x14ac:dyDescent="0.3">
      <c r="H1334" s="234" t="s">
        <v>2863</v>
      </c>
      <c r="I1334" s="306" t="s">
        <v>2864</v>
      </c>
      <c r="J1334" s="234">
        <f t="shared" si="44"/>
        <v>0.98537000949872211</v>
      </c>
      <c r="K1334" s="315">
        <f t="shared" si="45"/>
        <v>-1.4738064185512982E-2</v>
      </c>
      <c r="L1334" s="234"/>
      <c r="M1334" s="234"/>
      <c r="N1334" s="234"/>
      <c r="O1334" s="234"/>
      <c r="P1334" s="234"/>
      <c r="Q1334" s="234"/>
      <c r="R1334" s="234"/>
    </row>
    <row r="1335" spans="8:18" ht="15" customHeight="1" x14ac:dyDescent="0.3">
      <c r="H1335" s="234" t="s">
        <v>2865</v>
      </c>
      <c r="I1335" s="306" t="s">
        <v>2866</v>
      </c>
      <c r="J1335" s="234">
        <f t="shared" si="44"/>
        <v>0.99829900384190506</v>
      </c>
      <c r="K1335" s="315">
        <f t="shared" si="45"/>
        <v>-1.7024444947028893E-3</v>
      </c>
      <c r="L1335" s="234"/>
      <c r="M1335" s="234"/>
      <c r="N1335" s="234"/>
      <c r="O1335" s="234"/>
      <c r="P1335" s="234"/>
      <c r="Q1335" s="234"/>
      <c r="R1335" s="234"/>
    </row>
    <row r="1336" spans="8:18" ht="15" customHeight="1" x14ac:dyDescent="0.3">
      <c r="H1336" s="234" t="s">
        <v>2867</v>
      </c>
      <c r="I1336" s="306" t="s">
        <v>2868</v>
      </c>
      <c r="J1336" s="234">
        <f t="shared" si="44"/>
        <v>1.0075646392514159</v>
      </c>
      <c r="K1336" s="315">
        <f t="shared" si="45"/>
        <v>7.5361708465818264E-3</v>
      </c>
      <c r="L1336" s="234"/>
      <c r="M1336" s="234"/>
      <c r="N1336" s="234"/>
      <c r="O1336" s="234"/>
      <c r="P1336" s="234"/>
      <c r="Q1336" s="234"/>
      <c r="R1336" s="234"/>
    </row>
    <row r="1337" spans="8:18" ht="15" customHeight="1" x14ac:dyDescent="0.3">
      <c r="H1337" s="234" t="s">
        <v>2869</v>
      </c>
      <c r="I1337" s="306" t="s">
        <v>2870</v>
      </c>
      <c r="J1337" s="234">
        <f t="shared" si="44"/>
        <v>1.0006406465602207</v>
      </c>
      <c r="K1337" s="315">
        <f t="shared" si="45"/>
        <v>6.4044143381744969E-4</v>
      </c>
      <c r="L1337" s="234"/>
      <c r="M1337" s="234"/>
      <c r="N1337" s="234"/>
      <c r="O1337" s="234"/>
      <c r="P1337" s="234"/>
      <c r="Q1337" s="234"/>
      <c r="R1337" s="234"/>
    </row>
    <row r="1338" spans="8:18" ht="15" customHeight="1" x14ac:dyDescent="0.3">
      <c r="H1338" s="234" t="s">
        <v>2871</v>
      </c>
      <c r="I1338" s="306" t="s">
        <v>2872</v>
      </c>
      <c r="J1338" s="234">
        <f t="shared" si="44"/>
        <v>1.0060186608231783</v>
      </c>
      <c r="K1338" s="315">
        <f t="shared" si="45"/>
        <v>6.0006210315292578E-3</v>
      </c>
      <c r="L1338" s="234"/>
      <c r="M1338" s="234"/>
      <c r="N1338" s="234"/>
      <c r="O1338" s="234"/>
      <c r="P1338" s="234"/>
      <c r="Q1338" s="234"/>
      <c r="R1338" s="234"/>
    </row>
    <row r="1339" spans="8:18" ht="15" customHeight="1" x14ac:dyDescent="0.3">
      <c r="H1339" s="234" t="s">
        <v>2873</v>
      </c>
      <c r="I1339" s="306" t="s">
        <v>2874</v>
      </c>
      <c r="J1339" s="234">
        <f t="shared" si="44"/>
        <v>0.98805744964338893</v>
      </c>
      <c r="K1339" s="315">
        <f t="shared" si="45"/>
        <v>-1.2014435512427512E-2</v>
      </c>
      <c r="L1339" s="234"/>
      <c r="M1339" s="234"/>
      <c r="N1339" s="234"/>
      <c r="O1339" s="234"/>
      <c r="P1339" s="234"/>
      <c r="Q1339" s="234"/>
      <c r="R1339" s="234"/>
    </row>
    <row r="1340" spans="8:18" ht="15" customHeight="1" x14ac:dyDescent="0.3">
      <c r="H1340" s="234" t="s">
        <v>2875</v>
      </c>
      <c r="I1340" s="306" t="s">
        <v>2876</v>
      </c>
      <c r="J1340" s="234">
        <f t="shared" si="44"/>
        <v>1.0248501460887376</v>
      </c>
      <c r="K1340" s="315">
        <f t="shared" si="45"/>
        <v>2.4546402964448068E-2</v>
      </c>
      <c r="L1340" s="234"/>
      <c r="M1340" s="234"/>
      <c r="N1340" s="234"/>
      <c r="O1340" s="234"/>
      <c r="P1340" s="234"/>
      <c r="Q1340" s="234"/>
      <c r="R1340" s="234"/>
    </row>
    <row r="1341" spans="8:18" ht="15" customHeight="1" x14ac:dyDescent="0.3">
      <c r="H1341" s="234" t="s">
        <v>2877</v>
      </c>
      <c r="I1341" s="306" t="s">
        <v>2878</v>
      </c>
      <c r="J1341" s="234">
        <f t="shared" si="44"/>
        <v>0.98272289537040691</v>
      </c>
      <c r="K1341" s="315">
        <f t="shared" si="45"/>
        <v>-1.7428095451857101E-2</v>
      </c>
      <c r="L1341" s="234"/>
      <c r="M1341" s="234"/>
      <c r="N1341" s="234"/>
      <c r="O1341" s="234"/>
      <c r="P1341" s="234"/>
      <c r="Q1341" s="234"/>
      <c r="R1341" s="234"/>
    </row>
    <row r="1342" spans="8:18" ht="15" customHeight="1" x14ac:dyDescent="0.3">
      <c r="H1342" s="234" t="s">
        <v>2879</v>
      </c>
      <c r="I1342" s="306" t="s">
        <v>2880</v>
      </c>
      <c r="J1342" s="234">
        <f t="shared" si="44"/>
        <v>1.0087489673431607</v>
      </c>
      <c r="K1342" s="315">
        <f t="shared" si="45"/>
        <v>8.7109169020285378E-3</v>
      </c>
      <c r="L1342" s="234"/>
      <c r="M1342" s="234"/>
      <c r="N1342" s="234"/>
      <c r="O1342" s="234"/>
      <c r="P1342" s="234"/>
      <c r="Q1342" s="234"/>
      <c r="R1342" s="234"/>
    </row>
    <row r="1343" spans="8:18" ht="15" customHeight="1" x14ac:dyDescent="0.3">
      <c r="H1343" s="234" t="s">
        <v>2881</v>
      </c>
      <c r="I1343" s="306" t="s">
        <v>2882</v>
      </c>
      <c r="J1343" s="234">
        <f t="shared" si="44"/>
        <v>0.98385201433635594</v>
      </c>
      <c r="K1343" s="315">
        <f t="shared" si="45"/>
        <v>-1.6279785174482215E-2</v>
      </c>
      <c r="L1343" s="234"/>
      <c r="M1343" s="234"/>
      <c r="N1343" s="234"/>
      <c r="O1343" s="234"/>
      <c r="P1343" s="234"/>
      <c r="Q1343" s="234"/>
      <c r="R1343" s="234"/>
    </row>
    <row r="1344" spans="8:18" ht="15" customHeight="1" x14ac:dyDescent="0.3">
      <c r="H1344" s="234" t="s">
        <v>2883</v>
      </c>
      <c r="I1344" s="306" t="s">
        <v>2884</v>
      </c>
      <c r="J1344" s="234">
        <f t="shared" si="44"/>
        <v>0.99943235202004388</v>
      </c>
      <c r="K1344" s="315">
        <f t="shared" si="45"/>
        <v>-5.6780915306664135E-4</v>
      </c>
      <c r="L1344" s="234"/>
      <c r="M1344" s="234"/>
      <c r="N1344" s="234"/>
      <c r="O1344" s="234"/>
      <c r="P1344" s="234"/>
      <c r="Q1344" s="234"/>
      <c r="R1344" s="234"/>
    </row>
    <row r="1345" spans="8:18" ht="15" customHeight="1" x14ac:dyDescent="0.3">
      <c r="H1345" s="234" t="s">
        <v>2885</v>
      </c>
      <c r="I1345" s="306" t="s">
        <v>2886</v>
      </c>
      <c r="J1345" s="234">
        <f t="shared" si="44"/>
        <v>0.987694419472397</v>
      </c>
      <c r="K1345" s="315">
        <f t="shared" si="45"/>
        <v>-1.2381921106901346E-2</v>
      </c>
      <c r="L1345" s="234"/>
      <c r="M1345" s="234"/>
      <c r="N1345" s="234"/>
      <c r="O1345" s="234"/>
      <c r="P1345" s="234"/>
      <c r="Q1345" s="234"/>
      <c r="R1345" s="234"/>
    </row>
    <row r="1346" spans="8:18" ht="15" customHeight="1" x14ac:dyDescent="0.3">
      <c r="H1346" s="234" t="s">
        <v>2887</v>
      </c>
      <c r="I1346" s="306" t="s">
        <v>2888</v>
      </c>
      <c r="J1346" s="234">
        <f t="shared" si="44"/>
        <v>1.00654822137464</v>
      </c>
      <c r="K1346" s="315">
        <f t="shared" si="45"/>
        <v>6.5268749099642465E-3</v>
      </c>
      <c r="L1346" s="234"/>
      <c r="M1346" s="234"/>
      <c r="N1346" s="234"/>
      <c r="O1346" s="234"/>
      <c r="P1346" s="234"/>
      <c r="Q1346" s="234"/>
      <c r="R1346" s="234"/>
    </row>
    <row r="1347" spans="8:18" ht="15" customHeight="1" x14ac:dyDescent="0.3">
      <c r="H1347" s="234" t="s">
        <v>2889</v>
      </c>
      <c r="I1347" s="306" t="s">
        <v>2890</v>
      </c>
      <c r="J1347" s="234">
        <f t="shared" si="44"/>
        <v>0.98712973990549002</v>
      </c>
      <c r="K1347" s="315">
        <f t="shared" si="45"/>
        <v>-1.2953799448185657E-2</v>
      </c>
      <c r="L1347" s="234"/>
      <c r="M1347" s="234"/>
      <c r="N1347" s="234"/>
      <c r="O1347" s="234"/>
      <c r="P1347" s="234"/>
      <c r="Q1347" s="234"/>
      <c r="R1347" s="234"/>
    </row>
    <row r="1348" spans="8:18" ht="15" customHeight="1" x14ac:dyDescent="0.3">
      <c r="H1348" s="234" t="s">
        <v>2891</v>
      </c>
      <c r="I1348" s="306" t="s">
        <v>2892</v>
      </c>
      <c r="J1348" s="234">
        <f t="shared" si="44"/>
        <v>1.0128508195923926</v>
      </c>
      <c r="K1348" s="315">
        <f t="shared" si="45"/>
        <v>1.2768948471597511E-2</v>
      </c>
      <c r="L1348" s="234"/>
      <c r="M1348" s="234"/>
      <c r="N1348" s="234"/>
      <c r="O1348" s="234"/>
      <c r="P1348" s="234"/>
      <c r="Q1348" s="234"/>
      <c r="R1348" s="234"/>
    </row>
    <row r="1349" spans="8:18" ht="15" customHeight="1" x14ac:dyDescent="0.3">
      <c r="H1349" s="234" t="s">
        <v>2893</v>
      </c>
      <c r="I1349" s="306" t="s">
        <v>2894</v>
      </c>
      <c r="J1349" s="234">
        <f t="shared" ref="J1349:J1412" si="46">I1349/I1350</f>
        <v>1.0155601659751037</v>
      </c>
      <c r="K1349" s="315">
        <f t="shared" ref="K1349:K1412" si="47">LN(J1349)</f>
        <v>1.5440347919964714E-2</v>
      </c>
      <c r="L1349" s="234"/>
      <c r="M1349" s="234"/>
      <c r="N1349" s="234"/>
      <c r="O1349" s="234"/>
      <c r="P1349" s="234"/>
      <c r="Q1349" s="234"/>
      <c r="R1349" s="234"/>
    </row>
    <row r="1350" spans="8:18" ht="15" customHeight="1" x14ac:dyDescent="0.3">
      <c r="H1350" s="234" t="s">
        <v>2895</v>
      </c>
      <c r="I1350" s="306" t="s">
        <v>2896</v>
      </c>
      <c r="J1350" s="234">
        <f t="shared" si="46"/>
        <v>0.9843813821407037</v>
      </c>
      <c r="K1350" s="315">
        <f t="shared" si="47"/>
        <v>-1.5741873544632214E-2</v>
      </c>
      <c r="L1350" s="234"/>
      <c r="M1350" s="234"/>
      <c r="N1350" s="234"/>
      <c r="O1350" s="234"/>
      <c r="P1350" s="234"/>
      <c r="Q1350" s="234"/>
      <c r="R1350" s="234"/>
    </row>
    <row r="1351" spans="8:18" ht="15" customHeight="1" x14ac:dyDescent="0.3">
      <c r="H1351" s="234" t="s">
        <v>2897</v>
      </c>
      <c r="I1351" s="306" t="s">
        <v>2898</v>
      </c>
      <c r="J1351" s="234">
        <f t="shared" si="46"/>
        <v>0.99915462575184866</v>
      </c>
      <c r="K1351" s="315">
        <f t="shared" si="47"/>
        <v>-8.4573177847321423E-4</v>
      </c>
      <c r="L1351" s="234"/>
      <c r="M1351" s="234"/>
      <c r="N1351" s="234"/>
      <c r="O1351" s="234"/>
      <c r="P1351" s="234"/>
      <c r="Q1351" s="234"/>
      <c r="R1351" s="234"/>
    </row>
    <row r="1352" spans="8:18" ht="15" customHeight="1" x14ac:dyDescent="0.3">
      <c r="H1352" s="234" t="s">
        <v>2899</v>
      </c>
      <c r="I1352" s="306" t="s">
        <v>2900</v>
      </c>
      <c r="J1352" s="234">
        <f t="shared" si="46"/>
        <v>0.98003047328825821</v>
      </c>
      <c r="K1352" s="315">
        <f t="shared" si="47"/>
        <v>-2.01716126088647E-2</v>
      </c>
      <c r="L1352" s="234"/>
      <c r="M1352" s="234"/>
      <c r="N1352" s="234"/>
      <c r="O1352" s="234"/>
      <c r="P1352" s="234"/>
      <c r="Q1352" s="234"/>
      <c r="R1352" s="234"/>
    </row>
    <row r="1353" spans="8:18" ht="15" customHeight="1" x14ac:dyDescent="0.3">
      <c r="H1353" s="234" t="s">
        <v>2901</v>
      </c>
      <c r="I1353" s="306" t="s">
        <v>2902</v>
      </c>
      <c r="J1353" s="234">
        <f t="shared" si="46"/>
        <v>0.99436579707400219</v>
      </c>
      <c r="K1353" s="315">
        <f t="shared" si="47"/>
        <v>-5.6501349182034458E-3</v>
      </c>
      <c r="L1353" s="234"/>
      <c r="M1353" s="234"/>
      <c r="N1353" s="234"/>
      <c r="O1353" s="234"/>
      <c r="P1353" s="234"/>
      <c r="Q1353" s="234"/>
      <c r="R1353" s="234"/>
    </row>
    <row r="1354" spans="8:18" ht="15" customHeight="1" x14ac:dyDescent="0.3">
      <c r="H1354" s="234" t="s">
        <v>2903</v>
      </c>
      <c r="I1354" s="306" t="s">
        <v>2904</v>
      </c>
      <c r="J1354" s="234">
        <f t="shared" si="46"/>
        <v>1.0143403258029815</v>
      </c>
      <c r="K1354" s="315">
        <f t="shared" si="47"/>
        <v>1.4238475883477297E-2</v>
      </c>
      <c r="L1354" s="234"/>
      <c r="M1354" s="234"/>
      <c r="N1354" s="234"/>
      <c r="O1354" s="234"/>
      <c r="P1354" s="234"/>
      <c r="Q1354" s="234"/>
      <c r="R1354" s="234"/>
    </row>
    <row r="1355" spans="8:18" ht="15" customHeight="1" x14ac:dyDescent="0.3">
      <c r="H1355" s="234" t="s">
        <v>2905</v>
      </c>
      <c r="I1355" s="306" t="s">
        <v>2906</v>
      </c>
      <c r="J1355" s="234">
        <f t="shared" si="46"/>
        <v>0.99650640810896174</v>
      </c>
      <c r="K1355" s="315">
        <f t="shared" si="47"/>
        <v>-3.4997087338458138E-3</v>
      </c>
      <c r="L1355" s="234"/>
      <c r="M1355" s="234"/>
      <c r="N1355" s="234"/>
      <c r="O1355" s="234"/>
      <c r="P1355" s="234"/>
      <c r="Q1355" s="234"/>
      <c r="R1355" s="234"/>
    </row>
    <row r="1356" spans="8:18" ht="15" customHeight="1" x14ac:dyDescent="0.3">
      <c r="H1356" s="234" t="s">
        <v>2907</v>
      </c>
      <c r="I1356" s="306" t="s">
        <v>2908</v>
      </c>
      <c r="J1356" s="234">
        <f t="shared" si="46"/>
        <v>1.0204725486174193</v>
      </c>
      <c r="K1356" s="315">
        <f t="shared" si="47"/>
        <v>2.0265802972017705E-2</v>
      </c>
      <c r="L1356" s="234"/>
      <c r="M1356" s="234"/>
      <c r="N1356" s="234"/>
      <c r="O1356" s="234"/>
      <c r="P1356" s="234"/>
      <c r="Q1356" s="234"/>
      <c r="R1356" s="234"/>
    </row>
    <row r="1357" spans="8:18" ht="15" customHeight="1" x14ac:dyDescent="0.3">
      <c r="H1357" s="234" t="s">
        <v>2909</v>
      </c>
      <c r="I1357" s="306" t="s">
        <v>2910</v>
      </c>
      <c r="J1357" s="234">
        <f t="shared" si="46"/>
        <v>1.000870058264576</v>
      </c>
      <c r="K1357" s="315">
        <f t="shared" si="47"/>
        <v>8.6967998328604096E-4</v>
      </c>
      <c r="L1357" s="234"/>
      <c r="M1357" s="234"/>
      <c r="N1357" s="234"/>
      <c r="O1357" s="234"/>
      <c r="P1357" s="234"/>
      <c r="Q1357" s="234"/>
      <c r="R1357" s="234"/>
    </row>
    <row r="1358" spans="8:18" ht="15" customHeight="1" x14ac:dyDescent="0.3">
      <c r="H1358" s="234" t="s">
        <v>2911</v>
      </c>
      <c r="I1358" s="306" t="s">
        <v>2912</v>
      </c>
      <c r="J1358" s="234">
        <f t="shared" si="46"/>
        <v>0.98083247835383691</v>
      </c>
      <c r="K1358" s="315">
        <f t="shared" si="47"/>
        <v>-1.9353600203022157E-2</v>
      </c>
      <c r="L1358" s="234"/>
      <c r="M1358" s="234"/>
      <c r="N1358" s="234"/>
      <c r="O1358" s="234"/>
      <c r="P1358" s="234"/>
      <c r="Q1358" s="234"/>
      <c r="R1358" s="234"/>
    </row>
    <row r="1359" spans="8:18" ht="15" customHeight="1" x14ac:dyDescent="0.3">
      <c r="H1359" s="234" t="s">
        <v>2913</v>
      </c>
      <c r="I1359" s="306" t="s">
        <v>2914</v>
      </c>
      <c r="J1359" s="234">
        <f t="shared" si="46"/>
        <v>0.99979868088043566</v>
      </c>
      <c r="K1359" s="315">
        <f t="shared" si="47"/>
        <v>-2.0133938697847805E-4</v>
      </c>
      <c r="L1359" s="234"/>
      <c r="M1359" s="234"/>
      <c r="N1359" s="234"/>
      <c r="O1359" s="234"/>
      <c r="P1359" s="234"/>
      <c r="Q1359" s="234"/>
      <c r="R1359" s="234"/>
    </row>
    <row r="1360" spans="8:18" ht="15" customHeight="1" x14ac:dyDescent="0.3">
      <c r="H1360" s="234" t="s">
        <v>2915</v>
      </c>
      <c r="I1360" s="306" t="s">
        <v>2916</v>
      </c>
      <c r="J1360" s="234">
        <f t="shared" si="46"/>
        <v>0.99890831785187595</v>
      </c>
      <c r="K1360" s="315">
        <f t="shared" si="47"/>
        <v>-1.0922784671136864E-3</v>
      </c>
      <c r="L1360" s="234"/>
      <c r="M1360" s="234"/>
      <c r="N1360" s="234"/>
      <c r="O1360" s="234"/>
      <c r="P1360" s="234"/>
      <c r="Q1360" s="234"/>
      <c r="R1360" s="234"/>
    </row>
    <row r="1361" spans="8:18" ht="15" customHeight="1" x14ac:dyDescent="0.3">
      <c r="H1361" s="234" t="s">
        <v>2917</v>
      </c>
      <c r="I1361" s="306" t="s">
        <v>2918</v>
      </c>
      <c r="J1361" s="234">
        <f t="shared" si="46"/>
        <v>1.0149482932897909</v>
      </c>
      <c r="K1361" s="315">
        <f t="shared" si="47"/>
        <v>1.4837668624499162E-2</v>
      </c>
      <c r="L1361" s="234"/>
      <c r="M1361" s="234"/>
      <c r="N1361" s="234"/>
      <c r="O1361" s="234"/>
      <c r="P1361" s="234"/>
      <c r="Q1361" s="234"/>
      <c r="R1361" s="234"/>
    </row>
    <row r="1362" spans="8:18" ht="15" customHeight="1" x14ac:dyDescent="0.3">
      <c r="H1362" s="234" t="s">
        <v>2919</v>
      </c>
      <c r="I1362" s="306" t="s">
        <v>2920</v>
      </c>
      <c r="J1362" s="234">
        <f t="shared" si="46"/>
        <v>1.0232114087952742</v>
      </c>
      <c r="K1362" s="315">
        <f t="shared" si="47"/>
        <v>2.2946121332994285E-2</v>
      </c>
      <c r="L1362" s="234"/>
      <c r="M1362" s="234"/>
      <c r="N1362" s="234"/>
      <c r="O1362" s="234"/>
      <c r="P1362" s="234"/>
      <c r="Q1362" s="234"/>
      <c r="R1362" s="234"/>
    </row>
    <row r="1363" spans="8:18" ht="15" customHeight="1" x14ac:dyDescent="0.3">
      <c r="H1363" s="234" t="s">
        <v>2921</v>
      </c>
      <c r="I1363" s="306" t="s">
        <v>2922</v>
      </c>
      <c r="J1363" s="234">
        <f t="shared" si="46"/>
        <v>0.98784764861333518</v>
      </c>
      <c r="K1363" s="315">
        <f t="shared" si="47"/>
        <v>-1.2226794932955642E-2</v>
      </c>
      <c r="L1363" s="234"/>
      <c r="M1363" s="234"/>
      <c r="N1363" s="234"/>
      <c r="O1363" s="234"/>
      <c r="P1363" s="234"/>
      <c r="Q1363" s="234"/>
      <c r="R1363" s="234"/>
    </row>
    <row r="1364" spans="8:18" ht="15" customHeight="1" x14ac:dyDescent="0.3">
      <c r="H1364" s="234" t="s">
        <v>2923</v>
      </c>
      <c r="I1364" s="306" t="s">
        <v>2924</v>
      </c>
      <c r="J1364" s="234">
        <f t="shared" si="46"/>
        <v>1.0134104575683964</v>
      </c>
      <c r="K1364" s="315">
        <f t="shared" si="47"/>
        <v>1.3321333296340445E-2</v>
      </c>
      <c r="L1364" s="234"/>
      <c r="M1364" s="234"/>
      <c r="N1364" s="234"/>
      <c r="O1364" s="234"/>
      <c r="P1364" s="234"/>
      <c r="Q1364" s="234"/>
      <c r="R1364" s="234"/>
    </row>
    <row r="1365" spans="8:18" ht="15" customHeight="1" x14ac:dyDescent="0.3">
      <c r="H1365" s="234" t="s">
        <v>2925</v>
      </c>
      <c r="I1365" s="306" t="s">
        <v>2926</v>
      </c>
      <c r="J1365" s="234">
        <f t="shared" si="46"/>
        <v>1.0176800170214491</v>
      </c>
      <c r="K1365" s="315">
        <f t="shared" si="47"/>
        <v>1.7525543591556312E-2</v>
      </c>
      <c r="L1365" s="234"/>
      <c r="M1365" s="234"/>
      <c r="N1365" s="234"/>
      <c r="O1365" s="234"/>
      <c r="P1365" s="234"/>
      <c r="Q1365" s="234"/>
      <c r="R1365" s="234"/>
    </row>
    <row r="1366" spans="8:18" ht="15" customHeight="1" x14ac:dyDescent="0.3">
      <c r="H1366" s="234" t="s">
        <v>2927</v>
      </c>
      <c r="I1366" s="306" t="s">
        <v>2928</v>
      </c>
      <c r="J1366" s="234">
        <f t="shared" si="46"/>
        <v>0.98672358463214926</v>
      </c>
      <c r="K1366" s="315">
        <f t="shared" si="47"/>
        <v>-1.3365334868800711E-2</v>
      </c>
      <c r="L1366" s="234"/>
      <c r="M1366" s="234"/>
      <c r="N1366" s="234"/>
      <c r="O1366" s="234"/>
      <c r="P1366" s="234"/>
      <c r="Q1366" s="234"/>
      <c r="R1366" s="234"/>
    </row>
    <row r="1367" spans="8:18" ht="15" customHeight="1" x14ac:dyDescent="0.3">
      <c r="H1367" s="234" t="s">
        <v>2929</v>
      </c>
      <c r="I1367" s="306" t="s">
        <v>2930</v>
      </c>
      <c r="J1367" s="234">
        <f t="shared" si="46"/>
        <v>1.0087434449374748</v>
      </c>
      <c r="K1367" s="315">
        <f t="shared" si="47"/>
        <v>8.7054423776613057E-3</v>
      </c>
      <c r="L1367" s="234"/>
      <c r="M1367" s="234"/>
      <c r="N1367" s="234"/>
      <c r="O1367" s="234"/>
      <c r="P1367" s="234"/>
      <c r="Q1367" s="234"/>
      <c r="R1367" s="234"/>
    </row>
    <row r="1368" spans="8:18" ht="15" customHeight="1" x14ac:dyDescent="0.3">
      <c r="H1368" s="234" t="s">
        <v>2931</v>
      </c>
      <c r="I1368" s="306" t="s">
        <v>2932</v>
      </c>
      <c r="J1368" s="234">
        <f t="shared" si="46"/>
        <v>0.99388593765661015</v>
      </c>
      <c r="K1368" s="315">
        <f t="shared" si="47"/>
        <v>-6.1328297584260756E-3</v>
      </c>
      <c r="L1368" s="234"/>
      <c r="M1368" s="234"/>
      <c r="N1368" s="234"/>
      <c r="O1368" s="234"/>
      <c r="P1368" s="234"/>
      <c r="Q1368" s="234"/>
      <c r="R1368" s="234"/>
    </row>
    <row r="1369" spans="8:18" ht="15" customHeight="1" x14ac:dyDescent="0.3">
      <c r="H1369" s="234" t="s">
        <v>2933</v>
      </c>
      <c r="I1369" s="306" t="s">
        <v>2934</v>
      </c>
      <c r="J1369" s="234">
        <f t="shared" si="46"/>
        <v>1.0205083618882014</v>
      </c>
      <c r="K1369" s="315">
        <f t="shared" si="47"/>
        <v>2.0300897147177692E-2</v>
      </c>
      <c r="L1369" s="234"/>
      <c r="M1369" s="234"/>
      <c r="N1369" s="234"/>
      <c r="O1369" s="234"/>
      <c r="P1369" s="234"/>
      <c r="Q1369" s="234"/>
      <c r="R1369" s="234"/>
    </row>
    <row r="1370" spans="8:18" ht="15" customHeight="1" x14ac:dyDescent="0.3">
      <c r="H1370" s="234" t="s">
        <v>2935</v>
      </c>
      <c r="I1370" s="306" t="s">
        <v>2936</v>
      </c>
      <c r="J1370" s="234">
        <f t="shared" si="46"/>
        <v>0.98815407784751907</v>
      </c>
      <c r="K1370" s="315">
        <f t="shared" si="47"/>
        <v>-1.1916644154707993E-2</v>
      </c>
      <c r="L1370" s="234"/>
      <c r="M1370" s="234"/>
      <c r="N1370" s="234"/>
      <c r="O1370" s="234"/>
      <c r="P1370" s="234"/>
      <c r="Q1370" s="234"/>
      <c r="R1370" s="234"/>
    </row>
    <row r="1371" spans="8:18" ht="15" customHeight="1" x14ac:dyDescent="0.3">
      <c r="H1371" s="234" t="s">
        <v>2937</v>
      </c>
      <c r="I1371" s="306" t="s">
        <v>2938</v>
      </c>
      <c r="J1371" s="234">
        <f t="shared" si="46"/>
        <v>1.0223299165082251</v>
      </c>
      <c r="K1371" s="315">
        <f t="shared" si="47"/>
        <v>2.2084254275398948E-2</v>
      </c>
      <c r="L1371" s="234"/>
      <c r="M1371" s="234"/>
      <c r="N1371" s="234"/>
      <c r="O1371" s="234"/>
      <c r="P1371" s="234"/>
      <c r="Q1371" s="234"/>
      <c r="R1371" s="234"/>
    </row>
    <row r="1372" spans="8:18" ht="15" customHeight="1" x14ac:dyDescent="0.3">
      <c r="H1372" s="234" t="s">
        <v>2939</v>
      </c>
      <c r="I1372" s="306" t="s">
        <v>2940</v>
      </c>
      <c r="J1372" s="234">
        <f t="shared" si="46"/>
        <v>1.0056007564658083</v>
      </c>
      <c r="K1372" s="315">
        <f t="shared" si="47"/>
        <v>5.5851305468080717E-3</v>
      </c>
      <c r="L1372" s="234"/>
      <c r="M1372" s="234"/>
      <c r="N1372" s="234"/>
      <c r="O1372" s="234"/>
      <c r="P1372" s="234"/>
      <c r="Q1372" s="234"/>
      <c r="R1372" s="234"/>
    </row>
    <row r="1373" spans="8:18" ht="15" customHeight="1" x14ac:dyDescent="0.3">
      <c r="H1373" s="234" t="s">
        <v>2941</v>
      </c>
      <c r="I1373" s="306" t="s">
        <v>2942</v>
      </c>
      <c r="J1373" s="234">
        <f t="shared" si="46"/>
        <v>1.0003222252250379</v>
      </c>
      <c r="K1373" s="315">
        <f t="shared" si="47"/>
        <v>3.2217332163948467E-4</v>
      </c>
      <c r="L1373" s="234"/>
      <c r="M1373" s="234"/>
      <c r="N1373" s="234"/>
      <c r="O1373" s="234"/>
      <c r="P1373" s="234"/>
      <c r="Q1373" s="234"/>
      <c r="R1373" s="234"/>
    </row>
    <row r="1374" spans="8:18" ht="15" customHeight="1" x14ac:dyDescent="0.3">
      <c r="H1374" s="234" t="s">
        <v>2943</v>
      </c>
      <c r="I1374" s="306" t="s">
        <v>2944</v>
      </c>
      <c r="J1374" s="234">
        <f t="shared" si="46"/>
        <v>1.0120342513307106</v>
      </c>
      <c r="K1374" s="315">
        <f t="shared" si="47"/>
        <v>1.1962415480987509E-2</v>
      </c>
      <c r="L1374" s="234"/>
      <c r="M1374" s="234"/>
      <c r="N1374" s="234"/>
      <c r="O1374" s="234"/>
      <c r="P1374" s="234"/>
      <c r="Q1374" s="234"/>
      <c r="R1374" s="234"/>
    </row>
    <row r="1375" spans="8:18" ht="15" customHeight="1" x14ac:dyDescent="0.3">
      <c r="H1375" s="234" t="s">
        <v>2945</v>
      </c>
      <c r="I1375" s="306" t="s">
        <v>2946</v>
      </c>
      <c r="J1375" s="234">
        <f t="shared" si="46"/>
        <v>0.99304278789904732</v>
      </c>
      <c r="K1375" s="315">
        <f t="shared" si="47"/>
        <v>-6.981526339563995E-3</v>
      </c>
      <c r="L1375" s="234"/>
      <c r="M1375" s="234"/>
      <c r="N1375" s="234"/>
      <c r="O1375" s="234"/>
      <c r="P1375" s="234"/>
      <c r="Q1375" s="234"/>
      <c r="R1375" s="234"/>
    </row>
    <row r="1376" spans="8:18" ht="15" customHeight="1" x14ac:dyDescent="0.3">
      <c r="H1376" s="234" t="s">
        <v>2947</v>
      </c>
      <c r="I1376" s="306" t="s">
        <v>2948</v>
      </c>
      <c r="J1376" s="234">
        <f t="shared" si="46"/>
        <v>1.0201519656425504</v>
      </c>
      <c r="K1376" s="315">
        <f t="shared" si="47"/>
        <v>1.9951602122948157E-2</v>
      </c>
      <c r="L1376" s="234"/>
      <c r="M1376" s="234"/>
      <c r="N1376" s="234"/>
      <c r="O1376" s="234"/>
      <c r="P1376" s="234"/>
      <c r="Q1376" s="234"/>
      <c r="R1376" s="234"/>
    </row>
    <row r="1377" spans="8:18" ht="15" customHeight="1" x14ac:dyDescent="0.3">
      <c r="H1377" s="234" t="s">
        <v>2949</v>
      </c>
      <c r="I1377" s="306" t="s">
        <v>2950</v>
      </c>
      <c r="J1377" s="234">
        <f t="shared" si="46"/>
        <v>0.9776826180727034</v>
      </c>
      <c r="K1377" s="315">
        <f t="shared" si="47"/>
        <v>-2.2570183013837401E-2</v>
      </c>
      <c r="L1377" s="234"/>
      <c r="M1377" s="234"/>
      <c r="N1377" s="234"/>
      <c r="O1377" s="234"/>
      <c r="P1377" s="234"/>
      <c r="Q1377" s="234"/>
      <c r="R1377" s="234"/>
    </row>
    <row r="1378" spans="8:18" ht="15" customHeight="1" x14ac:dyDescent="0.3">
      <c r="H1378" s="234" t="s">
        <v>2951</v>
      </c>
      <c r="I1378" s="306" t="s">
        <v>2952</v>
      </c>
      <c r="J1378" s="234">
        <f t="shared" si="46"/>
        <v>1.0169205992668093</v>
      </c>
      <c r="K1378" s="315">
        <f t="shared" si="47"/>
        <v>1.6779040534566518E-2</v>
      </c>
      <c r="L1378" s="234"/>
      <c r="M1378" s="234"/>
      <c r="N1378" s="234"/>
      <c r="O1378" s="234"/>
      <c r="P1378" s="234"/>
      <c r="Q1378" s="234"/>
      <c r="R1378" s="234"/>
    </row>
    <row r="1379" spans="8:18" ht="15" customHeight="1" x14ac:dyDescent="0.3">
      <c r="H1379" s="234" t="s">
        <v>2953</v>
      </c>
      <c r="I1379" s="306" t="s">
        <v>2954</v>
      </c>
      <c r="J1379" s="234">
        <f t="shared" si="46"/>
        <v>0.98341217413049364</v>
      </c>
      <c r="K1379" s="315">
        <f t="shared" si="47"/>
        <v>-1.6726944448533728E-2</v>
      </c>
      <c r="L1379" s="234"/>
      <c r="M1379" s="234"/>
      <c r="N1379" s="234"/>
      <c r="O1379" s="234"/>
      <c r="P1379" s="234"/>
      <c r="Q1379" s="234"/>
      <c r="R1379" s="234"/>
    </row>
    <row r="1380" spans="8:18" ht="15" customHeight="1" x14ac:dyDescent="0.3">
      <c r="H1380" s="234" t="s">
        <v>2955</v>
      </c>
      <c r="I1380" s="306" t="s">
        <v>2956</v>
      </c>
      <c r="J1380" s="234">
        <f t="shared" si="46"/>
        <v>1.0066076522906529</v>
      </c>
      <c r="K1380" s="315">
        <f t="shared" si="47"/>
        <v>6.5859174479093729E-3</v>
      </c>
      <c r="L1380" s="234"/>
      <c r="M1380" s="234"/>
      <c r="N1380" s="234"/>
      <c r="O1380" s="234"/>
      <c r="P1380" s="234"/>
      <c r="Q1380" s="234"/>
      <c r="R1380" s="234"/>
    </row>
    <row r="1381" spans="8:18" ht="15" customHeight="1" x14ac:dyDescent="0.3">
      <c r="H1381" s="234" t="s">
        <v>2957</v>
      </c>
      <c r="I1381" s="306" t="s">
        <v>2958</v>
      </c>
      <c r="J1381" s="234">
        <f t="shared" si="46"/>
        <v>0.98728409891065738</v>
      </c>
      <c r="K1381" s="315">
        <f t="shared" si="47"/>
        <v>-1.2797440125284642E-2</v>
      </c>
      <c r="L1381" s="234"/>
      <c r="M1381" s="234"/>
      <c r="N1381" s="234"/>
      <c r="O1381" s="234"/>
      <c r="P1381" s="234"/>
      <c r="Q1381" s="234"/>
      <c r="R1381" s="234"/>
    </row>
    <row r="1382" spans="8:18" ht="15" customHeight="1" x14ac:dyDescent="0.3">
      <c r="H1382" s="234" t="s">
        <v>2959</v>
      </c>
      <c r="I1382" s="306" t="s">
        <v>2960</v>
      </c>
      <c r="J1382" s="234">
        <f t="shared" si="46"/>
        <v>1.0045143439638853</v>
      </c>
      <c r="K1382" s="315">
        <f t="shared" si="47"/>
        <v>4.5041848761098605E-3</v>
      </c>
      <c r="L1382" s="234"/>
      <c r="M1382" s="234"/>
      <c r="N1382" s="234"/>
      <c r="O1382" s="234"/>
      <c r="P1382" s="234"/>
      <c r="Q1382" s="234"/>
      <c r="R1382" s="234"/>
    </row>
    <row r="1383" spans="8:18" ht="15" customHeight="1" x14ac:dyDescent="0.3">
      <c r="H1383" s="234" t="s">
        <v>2961</v>
      </c>
      <c r="I1383" s="306" t="s">
        <v>2962</v>
      </c>
      <c r="J1383" s="234">
        <f t="shared" si="46"/>
        <v>1.0061854375333605</v>
      </c>
      <c r="K1383" s="315">
        <f t="shared" si="47"/>
        <v>6.16638623467181E-3</v>
      </c>
      <c r="L1383" s="234"/>
      <c r="M1383" s="234"/>
      <c r="N1383" s="234"/>
      <c r="O1383" s="234"/>
      <c r="P1383" s="234"/>
      <c r="Q1383" s="234"/>
      <c r="R1383" s="234"/>
    </row>
    <row r="1384" spans="8:18" ht="15" customHeight="1" x14ac:dyDescent="0.3">
      <c r="H1384" s="234" t="s">
        <v>2963</v>
      </c>
      <c r="I1384" s="306" t="s">
        <v>2964</v>
      </c>
      <c r="J1384" s="234">
        <f t="shared" si="46"/>
        <v>1.0215543509638516</v>
      </c>
      <c r="K1384" s="315">
        <f t="shared" si="47"/>
        <v>2.1325340873167377E-2</v>
      </c>
      <c r="L1384" s="234"/>
      <c r="M1384" s="234"/>
      <c r="N1384" s="234"/>
      <c r="O1384" s="234"/>
      <c r="P1384" s="234"/>
      <c r="Q1384" s="234"/>
      <c r="R1384" s="234"/>
    </row>
    <row r="1385" spans="8:18" ht="15" customHeight="1" x14ac:dyDescent="0.3">
      <c r="H1385" s="234" t="s">
        <v>2965</v>
      </c>
      <c r="I1385" s="306" t="s">
        <v>2966</v>
      </c>
      <c r="J1385" s="234">
        <f t="shared" si="46"/>
        <v>1.0123826945349454</v>
      </c>
      <c r="K1385" s="315">
        <f t="shared" si="47"/>
        <v>1.2306656037151011E-2</v>
      </c>
      <c r="L1385" s="234"/>
      <c r="M1385" s="234"/>
      <c r="N1385" s="234"/>
      <c r="O1385" s="234"/>
      <c r="P1385" s="234"/>
      <c r="Q1385" s="234"/>
      <c r="R1385" s="234"/>
    </row>
    <row r="1386" spans="8:18" ht="15" customHeight="1" x14ac:dyDescent="0.3">
      <c r="H1386" s="234" t="s">
        <v>2967</v>
      </c>
      <c r="I1386" s="306" t="s">
        <v>2968</v>
      </c>
      <c r="J1386" s="234">
        <f t="shared" si="46"/>
        <v>0.9957641733132141</v>
      </c>
      <c r="K1386" s="315">
        <f t="shared" si="47"/>
        <v>-4.2448232147897199E-3</v>
      </c>
      <c r="L1386" s="234"/>
      <c r="M1386" s="234"/>
      <c r="N1386" s="234"/>
      <c r="O1386" s="234"/>
      <c r="P1386" s="234"/>
      <c r="Q1386" s="234"/>
      <c r="R1386" s="234"/>
    </row>
    <row r="1387" spans="8:18" ht="15" customHeight="1" x14ac:dyDescent="0.3">
      <c r="H1387" s="234" t="s">
        <v>2969</v>
      </c>
      <c r="I1387" s="306" t="s">
        <v>2970</v>
      </c>
      <c r="J1387" s="234">
        <f t="shared" si="46"/>
        <v>0.97996345469332569</v>
      </c>
      <c r="K1387" s="315">
        <f t="shared" si="47"/>
        <v>-2.0239999142110398E-2</v>
      </c>
      <c r="L1387" s="234"/>
      <c r="M1387" s="234"/>
      <c r="N1387" s="234"/>
      <c r="O1387" s="234"/>
      <c r="P1387" s="234"/>
      <c r="Q1387" s="234"/>
      <c r="R1387" s="234"/>
    </row>
    <row r="1388" spans="8:18" ht="15" customHeight="1" x14ac:dyDescent="0.3">
      <c r="H1388" s="234" t="s">
        <v>2971</v>
      </c>
      <c r="I1388" s="306" t="s">
        <v>2972</v>
      </c>
      <c r="J1388" s="234">
        <f t="shared" si="46"/>
        <v>0.97860398772054946</v>
      </c>
      <c r="K1388" s="315">
        <f t="shared" si="47"/>
        <v>-2.1628225211494965E-2</v>
      </c>
      <c r="L1388" s="234"/>
      <c r="M1388" s="234"/>
      <c r="N1388" s="234"/>
      <c r="O1388" s="234"/>
      <c r="P1388" s="234"/>
      <c r="Q1388" s="234"/>
      <c r="R1388" s="234"/>
    </row>
    <row r="1389" spans="8:18" ht="15" customHeight="1" x14ac:dyDescent="0.3">
      <c r="H1389" s="234" t="s">
        <v>2973</v>
      </c>
      <c r="I1389" s="306" t="s">
        <v>2974</v>
      </c>
      <c r="J1389" s="234">
        <f t="shared" si="46"/>
        <v>0.99081356765392647</v>
      </c>
      <c r="K1389" s="315">
        <f t="shared" si="47"/>
        <v>-9.2288878253176318E-3</v>
      </c>
      <c r="L1389" s="234"/>
      <c r="M1389" s="234"/>
      <c r="N1389" s="234"/>
      <c r="O1389" s="234"/>
      <c r="P1389" s="234"/>
      <c r="Q1389" s="234"/>
      <c r="R1389" s="234"/>
    </row>
    <row r="1390" spans="8:18" ht="15" customHeight="1" x14ac:dyDescent="0.3">
      <c r="H1390" s="234" t="s">
        <v>2975</v>
      </c>
      <c r="I1390" s="306" t="s">
        <v>2976</v>
      </c>
      <c r="J1390" s="234">
        <f t="shared" si="46"/>
        <v>1.0317413355874894</v>
      </c>
      <c r="K1390" s="315">
        <f t="shared" si="47"/>
        <v>3.1247991832389126E-2</v>
      </c>
      <c r="L1390" s="234"/>
      <c r="M1390" s="234"/>
      <c r="N1390" s="234"/>
      <c r="O1390" s="234"/>
      <c r="P1390" s="234"/>
      <c r="Q1390" s="234"/>
      <c r="R1390" s="234"/>
    </row>
    <row r="1391" spans="8:18" ht="15" customHeight="1" x14ac:dyDescent="0.3">
      <c r="H1391" s="234" t="s">
        <v>2977</v>
      </c>
      <c r="I1391" s="306" t="s">
        <v>2978</v>
      </c>
      <c r="J1391" s="234">
        <f t="shared" si="46"/>
        <v>1.0085358965888382</v>
      </c>
      <c r="K1391" s="315">
        <f t="shared" si="47"/>
        <v>8.4996718181790908E-3</v>
      </c>
      <c r="L1391" s="234"/>
      <c r="M1391" s="234"/>
      <c r="N1391" s="234"/>
      <c r="O1391" s="234"/>
      <c r="P1391" s="234"/>
      <c r="Q1391" s="234"/>
      <c r="R1391" s="234"/>
    </row>
    <row r="1392" spans="8:18" ht="15" customHeight="1" x14ac:dyDescent="0.3">
      <c r="H1392" s="234" t="s">
        <v>2979</v>
      </c>
      <c r="I1392" s="306" t="s">
        <v>2980</v>
      </c>
      <c r="J1392" s="234">
        <f t="shared" si="46"/>
        <v>1.0090974589485231</v>
      </c>
      <c r="K1392" s="315">
        <f t="shared" si="47"/>
        <v>9.056326348740186E-3</v>
      </c>
      <c r="L1392" s="234"/>
      <c r="M1392" s="234"/>
      <c r="N1392" s="234"/>
      <c r="O1392" s="234"/>
      <c r="P1392" s="234"/>
      <c r="Q1392" s="234"/>
      <c r="R1392" s="234"/>
    </row>
    <row r="1393" spans="8:18" ht="15" customHeight="1" x14ac:dyDescent="0.3">
      <c r="H1393" s="234" t="s">
        <v>2981</v>
      </c>
      <c r="I1393" s="306" t="s">
        <v>2982</v>
      </c>
      <c r="J1393" s="234">
        <f t="shared" si="46"/>
        <v>1.0213623583164924</v>
      </c>
      <c r="K1393" s="315">
        <f t="shared" si="47"/>
        <v>2.1137381523623339E-2</v>
      </c>
      <c r="L1393" s="234"/>
      <c r="M1393" s="234"/>
      <c r="N1393" s="234"/>
      <c r="O1393" s="234"/>
      <c r="P1393" s="234"/>
      <c r="Q1393" s="234"/>
      <c r="R1393" s="234"/>
    </row>
    <row r="1394" spans="8:18" ht="15" customHeight="1" x14ac:dyDescent="0.3">
      <c r="H1394" s="234" t="s">
        <v>2983</v>
      </c>
      <c r="I1394" s="306" t="s">
        <v>2984</v>
      </c>
      <c r="J1394" s="234">
        <f t="shared" si="46"/>
        <v>1.0273746925142742</v>
      </c>
      <c r="K1394" s="315">
        <f t="shared" si="47"/>
        <v>2.7006706193891086E-2</v>
      </c>
      <c r="L1394" s="234"/>
      <c r="M1394" s="234"/>
      <c r="N1394" s="234"/>
      <c r="O1394" s="234"/>
      <c r="P1394" s="234"/>
      <c r="Q1394" s="234"/>
      <c r="R1394" s="234"/>
    </row>
    <row r="1395" spans="8:18" ht="15" customHeight="1" x14ac:dyDescent="0.3">
      <c r="H1395" s="234" t="s">
        <v>2985</v>
      </c>
      <c r="I1395" s="306" t="s">
        <v>2986</v>
      </c>
      <c r="J1395" s="234">
        <f t="shared" si="46"/>
        <v>1.0140397047886034</v>
      </c>
      <c r="K1395" s="315">
        <f t="shared" si="47"/>
        <v>1.3942060998647726E-2</v>
      </c>
      <c r="L1395" s="234"/>
      <c r="M1395" s="234"/>
      <c r="N1395" s="234"/>
      <c r="O1395" s="234"/>
      <c r="P1395" s="234"/>
      <c r="Q1395" s="234"/>
      <c r="R1395" s="234"/>
    </row>
    <row r="1396" spans="8:18" ht="15" customHeight="1" x14ac:dyDescent="0.3">
      <c r="H1396" s="234" t="s">
        <v>2987</v>
      </c>
      <c r="I1396" s="306" t="s">
        <v>2988</v>
      </c>
      <c r="J1396" s="234">
        <f t="shared" si="46"/>
        <v>1.0051063242515901</v>
      </c>
      <c r="K1396" s="315">
        <f t="shared" si="47"/>
        <v>5.0933311903276308E-3</v>
      </c>
      <c r="L1396" s="234"/>
      <c r="M1396" s="234"/>
      <c r="N1396" s="234"/>
      <c r="O1396" s="234"/>
      <c r="P1396" s="234"/>
      <c r="Q1396" s="234"/>
      <c r="R1396" s="234"/>
    </row>
    <row r="1397" spans="8:18" ht="15" customHeight="1" x14ac:dyDescent="0.3">
      <c r="H1397" s="234" t="s">
        <v>2989</v>
      </c>
      <c r="I1397" s="306" t="s">
        <v>2990</v>
      </c>
      <c r="J1397" s="234">
        <f t="shared" si="46"/>
        <v>0.98868623928319654</v>
      </c>
      <c r="K1397" s="315">
        <f t="shared" si="47"/>
        <v>-1.1378248165997393E-2</v>
      </c>
      <c r="L1397" s="234"/>
      <c r="M1397" s="234"/>
      <c r="N1397" s="234"/>
      <c r="O1397" s="234"/>
      <c r="P1397" s="234"/>
      <c r="Q1397" s="234"/>
      <c r="R1397" s="234"/>
    </row>
    <row r="1398" spans="8:18" ht="15" customHeight="1" x14ac:dyDescent="0.3">
      <c r="H1398" s="234" t="s">
        <v>2991</v>
      </c>
      <c r="I1398" s="306" t="s">
        <v>2992</v>
      </c>
      <c r="J1398" s="234">
        <f t="shared" si="46"/>
        <v>1.0289933074367015</v>
      </c>
      <c r="K1398" s="315">
        <f t="shared" si="47"/>
        <v>2.8580952881977994E-2</v>
      </c>
      <c r="L1398" s="234"/>
      <c r="M1398" s="234"/>
      <c r="N1398" s="234"/>
      <c r="O1398" s="234"/>
      <c r="P1398" s="234"/>
      <c r="Q1398" s="234"/>
      <c r="R1398" s="234"/>
    </row>
    <row r="1399" spans="8:18" ht="15" customHeight="1" x14ac:dyDescent="0.3">
      <c r="H1399" s="234" t="s">
        <v>2993</v>
      </c>
      <c r="I1399" s="306" t="s">
        <v>2994</v>
      </c>
      <c r="J1399" s="234">
        <f t="shared" si="46"/>
        <v>0.99766540598589903</v>
      </c>
      <c r="K1399" s="315">
        <f t="shared" si="47"/>
        <v>-2.3373234275820402E-3</v>
      </c>
      <c r="L1399" s="234"/>
      <c r="M1399" s="234"/>
      <c r="N1399" s="234"/>
      <c r="O1399" s="234"/>
      <c r="P1399" s="234"/>
      <c r="Q1399" s="234"/>
      <c r="R1399" s="234"/>
    </row>
    <row r="1400" spans="8:18" ht="15" customHeight="1" x14ac:dyDescent="0.3">
      <c r="H1400" s="234" t="s">
        <v>2995</v>
      </c>
      <c r="I1400" s="306" t="s">
        <v>2996</v>
      </c>
      <c r="J1400" s="234">
        <f t="shared" si="46"/>
        <v>1.0422151390544783</v>
      </c>
      <c r="K1400" s="315">
        <f t="shared" si="47"/>
        <v>4.1348389442434082E-2</v>
      </c>
      <c r="L1400" s="234"/>
      <c r="M1400" s="234"/>
      <c r="N1400" s="234"/>
      <c r="O1400" s="234"/>
      <c r="P1400" s="234"/>
      <c r="Q1400" s="234"/>
      <c r="R1400" s="234"/>
    </row>
    <row r="1401" spans="8:18" ht="15" customHeight="1" x14ac:dyDescent="0.3">
      <c r="H1401" s="234" t="s">
        <v>2997</v>
      </c>
      <c r="I1401" s="306" t="s">
        <v>2998</v>
      </c>
      <c r="J1401" s="234">
        <f t="shared" si="46"/>
        <v>0.99001529622893758</v>
      </c>
      <c r="K1401" s="315">
        <f t="shared" si="47"/>
        <v>-1.0034885236562251E-2</v>
      </c>
      <c r="L1401" s="234"/>
      <c r="M1401" s="234"/>
      <c r="N1401" s="234"/>
      <c r="O1401" s="234"/>
      <c r="P1401" s="234"/>
      <c r="Q1401" s="234"/>
      <c r="R1401" s="234"/>
    </row>
    <row r="1402" spans="8:18" ht="15" customHeight="1" x14ac:dyDescent="0.3">
      <c r="H1402" s="234" t="s">
        <v>2999</v>
      </c>
      <c r="I1402" s="306" t="s">
        <v>3000</v>
      </c>
      <c r="J1402" s="234">
        <f t="shared" si="46"/>
        <v>1.0209911460895229</v>
      </c>
      <c r="K1402" s="315">
        <f t="shared" si="47"/>
        <v>2.0773867342306174E-2</v>
      </c>
      <c r="L1402" s="234"/>
      <c r="M1402" s="234"/>
      <c r="N1402" s="234"/>
      <c r="O1402" s="234"/>
      <c r="P1402" s="234"/>
      <c r="Q1402" s="234"/>
      <c r="R1402" s="234"/>
    </row>
    <row r="1403" spans="8:18" ht="15" customHeight="1" x14ac:dyDescent="0.3">
      <c r="H1403" s="234" t="s">
        <v>3001</v>
      </c>
      <c r="I1403" s="306" t="s">
        <v>3002</v>
      </c>
      <c r="J1403" s="234">
        <f t="shared" si="46"/>
        <v>1.0070962388695555</v>
      </c>
      <c r="K1403" s="315">
        <f t="shared" si="47"/>
        <v>7.0711790503078789E-3</v>
      </c>
      <c r="L1403" s="234"/>
      <c r="M1403" s="234"/>
      <c r="N1403" s="234"/>
      <c r="O1403" s="234"/>
      <c r="P1403" s="234"/>
      <c r="Q1403" s="234"/>
      <c r="R1403" s="234"/>
    </row>
    <row r="1404" spans="8:18" ht="15" customHeight="1" x14ac:dyDescent="0.3">
      <c r="H1404" s="234" t="s">
        <v>3003</v>
      </c>
      <c r="I1404" s="306" t="s">
        <v>3004</v>
      </c>
      <c r="J1404" s="234">
        <f t="shared" si="46"/>
        <v>0.99445792332229022</v>
      </c>
      <c r="K1404" s="315">
        <f t="shared" si="47"/>
        <v>-5.557490962473109E-3</v>
      </c>
      <c r="L1404" s="234"/>
      <c r="M1404" s="234"/>
      <c r="N1404" s="234"/>
      <c r="O1404" s="234"/>
      <c r="P1404" s="234"/>
      <c r="Q1404" s="234"/>
      <c r="R1404" s="234"/>
    </row>
    <row r="1405" spans="8:18" ht="15" customHeight="1" x14ac:dyDescent="0.3">
      <c r="H1405" s="234" t="s">
        <v>3005</v>
      </c>
      <c r="I1405" s="306" t="s">
        <v>3006</v>
      </c>
      <c r="J1405" s="234">
        <f t="shared" si="46"/>
        <v>1.0466768072599772</v>
      </c>
      <c r="K1405" s="315">
        <f t="shared" si="47"/>
        <v>4.562019967006585E-2</v>
      </c>
      <c r="L1405" s="234"/>
      <c r="M1405" s="234"/>
      <c r="N1405" s="234"/>
      <c r="O1405" s="234"/>
      <c r="P1405" s="234"/>
      <c r="Q1405" s="234"/>
      <c r="R1405" s="234"/>
    </row>
    <row r="1406" spans="8:18" ht="15" customHeight="1" x14ac:dyDescent="0.3">
      <c r="H1406" s="234" t="s">
        <v>3007</v>
      </c>
      <c r="I1406" s="306" t="s">
        <v>3008</v>
      </c>
      <c r="J1406" s="234">
        <f t="shared" si="46"/>
        <v>0.98183797192795941</v>
      </c>
      <c r="K1406" s="315">
        <f t="shared" si="47"/>
        <v>-1.8328982278045941E-2</v>
      </c>
      <c r="L1406" s="234"/>
      <c r="M1406" s="234"/>
      <c r="N1406" s="234"/>
      <c r="O1406" s="234"/>
      <c r="P1406" s="234"/>
      <c r="Q1406" s="234"/>
      <c r="R1406" s="234"/>
    </row>
    <row r="1407" spans="8:18" ht="15" customHeight="1" x14ac:dyDescent="0.3">
      <c r="H1407" s="234" t="s">
        <v>3009</v>
      </c>
      <c r="I1407" s="306" t="s">
        <v>3010</v>
      </c>
      <c r="J1407" s="234">
        <f t="shared" si="46"/>
        <v>1.0159573100167159</v>
      </c>
      <c r="K1407" s="315">
        <f t="shared" si="47"/>
        <v>1.583133057343904E-2</v>
      </c>
      <c r="L1407" s="234"/>
      <c r="M1407" s="234"/>
      <c r="N1407" s="234"/>
      <c r="O1407" s="234"/>
      <c r="P1407" s="234"/>
      <c r="Q1407" s="234"/>
      <c r="R1407" s="234"/>
    </row>
    <row r="1408" spans="8:18" ht="15" customHeight="1" x14ac:dyDescent="0.3">
      <c r="H1408" s="234" t="s">
        <v>3011</v>
      </c>
      <c r="I1408" s="306" t="s">
        <v>3012</v>
      </c>
      <c r="J1408" s="234">
        <f t="shared" si="46"/>
        <v>0.99862603849660359</v>
      </c>
      <c r="K1408" s="315">
        <f t="shared" si="47"/>
        <v>-1.3749062539692551E-3</v>
      </c>
      <c r="L1408" s="234"/>
      <c r="M1408" s="234"/>
      <c r="N1408" s="234"/>
      <c r="O1408" s="234"/>
      <c r="P1408" s="234"/>
      <c r="Q1408" s="234"/>
      <c r="R1408" s="234"/>
    </row>
    <row r="1409" spans="8:18" ht="15" customHeight="1" x14ac:dyDescent="0.3">
      <c r="H1409" s="234" t="s">
        <v>3013</v>
      </c>
      <c r="I1409" s="306" t="s">
        <v>3014</v>
      </c>
      <c r="J1409" s="234">
        <f t="shared" si="46"/>
        <v>0.98497438816163918</v>
      </c>
      <c r="K1409" s="315">
        <f t="shared" si="47"/>
        <v>-1.513964001445872E-2</v>
      </c>
      <c r="L1409" s="234"/>
      <c r="M1409" s="234"/>
      <c r="N1409" s="234"/>
      <c r="O1409" s="234"/>
      <c r="P1409" s="234"/>
      <c r="Q1409" s="234"/>
      <c r="R1409" s="234"/>
    </row>
    <row r="1410" spans="8:18" ht="15" customHeight="1" x14ac:dyDescent="0.3">
      <c r="H1410" s="234" t="s">
        <v>3015</v>
      </c>
      <c r="I1410" s="306" t="s">
        <v>3016</v>
      </c>
      <c r="J1410" s="234">
        <f t="shared" si="46"/>
        <v>0.98507406899816852</v>
      </c>
      <c r="K1410" s="315">
        <f t="shared" si="47"/>
        <v>-1.5038443684741925E-2</v>
      </c>
      <c r="L1410" s="234"/>
      <c r="M1410" s="234"/>
      <c r="N1410" s="234"/>
      <c r="O1410" s="234"/>
      <c r="P1410" s="234"/>
      <c r="Q1410" s="234"/>
      <c r="R1410" s="234"/>
    </row>
    <row r="1411" spans="8:18" ht="15" customHeight="1" x14ac:dyDescent="0.3">
      <c r="H1411" s="234" t="s">
        <v>3017</v>
      </c>
      <c r="I1411" s="306" t="s">
        <v>3018</v>
      </c>
      <c r="J1411" s="234">
        <f t="shared" si="46"/>
        <v>1.027011464837752</v>
      </c>
      <c r="K1411" s="315">
        <f t="shared" si="47"/>
        <v>2.6653094309380291E-2</v>
      </c>
      <c r="L1411" s="234"/>
      <c r="M1411" s="234"/>
      <c r="N1411" s="234"/>
      <c r="O1411" s="234"/>
      <c r="P1411" s="234"/>
      <c r="Q1411" s="234"/>
      <c r="R1411" s="234"/>
    </row>
    <row r="1412" spans="8:18" ht="15" customHeight="1" x14ac:dyDescent="0.3">
      <c r="H1412" s="234" t="s">
        <v>3019</v>
      </c>
      <c r="I1412" s="306" t="s">
        <v>3020</v>
      </c>
      <c r="J1412" s="234">
        <f t="shared" si="46"/>
        <v>0.98836503439902879</v>
      </c>
      <c r="K1412" s="315">
        <f t="shared" si="47"/>
        <v>-1.1703181455558096E-2</v>
      </c>
      <c r="L1412" s="234"/>
      <c r="M1412" s="234"/>
      <c r="N1412" s="234"/>
      <c r="O1412" s="234"/>
      <c r="P1412" s="234"/>
      <c r="Q1412" s="234"/>
      <c r="R1412" s="234"/>
    </row>
    <row r="1413" spans="8:18" ht="15" customHeight="1" x14ac:dyDescent="0.3">
      <c r="H1413" s="234" t="s">
        <v>3021</v>
      </c>
      <c r="I1413" s="306" t="s">
        <v>3022</v>
      </c>
      <c r="J1413" s="234">
        <f t="shared" ref="J1413:J1476" si="48">I1413/I1414</f>
        <v>0.99495426119562613</v>
      </c>
      <c r="K1413" s="315">
        <f t="shared" ref="K1413:K1476" si="49">LN(J1413)</f>
        <v>-5.0585115277468704E-3</v>
      </c>
      <c r="L1413" s="234"/>
      <c r="M1413" s="234"/>
      <c r="N1413" s="234"/>
      <c r="O1413" s="234"/>
      <c r="P1413" s="234"/>
      <c r="Q1413" s="234"/>
      <c r="R1413" s="234"/>
    </row>
    <row r="1414" spans="8:18" ht="15" customHeight="1" x14ac:dyDescent="0.3">
      <c r="H1414" s="234" t="s">
        <v>3023</v>
      </c>
      <c r="I1414" s="306" t="s">
        <v>3024</v>
      </c>
      <c r="J1414" s="234">
        <f t="shared" si="48"/>
        <v>1.0074283468759111</v>
      </c>
      <c r="K1414" s="315">
        <f t="shared" si="49"/>
        <v>7.4008925834305244E-3</v>
      </c>
      <c r="L1414" s="234"/>
      <c r="M1414" s="234"/>
      <c r="N1414" s="234"/>
      <c r="O1414" s="234"/>
      <c r="P1414" s="234"/>
      <c r="Q1414" s="234"/>
      <c r="R1414" s="234"/>
    </row>
    <row r="1415" spans="8:18" ht="15" customHeight="1" x14ac:dyDescent="0.3">
      <c r="H1415" s="234" t="s">
        <v>3025</v>
      </c>
      <c r="I1415" s="306" t="s">
        <v>3026</v>
      </c>
      <c r="J1415" s="234">
        <f t="shared" si="48"/>
        <v>0.97995055962037736</v>
      </c>
      <c r="K1415" s="315">
        <f t="shared" si="49"/>
        <v>-2.0253157957093443E-2</v>
      </c>
      <c r="L1415" s="234"/>
      <c r="M1415" s="234"/>
      <c r="N1415" s="234"/>
      <c r="O1415" s="234"/>
      <c r="P1415" s="234"/>
      <c r="Q1415" s="234"/>
      <c r="R1415" s="234"/>
    </row>
    <row r="1416" spans="8:18" ht="15" customHeight="1" x14ac:dyDescent="0.3">
      <c r="H1416" s="234" t="s">
        <v>3027</v>
      </c>
      <c r="I1416" s="306" t="s">
        <v>3028</v>
      </c>
      <c r="J1416" s="234">
        <f t="shared" si="48"/>
        <v>0.96792073969868586</v>
      </c>
      <c r="K1416" s="315">
        <f t="shared" si="49"/>
        <v>-3.2605075534513445E-2</v>
      </c>
      <c r="L1416" s="234"/>
      <c r="M1416" s="234"/>
      <c r="N1416" s="234"/>
      <c r="O1416" s="234"/>
      <c r="P1416" s="234"/>
      <c r="Q1416" s="234"/>
      <c r="R1416" s="234"/>
    </row>
    <row r="1417" spans="8:18" ht="15" customHeight="1" x14ac:dyDescent="0.3">
      <c r="H1417" s="234" t="s">
        <v>3029</v>
      </c>
      <c r="I1417" s="306" t="s">
        <v>3030</v>
      </c>
      <c r="J1417" s="234">
        <f t="shared" si="48"/>
        <v>1.0228253784757664</v>
      </c>
      <c r="K1417" s="315">
        <f t="shared" si="49"/>
        <v>2.256877687223979E-2</v>
      </c>
      <c r="L1417" s="234"/>
      <c r="M1417" s="234"/>
      <c r="N1417" s="234"/>
      <c r="O1417" s="234"/>
      <c r="P1417" s="234"/>
      <c r="Q1417" s="234"/>
      <c r="R1417" s="234"/>
    </row>
    <row r="1418" spans="8:18" ht="15" customHeight="1" x14ac:dyDescent="0.3">
      <c r="H1418" s="234" t="s">
        <v>3031</v>
      </c>
      <c r="I1418" s="306" t="s">
        <v>3032</v>
      </c>
      <c r="J1418" s="234">
        <f t="shared" si="48"/>
        <v>1.0392367368326878</v>
      </c>
      <c r="K1418" s="315">
        <f t="shared" si="49"/>
        <v>3.8486536820134101E-2</v>
      </c>
      <c r="L1418" s="234"/>
      <c r="M1418" s="234"/>
      <c r="N1418" s="234"/>
      <c r="O1418" s="234"/>
      <c r="P1418" s="234"/>
      <c r="Q1418" s="234"/>
      <c r="R1418" s="234"/>
    </row>
    <row r="1419" spans="8:18" ht="15" customHeight="1" x14ac:dyDescent="0.3">
      <c r="H1419" s="234" t="s">
        <v>3033</v>
      </c>
      <c r="I1419" s="306" t="s">
        <v>3034</v>
      </c>
      <c r="J1419" s="234">
        <f t="shared" si="48"/>
        <v>1.0386147025247565</v>
      </c>
      <c r="K1419" s="315">
        <f t="shared" si="49"/>
        <v>3.7887808427207549E-2</v>
      </c>
      <c r="L1419" s="234"/>
      <c r="M1419" s="234"/>
      <c r="N1419" s="234"/>
      <c r="O1419" s="234"/>
      <c r="P1419" s="234"/>
      <c r="Q1419" s="234"/>
      <c r="R1419" s="234"/>
    </row>
    <row r="1420" spans="8:18" ht="15" customHeight="1" x14ac:dyDescent="0.3">
      <c r="H1420" s="234" t="s">
        <v>3035</v>
      </c>
      <c r="I1420" s="306" t="s">
        <v>3036</v>
      </c>
      <c r="J1420" s="234">
        <f t="shared" si="48"/>
        <v>0.94561110622968103</v>
      </c>
      <c r="K1420" s="315">
        <f t="shared" si="49"/>
        <v>-5.5923887232524873E-2</v>
      </c>
      <c r="L1420" s="234"/>
      <c r="M1420" s="234"/>
      <c r="N1420" s="234"/>
      <c r="O1420" s="234"/>
      <c r="P1420" s="234"/>
      <c r="Q1420" s="234"/>
      <c r="R1420" s="234"/>
    </row>
    <row r="1421" spans="8:18" ht="15" customHeight="1" x14ac:dyDescent="0.3">
      <c r="H1421" s="234" t="s">
        <v>3037</v>
      </c>
      <c r="I1421" s="306" t="s">
        <v>3038</v>
      </c>
      <c r="J1421" s="234">
        <f t="shared" si="48"/>
        <v>0.9873218490519271</v>
      </c>
      <c r="K1421" s="315">
        <f t="shared" si="49"/>
        <v>-1.275920450534916E-2</v>
      </c>
      <c r="L1421" s="234"/>
      <c r="M1421" s="234"/>
      <c r="N1421" s="234"/>
      <c r="O1421" s="234"/>
      <c r="P1421" s="234"/>
      <c r="Q1421" s="234"/>
      <c r="R1421" s="234"/>
    </row>
    <row r="1422" spans="8:18" ht="15" customHeight="1" x14ac:dyDescent="0.3">
      <c r="H1422" s="234" t="s">
        <v>3039</v>
      </c>
      <c r="I1422" s="306" t="s">
        <v>3040</v>
      </c>
      <c r="J1422" s="234">
        <f t="shared" si="48"/>
        <v>1.0217416078913046</v>
      </c>
      <c r="K1422" s="315">
        <f t="shared" si="49"/>
        <v>2.1508629962705032E-2</v>
      </c>
      <c r="L1422" s="234"/>
      <c r="M1422" s="234"/>
      <c r="N1422" s="234"/>
      <c r="O1422" s="234"/>
      <c r="P1422" s="234"/>
      <c r="Q1422" s="234"/>
      <c r="R1422" s="234"/>
    </row>
    <row r="1423" spans="8:18" ht="15" customHeight="1" x14ac:dyDescent="0.3">
      <c r="H1423" s="234" t="s">
        <v>3041</v>
      </c>
      <c r="I1423" s="306" t="s">
        <v>3042</v>
      </c>
      <c r="J1423" s="234">
        <f t="shared" si="48"/>
        <v>0.99979744014989425</v>
      </c>
      <c r="K1423" s="315">
        <f t="shared" si="49"/>
        <v>-2.0258036812298983E-4</v>
      </c>
      <c r="L1423" s="234"/>
      <c r="M1423" s="234"/>
      <c r="N1423" s="234"/>
      <c r="O1423" s="234"/>
      <c r="P1423" s="234"/>
      <c r="Q1423" s="234"/>
      <c r="R1423" s="234"/>
    </row>
    <row r="1424" spans="8:18" ht="15" customHeight="1" x14ac:dyDescent="0.3">
      <c r="H1424" s="234" t="s">
        <v>3043</v>
      </c>
      <c r="I1424" s="306" t="s">
        <v>3044</v>
      </c>
      <c r="J1424" s="234">
        <f t="shared" si="48"/>
        <v>1.0150609763933331</v>
      </c>
      <c r="K1424" s="315">
        <f t="shared" si="49"/>
        <v>1.4948685953671862E-2</v>
      </c>
      <c r="L1424" s="234"/>
      <c r="M1424" s="234"/>
      <c r="N1424" s="234"/>
      <c r="O1424" s="234"/>
      <c r="P1424" s="234"/>
      <c r="Q1424" s="234"/>
      <c r="R1424" s="234"/>
    </row>
    <row r="1425" spans="8:18" ht="15" customHeight="1" x14ac:dyDescent="0.3">
      <c r="H1425" s="234" t="s">
        <v>3045</v>
      </c>
      <c r="I1425" s="306" t="s">
        <v>3046</v>
      </c>
      <c r="J1425" s="234">
        <f t="shared" si="48"/>
        <v>0.9870619125537502</v>
      </c>
      <c r="K1425" s="315">
        <f t="shared" si="49"/>
        <v>-1.3022513497991328E-2</v>
      </c>
      <c r="L1425" s="234"/>
      <c r="M1425" s="234"/>
      <c r="N1425" s="234"/>
      <c r="O1425" s="234"/>
      <c r="P1425" s="234"/>
      <c r="Q1425" s="234"/>
      <c r="R1425" s="234"/>
    </row>
    <row r="1426" spans="8:18" ht="15" customHeight="1" x14ac:dyDescent="0.3">
      <c r="H1426" s="234" t="s">
        <v>3047</v>
      </c>
      <c r="I1426" s="306" t="s">
        <v>3048</v>
      </c>
      <c r="J1426" s="234">
        <f t="shared" si="48"/>
        <v>0.98656004805345943</v>
      </c>
      <c r="K1426" s="315">
        <f t="shared" si="49"/>
        <v>-1.3531085576256461E-2</v>
      </c>
      <c r="L1426" s="234"/>
      <c r="M1426" s="234"/>
      <c r="N1426" s="234"/>
      <c r="O1426" s="234"/>
      <c r="P1426" s="234"/>
      <c r="Q1426" s="234"/>
      <c r="R1426" s="234"/>
    </row>
    <row r="1427" spans="8:18" ht="15" customHeight="1" x14ac:dyDescent="0.3">
      <c r="H1427" s="234" t="s">
        <v>3049</v>
      </c>
      <c r="I1427" s="306" t="s">
        <v>3050</v>
      </c>
      <c r="J1427" s="234">
        <f t="shared" si="48"/>
        <v>1.013481635551948</v>
      </c>
      <c r="K1427" s="315">
        <f t="shared" si="49"/>
        <v>1.3391566915409221E-2</v>
      </c>
      <c r="L1427" s="234"/>
      <c r="M1427" s="234"/>
      <c r="N1427" s="234"/>
      <c r="O1427" s="234"/>
      <c r="P1427" s="234"/>
      <c r="Q1427" s="234"/>
      <c r="R1427" s="234"/>
    </row>
    <row r="1428" spans="8:18" ht="15" customHeight="1" x14ac:dyDescent="0.3">
      <c r="H1428" s="234" t="s">
        <v>3051</v>
      </c>
      <c r="I1428" s="306" t="s">
        <v>3052</v>
      </c>
      <c r="J1428" s="234">
        <f t="shared" si="48"/>
        <v>1.015009912206174</v>
      </c>
      <c r="K1428" s="315">
        <f t="shared" si="49"/>
        <v>1.4898378166434773E-2</v>
      </c>
      <c r="L1428" s="234"/>
      <c r="M1428" s="234"/>
      <c r="N1428" s="234"/>
      <c r="O1428" s="234"/>
      <c r="P1428" s="234"/>
      <c r="Q1428" s="234"/>
      <c r="R1428" s="234"/>
    </row>
    <row r="1429" spans="8:18" ht="15" customHeight="1" x14ac:dyDescent="0.3">
      <c r="H1429" s="234" t="s">
        <v>3053</v>
      </c>
      <c r="I1429" s="306" t="s">
        <v>3054</v>
      </c>
      <c r="J1429" s="234">
        <f t="shared" si="48"/>
        <v>0.98781790437436423</v>
      </c>
      <c r="K1429" s="315">
        <f t="shared" si="49"/>
        <v>-1.2256905534345863E-2</v>
      </c>
      <c r="L1429" s="234"/>
      <c r="M1429" s="234"/>
      <c r="N1429" s="234"/>
      <c r="O1429" s="234"/>
      <c r="P1429" s="234"/>
      <c r="Q1429" s="234"/>
      <c r="R1429" s="234"/>
    </row>
    <row r="1430" spans="8:18" ht="15" customHeight="1" x14ac:dyDescent="0.3">
      <c r="H1430" s="234" t="s">
        <v>3055</v>
      </c>
      <c r="I1430" s="306" t="s">
        <v>3056</v>
      </c>
      <c r="J1430" s="234">
        <f t="shared" si="48"/>
        <v>1.0301958472522434</v>
      </c>
      <c r="K1430" s="315">
        <f t="shared" si="49"/>
        <v>2.9748927130005473E-2</v>
      </c>
      <c r="L1430" s="234"/>
      <c r="M1430" s="234"/>
      <c r="N1430" s="234"/>
      <c r="O1430" s="234"/>
      <c r="P1430" s="234"/>
      <c r="Q1430" s="234"/>
      <c r="R1430" s="234"/>
    </row>
    <row r="1431" spans="8:18" ht="15" customHeight="1" x14ac:dyDescent="0.3">
      <c r="H1431" s="234" t="s">
        <v>3057</v>
      </c>
      <c r="I1431" s="306" t="s">
        <v>3058</v>
      </c>
      <c r="J1431" s="234">
        <f t="shared" si="48"/>
        <v>1.0304678852020843</v>
      </c>
      <c r="K1431" s="315">
        <f t="shared" si="49"/>
        <v>3.0012956575602805E-2</v>
      </c>
      <c r="L1431" s="234"/>
      <c r="M1431" s="234"/>
      <c r="N1431" s="234"/>
      <c r="O1431" s="234"/>
      <c r="P1431" s="234"/>
      <c r="Q1431" s="234"/>
      <c r="R1431" s="234"/>
    </row>
    <row r="1432" spans="8:18" ht="15" customHeight="1" x14ac:dyDescent="0.3">
      <c r="H1432" s="234" t="s">
        <v>3059</v>
      </c>
      <c r="I1432" s="306" t="s">
        <v>3060</v>
      </c>
      <c r="J1432" s="234">
        <f t="shared" si="48"/>
        <v>1.0650123641382483</v>
      </c>
      <c r="K1432" s="315">
        <f t="shared" si="49"/>
        <v>6.2986408613480455E-2</v>
      </c>
      <c r="L1432" s="234"/>
      <c r="M1432" s="234"/>
      <c r="N1432" s="234"/>
      <c r="O1432" s="234"/>
      <c r="P1432" s="234"/>
      <c r="Q1432" s="234"/>
      <c r="R1432" s="234"/>
    </row>
    <row r="1433" spans="8:18" ht="15" customHeight="1" x14ac:dyDescent="0.3">
      <c r="H1433" s="234" t="s">
        <v>3061</v>
      </c>
      <c r="I1433" s="306" t="s">
        <v>3062</v>
      </c>
      <c r="J1433" s="234">
        <f t="shared" si="48"/>
        <v>0.96283274041057021</v>
      </c>
      <c r="K1433" s="315">
        <f t="shared" si="49"/>
        <v>-3.7875568239498461E-2</v>
      </c>
      <c r="L1433" s="234"/>
      <c r="M1433" s="234"/>
      <c r="N1433" s="234"/>
      <c r="O1433" s="234"/>
      <c r="P1433" s="234"/>
      <c r="Q1433" s="234"/>
      <c r="R1433" s="234"/>
    </row>
    <row r="1434" spans="8:18" ht="15" customHeight="1" x14ac:dyDescent="0.3">
      <c r="H1434" s="234" t="s">
        <v>3063</v>
      </c>
      <c r="I1434" s="306" t="s">
        <v>3064</v>
      </c>
      <c r="J1434" s="234">
        <f t="shared" si="48"/>
        <v>1.0179233186320789</v>
      </c>
      <c r="K1434" s="315">
        <f t="shared" si="49"/>
        <v>1.7764589782458991E-2</v>
      </c>
      <c r="L1434" s="234"/>
      <c r="M1434" s="234"/>
      <c r="N1434" s="234"/>
      <c r="O1434" s="234"/>
      <c r="P1434" s="234"/>
      <c r="Q1434" s="234"/>
      <c r="R1434" s="234"/>
    </row>
    <row r="1435" spans="8:18" ht="15" customHeight="1" x14ac:dyDescent="0.3">
      <c r="H1435" s="234" t="s">
        <v>3065</v>
      </c>
      <c r="I1435" s="306" t="s">
        <v>3066</v>
      </c>
      <c r="J1435" s="234">
        <f t="shared" si="48"/>
        <v>0.97203161167495311</v>
      </c>
      <c r="K1435" s="315">
        <f t="shared" si="49"/>
        <v>-2.8366952751202011E-2</v>
      </c>
      <c r="L1435" s="234"/>
      <c r="M1435" s="234"/>
      <c r="N1435" s="234"/>
      <c r="O1435" s="234"/>
      <c r="P1435" s="234"/>
      <c r="Q1435" s="234"/>
      <c r="R1435" s="234"/>
    </row>
    <row r="1436" spans="8:18" ht="15" customHeight="1" x14ac:dyDescent="0.3">
      <c r="H1436" s="234" t="s">
        <v>3067</v>
      </c>
      <c r="I1436" s="306" t="s">
        <v>3068</v>
      </c>
      <c r="J1436" s="234">
        <f t="shared" si="48"/>
        <v>0.97831942006458616</v>
      </c>
      <c r="K1436" s="315">
        <f t="shared" si="49"/>
        <v>-2.1919056888235113E-2</v>
      </c>
      <c r="L1436" s="234"/>
      <c r="M1436" s="234"/>
      <c r="N1436" s="234"/>
      <c r="O1436" s="234"/>
      <c r="P1436" s="234"/>
      <c r="Q1436" s="234"/>
      <c r="R1436" s="234"/>
    </row>
    <row r="1437" spans="8:18" ht="15" customHeight="1" x14ac:dyDescent="0.3">
      <c r="H1437" s="234" t="s">
        <v>3069</v>
      </c>
      <c r="I1437" s="306" t="s">
        <v>3070</v>
      </c>
      <c r="J1437" s="234">
        <f t="shared" si="48"/>
        <v>1.016314635508164</v>
      </c>
      <c r="K1437" s="315">
        <f t="shared" si="49"/>
        <v>1.6182981833416543E-2</v>
      </c>
      <c r="L1437" s="234"/>
      <c r="M1437" s="234"/>
      <c r="N1437" s="234"/>
      <c r="O1437" s="234"/>
      <c r="P1437" s="234"/>
      <c r="Q1437" s="234"/>
      <c r="R1437" s="234"/>
    </row>
    <row r="1438" spans="8:18" ht="15" customHeight="1" x14ac:dyDescent="0.3">
      <c r="H1438" s="234" t="s">
        <v>3071</v>
      </c>
      <c r="I1438" s="306" t="s">
        <v>3072</v>
      </c>
      <c r="J1438" s="234">
        <f t="shared" si="48"/>
        <v>0.94496062181499973</v>
      </c>
      <c r="K1438" s="315">
        <f t="shared" si="49"/>
        <v>-5.6612022393651727E-2</v>
      </c>
      <c r="L1438" s="234"/>
      <c r="M1438" s="234"/>
      <c r="N1438" s="234"/>
      <c r="O1438" s="234"/>
      <c r="P1438" s="234"/>
      <c r="Q1438" s="234"/>
      <c r="R1438" s="234"/>
    </row>
    <row r="1439" spans="8:18" ht="15" customHeight="1" x14ac:dyDescent="0.3">
      <c r="H1439" s="234" t="s">
        <v>3073</v>
      </c>
      <c r="I1439" s="306" t="s">
        <v>3074</v>
      </c>
      <c r="J1439" s="234">
        <f t="shared" si="48"/>
        <v>1.0367148727253321</v>
      </c>
      <c r="K1439" s="315">
        <f t="shared" si="49"/>
        <v>3.6056937463114815E-2</v>
      </c>
      <c r="L1439" s="234"/>
      <c r="M1439" s="234"/>
      <c r="N1439" s="234"/>
      <c r="O1439" s="234"/>
      <c r="P1439" s="234"/>
      <c r="Q1439" s="234"/>
      <c r="R1439" s="234"/>
    </row>
    <row r="1440" spans="8:18" ht="15" customHeight="1" x14ac:dyDescent="0.3">
      <c r="H1440" s="234" t="s">
        <v>3075</v>
      </c>
      <c r="I1440" s="306" t="s">
        <v>3076</v>
      </c>
      <c r="J1440" s="234">
        <f t="shared" si="48"/>
        <v>1.0749924706354783</v>
      </c>
      <c r="K1440" s="315">
        <f t="shared" si="49"/>
        <v>7.2313657495077399E-2</v>
      </c>
      <c r="L1440" s="234"/>
      <c r="M1440" s="234"/>
      <c r="N1440" s="234"/>
      <c r="O1440" s="234"/>
      <c r="P1440" s="234"/>
      <c r="Q1440" s="234"/>
      <c r="R1440" s="234"/>
    </row>
    <row r="1441" spans="8:18" ht="15" customHeight="1" x14ac:dyDescent="0.3">
      <c r="H1441" s="234" t="s">
        <v>3077</v>
      </c>
      <c r="I1441" s="306" t="s">
        <v>3078</v>
      </c>
      <c r="J1441" s="234">
        <f t="shared" si="48"/>
        <v>1.0962675303440035</v>
      </c>
      <c r="K1441" s="315">
        <f t="shared" si="49"/>
        <v>9.1911255768191369E-2</v>
      </c>
      <c r="L1441" s="234"/>
      <c r="M1441" s="234"/>
      <c r="N1441" s="234"/>
      <c r="O1441" s="234"/>
      <c r="P1441" s="234"/>
      <c r="Q1441" s="234"/>
      <c r="R1441" s="234"/>
    </row>
    <row r="1442" spans="8:18" ht="15" customHeight="1" x14ac:dyDescent="0.3">
      <c r="H1442" s="234" t="s">
        <v>3079</v>
      </c>
      <c r="I1442" s="306" t="s">
        <v>3080</v>
      </c>
      <c r="J1442" s="234">
        <f t="shared" si="48"/>
        <v>0.94836506776805285</v>
      </c>
      <c r="K1442" s="315">
        <f t="shared" si="49"/>
        <v>-5.3015758273899066E-2</v>
      </c>
      <c r="L1442" s="234"/>
      <c r="M1442" s="234"/>
      <c r="N1442" s="234"/>
      <c r="O1442" s="234"/>
      <c r="P1442" s="234"/>
      <c r="Q1442" s="234"/>
      <c r="R1442" s="234"/>
    </row>
    <row r="1443" spans="8:18" ht="15" customHeight="1" x14ac:dyDescent="0.3">
      <c r="H1443" s="234" t="s">
        <v>3081</v>
      </c>
      <c r="I1443" s="306" t="s">
        <v>3082</v>
      </c>
      <c r="J1443" s="234">
        <f t="shared" si="48"/>
        <v>0.98131511178742825</v>
      </c>
      <c r="K1443" s="315">
        <f t="shared" si="49"/>
        <v>-1.8861656125267984E-2</v>
      </c>
      <c r="L1443" s="234"/>
      <c r="M1443" s="234"/>
      <c r="N1443" s="234"/>
      <c r="O1443" s="234"/>
      <c r="P1443" s="234"/>
      <c r="Q1443" s="234"/>
      <c r="R1443" s="234"/>
    </row>
    <row r="1444" spans="8:18" ht="15" customHeight="1" x14ac:dyDescent="0.3">
      <c r="H1444" s="234" t="s">
        <v>3083</v>
      </c>
      <c r="I1444" s="306" t="s">
        <v>3084</v>
      </c>
      <c r="J1444" s="234">
        <f t="shared" si="48"/>
        <v>1.0218441158440859</v>
      </c>
      <c r="K1444" s="315">
        <f t="shared" si="49"/>
        <v>2.1608951619562E-2</v>
      </c>
      <c r="L1444" s="234"/>
      <c r="M1444" s="234"/>
      <c r="N1444" s="234"/>
      <c r="O1444" s="234"/>
      <c r="P1444" s="234"/>
      <c r="Q1444" s="234"/>
      <c r="R1444" s="234"/>
    </row>
    <row r="1445" spans="8:18" ht="15" customHeight="1" x14ac:dyDescent="0.3">
      <c r="H1445" s="234" t="s">
        <v>3085</v>
      </c>
      <c r="I1445" s="306" t="s">
        <v>3086</v>
      </c>
      <c r="J1445" s="234">
        <f t="shared" si="48"/>
        <v>0.89684348852177642</v>
      </c>
      <c r="K1445" s="315">
        <f t="shared" si="49"/>
        <v>-0.10887391540062971</v>
      </c>
      <c r="L1445" s="234"/>
      <c r="M1445" s="234"/>
      <c r="N1445" s="234"/>
      <c r="O1445" s="234"/>
      <c r="P1445" s="234"/>
      <c r="Q1445" s="234"/>
      <c r="R1445" s="234"/>
    </row>
    <row r="1446" spans="8:18" ht="15" customHeight="1" x14ac:dyDescent="0.3">
      <c r="H1446" s="234" t="s">
        <v>3087</v>
      </c>
      <c r="I1446" s="306" t="s">
        <v>3088</v>
      </c>
      <c r="J1446" s="234">
        <f t="shared" si="48"/>
        <v>1.0477394700609739</v>
      </c>
      <c r="K1446" s="315">
        <f t="shared" si="49"/>
        <v>4.6634957723363894E-2</v>
      </c>
      <c r="L1446" s="234"/>
      <c r="M1446" s="234"/>
      <c r="N1446" s="234"/>
      <c r="O1446" s="234"/>
      <c r="P1446" s="234"/>
      <c r="Q1446" s="234"/>
      <c r="R1446" s="234"/>
    </row>
    <row r="1447" spans="8:18" ht="15" customHeight="1" x14ac:dyDescent="0.3">
      <c r="H1447" s="234" t="s">
        <v>3089</v>
      </c>
      <c r="I1447" s="306" t="s">
        <v>3090</v>
      </c>
      <c r="J1447" s="234">
        <f t="shared" si="48"/>
        <v>0.86208441833706773</v>
      </c>
      <c r="K1447" s="315">
        <f t="shared" si="49"/>
        <v>-0.14840208000793045</v>
      </c>
      <c r="L1447" s="234"/>
      <c r="M1447" s="234"/>
      <c r="N1447" s="234"/>
      <c r="O1447" s="234"/>
      <c r="P1447" s="234"/>
      <c r="Q1447" s="234"/>
      <c r="R1447" s="234"/>
    </row>
    <row r="1448" spans="8:18" ht="15" customHeight="1" x14ac:dyDescent="0.3">
      <c r="H1448" s="234" t="s">
        <v>3091</v>
      </c>
      <c r="I1448" s="306" t="s">
        <v>3092</v>
      </c>
      <c r="J1448" s="234">
        <f t="shared" si="48"/>
        <v>1.1369300890926868</v>
      </c>
      <c r="K1448" s="315">
        <f t="shared" si="49"/>
        <v>0.12833172571236284</v>
      </c>
      <c r="L1448" s="234"/>
      <c r="M1448" s="234"/>
      <c r="N1448" s="234"/>
      <c r="O1448" s="234"/>
      <c r="P1448" s="234"/>
      <c r="Q1448" s="234"/>
      <c r="R1448" s="234"/>
    </row>
    <row r="1449" spans="8:18" ht="15" customHeight="1" x14ac:dyDescent="0.3">
      <c r="H1449" s="234" t="s">
        <v>3093</v>
      </c>
      <c r="I1449" s="306" t="s">
        <v>3094</v>
      </c>
      <c r="J1449" s="234">
        <f t="shared" si="48"/>
        <v>0.85333066989412831</v>
      </c>
      <c r="K1449" s="315">
        <f t="shared" si="49"/>
        <v>-0.15860815139932799</v>
      </c>
      <c r="L1449" s="234"/>
      <c r="M1449" s="234"/>
      <c r="N1449" s="234"/>
      <c r="O1449" s="234"/>
      <c r="P1449" s="234"/>
      <c r="Q1449" s="234"/>
      <c r="R1449" s="234"/>
    </row>
    <row r="1450" spans="8:18" ht="15" customHeight="1" x14ac:dyDescent="0.3">
      <c r="H1450" s="234" t="s">
        <v>3095</v>
      </c>
      <c r="I1450" s="306" t="s">
        <v>3096</v>
      </c>
      <c r="J1450" s="234">
        <f t="shared" si="48"/>
        <v>0.92300600854645232</v>
      </c>
      <c r="K1450" s="315">
        <f t="shared" si="49"/>
        <v>-8.0119534699333458E-2</v>
      </c>
      <c r="L1450" s="234"/>
      <c r="M1450" s="234"/>
      <c r="N1450" s="234"/>
      <c r="O1450" s="234"/>
      <c r="P1450" s="234"/>
      <c r="Q1450" s="234"/>
      <c r="R1450" s="234"/>
    </row>
    <row r="1451" spans="8:18" ht="15" customHeight="1" x14ac:dyDescent="0.3">
      <c r="H1451" s="234" t="s">
        <v>3097</v>
      </c>
      <c r="I1451" s="306" t="s">
        <v>3098</v>
      </c>
      <c r="J1451" s="234">
        <f t="shared" si="48"/>
        <v>1.0712318899513193</v>
      </c>
      <c r="K1451" s="315">
        <f t="shared" si="49"/>
        <v>6.8809285257262195E-2</v>
      </c>
      <c r="L1451" s="234"/>
      <c r="M1451" s="234"/>
      <c r="N1451" s="234"/>
      <c r="O1451" s="234"/>
      <c r="P1451" s="234"/>
      <c r="Q1451" s="234"/>
      <c r="R1451" s="234"/>
    </row>
    <row r="1452" spans="8:18" ht="15" customHeight="1" x14ac:dyDescent="0.3">
      <c r="H1452" s="234" t="s">
        <v>3099</v>
      </c>
      <c r="I1452" s="306" t="s">
        <v>3100</v>
      </c>
      <c r="J1452" s="234">
        <f t="shared" si="48"/>
        <v>0.87843685574901509</v>
      </c>
      <c r="K1452" s="315">
        <f t="shared" si="49"/>
        <v>-0.12961125128715859</v>
      </c>
      <c r="L1452" s="234"/>
      <c r="M1452" s="234"/>
      <c r="N1452" s="234"/>
      <c r="O1452" s="234"/>
      <c r="P1452" s="234"/>
      <c r="Q1452" s="234"/>
      <c r="R1452" s="234"/>
    </row>
    <row r="1453" spans="8:18" ht="15" customHeight="1" x14ac:dyDescent="0.3">
      <c r="H1453" s="234" t="s">
        <v>3101</v>
      </c>
      <c r="I1453" s="306" t="s">
        <v>3102</v>
      </c>
      <c r="J1453" s="234">
        <f t="shared" si="48"/>
        <v>0.95844663992957058</v>
      </c>
      <c r="K1453" s="315">
        <f t="shared" si="49"/>
        <v>-4.2441388437775958E-2</v>
      </c>
      <c r="L1453" s="234"/>
      <c r="M1453" s="234"/>
      <c r="N1453" s="234"/>
      <c r="O1453" s="234"/>
      <c r="P1453" s="234"/>
      <c r="Q1453" s="234"/>
      <c r="R1453" s="234"/>
    </row>
    <row r="1454" spans="8:18" ht="15" customHeight="1" x14ac:dyDescent="0.3">
      <c r="H1454" s="234" t="s">
        <v>3103</v>
      </c>
      <c r="I1454" s="306" t="s">
        <v>3104</v>
      </c>
      <c r="J1454" s="234">
        <f t="shared" si="48"/>
        <v>0.95348685376386211</v>
      </c>
      <c r="K1454" s="315">
        <f t="shared" si="49"/>
        <v>-4.7629641384520756E-2</v>
      </c>
      <c r="L1454" s="234"/>
      <c r="M1454" s="234"/>
      <c r="N1454" s="234"/>
      <c r="O1454" s="234"/>
      <c r="P1454" s="234"/>
      <c r="Q1454" s="234"/>
      <c r="R1454" s="234"/>
    </row>
    <row r="1455" spans="8:18" ht="15" customHeight="1" x14ac:dyDescent="0.3">
      <c r="H1455" s="234" t="s">
        <v>3105</v>
      </c>
      <c r="I1455" s="306" t="s">
        <v>3106</v>
      </c>
      <c r="J1455" s="234">
        <f t="shared" si="48"/>
        <v>1.0158897100625355</v>
      </c>
      <c r="K1455" s="315">
        <f t="shared" si="49"/>
        <v>1.5764790175921632E-2</v>
      </c>
      <c r="L1455" s="234"/>
      <c r="M1455" s="234"/>
      <c r="N1455" s="234"/>
      <c r="O1455" s="234"/>
      <c r="P1455" s="234"/>
      <c r="Q1455" s="234"/>
      <c r="R1455" s="234"/>
    </row>
    <row r="1456" spans="8:18" ht="15" customHeight="1" x14ac:dyDescent="0.3">
      <c r="H1456" s="234" t="s">
        <v>3107</v>
      </c>
      <c r="I1456" s="306" t="s">
        <v>3108</v>
      </c>
      <c r="J1456" s="234">
        <f t="shared" si="48"/>
        <v>0.98977773609678332</v>
      </c>
      <c r="K1456" s="315">
        <f t="shared" si="49"/>
        <v>-1.0274870052566309E-2</v>
      </c>
      <c r="L1456" s="234"/>
      <c r="M1456" s="234"/>
      <c r="N1456" s="234"/>
      <c r="O1456" s="234"/>
      <c r="P1456" s="234"/>
      <c r="Q1456" s="234"/>
      <c r="R1456" s="234"/>
    </row>
    <row r="1457" spans="8:18" ht="15" customHeight="1" x14ac:dyDescent="0.3">
      <c r="H1457" s="234" t="s">
        <v>3109</v>
      </c>
      <c r="I1457" s="306" t="s">
        <v>3110</v>
      </c>
      <c r="J1457" s="234">
        <f t="shared" si="48"/>
        <v>1.0227316324573184</v>
      </c>
      <c r="K1457" s="315">
        <f t="shared" si="49"/>
        <v>2.247711869012841E-2</v>
      </c>
      <c r="L1457" s="234"/>
      <c r="M1457" s="234"/>
      <c r="N1457" s="234"/>
      <c r="O1457" s="234"/>
      <c r="P1457" s="234"/>
      <c r="Q1457" s="234"/>
      <c r="R1457" s="234"/>
    </row>
    <row r="1458" spans="8:18" ht="15" customHeight="1" x14ac:dyDescent="0.3">
      <c r="H1458" s="234" t="s">
        <v>3111</v>
      </c>
      <c r="I1458" s="306" t="s">
        <v>3112</v>
      </c>
      <c r="J1458" s="234">
        <f t="shared" si="48"/>
        <v>1.0123902742173541</v>
      </c>
      <c r="K1458" s="315">
        <f t="shared" si="49"/>
        <v>1.2314142982626498E-2</v>
      </c>
      <c r="L1458" s="234"/>
      <c r="M1458" s="234"/>
      <c r="N1458" s="234"/>
      <c r="O1458" s="234"/>
      <c r="P1458" s="234"/>
      <c r="Q1458" s="234"/>
      <c r="R1458" s="234"/>
    </row>
    <row r="1459" spans="8:18" ht="15" customHeight="1" x14ac:dyDescent="0.3">
      <c r="H1459" s="234" t="s">
        <v>3113</v>
      </c>
      <c r="I1459" s="306" t="s">
        <v>3114</v>
      </c>
      <c r="J1459" s="234">
        <f t="shared" si="48"/>
        <v>0.974203252263246</v>
      </c>
      <c r="K1459" s="315">
        <f t="shared" si="49"/>
        <v>-2.6135319221460989E-2</v>
      </c>
      <c r="L1459" s="234"/>
      <c r="M1459" s="234"/>
      <c r="N1459" s="234"/>
      <c r="O1459" s="234"/>
      <c r="P1459" s="234"/>
      <c r="Q1459" s="234"/>
      <c r="R1459" s="234"/>
    </row>
    <row r="1460" spans="8:18" ht="15" customHeight="1" x14ac:dyDescent="0.3">
      <c r="H1460" s="234" t="s">
        <v>3115</v>
      </c>
      <c r="I1460" s="306" t="s">
        <v>3116</v>
      </c>
      <c r="J1460" s="234">
        <f t="shared" si="48"/>
        <v>0.93016973611269982</v>
      </c>
      <c r="K1460" s="315">
        <f t="shared" si="49"/>
        <v>-7.238819753897538E-2</v>
      </c>
      <c r="L1460" s="234"/>
      <c r="M1460" s="234"/>
      <c r="N1460" s="234"/>
      <c r="O1460" s="234"/>
      <c r="P1460" s="234"/>
      <c r="Q1460" s="234"/>
      <c r="R1460" s="234"/>
    </row>
    <row r="1461" spans="8:18" ht="15" customHeight="1" x14ac:dyDescent="0.3">
      <c r="H1461" s="234" t="s">
        <v>3117</v>
      </c>
      <c r="I1461" s="306" t="s">
        <v>3118</v>
      </c>
      <c r="J1461" s="234">
        <f t="shared" si="48"/>
        <v>0.99181393725182176</v>
      </c>
      <c r="K1461" s="315">
        <f t="shared" si="49"/>
        <v>-8.2197525436631547E-3</v>
      </c>
      <c r="L1461" s="234"/>
      <c r="M1461" s="234"/>
      <c r="N1461" s="234"/>
      <c r="O1461" s="234"/>
      <c r="P1461" s="234"/>
      <c r="Q1461" s="234"/>
      <c r="R1461" s="234"/>
    </row>
    <row r="1462" spans="8:18" ht="15" customHeight="1" x14ac:dyDescent="0.3">
      <c r="H1462" s="234" t="s">
        <v>3119</v>
      </c>
      <c r="I1462" s="306" t="s">
        <v>3120</v>
      </c>
      <c r="J1462" s="234">
        <f t="shared" si="48"/>
        <v>0.98341028853910983</v>
      </c>
      <c r="K1462" s="315">
        <f t="shared" si="49"/>
        <v>-1.672886184720046E-2</v>
      </c>
      <c r="L1462" s="234"/>
      <c r="M1462" s="234"/>
      <c r="N1462" s="234"/>
      <c r="O1462" s="234"/>
      <c r="P1462" s="234"/>
      <c r="Q1462" s="234"/>
      <c r="R1462" s="234"/>
    </row>
    <row r="1463" spans="8:18" ht="15" customHeight="1" x14ac:dyDescent="0.3">
      <c r="H1463" s="234" t="s">
        <v>3121</v>
      </c>
      <c r="I1463" s="306" t="s">
        <v>3122</v>
      </c>
      <c r="J1463" s="234">
        <f t="shared" si="48"/>
        <v>1.0133586126524152</v>
      </c>
      <c r="K1463" s="315">
        <f t="shared" si="49"/>
        <v>1.3270173135319373E-2</v>
      </c>
      <c r="L1463" s="234"/>
      <c r="M1463" s="234"/>
      <c r="N1463" s="234"/>
      <c r="O1463" s="234"/>
      <c r="P1463" s="234"/>
      <c r="Q1463" s="234"/>
      <c r="R1463" s="234"/>
    </row>
    <row r="1464" spans="8:18" ht="15" customHeight="1" x14ac:dyDescent="0.3">
      <c r="H1464" s="234" t="s">
        <v>3123</v>
      </c>
      <c r="I1464" s="306" t="s">
        <v>3124</v>
      </c>
      <c r="J1464" s="234">
        <f t="shared" si="48"/>
        <v>0.99716414156744049</v>
      </c>
      <c r="K1464" s="315">
        <f t="shared" si="49"/>
        <v>-2.8398870973689863E-3</v>
      </c>
      <c r="L1464" s="234"/>
      <c r="M1464" s="234"/>
      <c r="N1464" s="234"/>
      <c r="O1464" s="234"/>
      <c r="P1464" s="234"/>
      <c r="Q1464" s="234"/>
      <c r="R1464" s="234"/>
    </row>
    <row r="1465" spans="8:18" ht="15" customHeight="1" x14ac:dyDescent="0.3">
      <c r="H1465" s="234" t="s">
        <v>3125</v>
      </c>
      <c r="I1465" s="306" t="s">
        <v>3126</v>
      </c>
      <c r="J1465" s="234">
        <f t="shared" si="48"/>
        <v>1.008113235589827</v>
      </c>
      <c r="K1465" s="315">
        <f t="shared" si="49"/>
        <v>8.0805002345300889E-3</v>
      </c>
      <c r="L1465" s="234"/>
      <c r="M1465" s="234"/>
      <c r="N1465" s="234"/>
      <c r="O1465" s="234"/>
      <c r="P1465" s="234"/>
      <c r="Q1465" s="234"/>
      <c r="R1465" s="234"/>
    </row>
    <row r="1466" spans="8:18" ht="15" customHeight="1" x14ac:dyDescent="0.3">
      <c r="H1466" s="234" t="s">
        <v>3127</v>
      </c>
      <c r="I1466" s="306" t="s">
        <v>3128</v>
      </c>
      <c r="J1466" s="234">
        <f t="shared" si="48"/>
        <v>0.98891607514935631</v>
      </c>
      <c r="K1466" s="315">
        <f t="shared" si="49"/>
        <v>-1.114580925194757E-2</v>
      </c>
      <c r="L1466" s="234"/>
      <c r="M1466" s="234"/>
      <c r="N1466" s="234"/>
      <c r="O1466" s="234"/>
      <c r="P1466" s="234"/>
      <c r="Q1466" s="234"/>
      <c r="R1466" s="234"/>
    </row>
    <row r="1467" spans="8:18" ht="15" customHeight="1" x14ac:dyDescent="0.3">
      <c r="H1467" s="234" t="s">
        <v>3129</v>
      </c>
      <c r="I1467" s="306" t="s">
        <v>3130</v>
      </c>
      <c r="J1467" s="234">
        <f t="shared" si="48"/>
        <v>0.99145379735984918</v>
      </c>
      <c r="K1467" s="315">
        <f t="shared" si="49"/>
        <v>-8.582930837391204E-3</v>
      </c>
      <c r="L1467" s="234"/>
      <c r="M1467" s="234"/>
      <c r="N1467" s="234"/>
      <c r="O1467" s="234"/>
      <c r="P1467" s="234"/>
      <c r="Q1467" s="234"/>
      <c r="R1467" s="234"/>
    </row>
    <row r="1468" spans="8:18" ht="15" customHeight="1" x14ac:dyDescent="0.3">
      <c r="H1468" s="234" t="s">
        <v>3131</v>
      </c>
      <c r="I1468" s="306" t="s">
        <v>3132</v>
      </c>
      <c r="J1468" s="234">
        <f t="shared" si="48"/>
        <v>1.0111726517062347</v>
      </c>
      <c r="K1468" s="315">
        <f t="shared" si="49"/>
        <v>1.1110698659274628E-2</v>
      </c>
      <c r="L1468" s="234"/>
      <c r="M1468" s="234"/>
      <c r="N1468" s="234"/>
      <c r="O1468" s="234"/>
      <c r="P1468" s="234"/>
      <c r="Q1468" s="234"/>
      <c r="R1468" s="234"/>
    </row>
    <row r="1469" spans="8:18" ht="15" customHeight="1" x14ac:dyDescent="0.3">
      <c r="H1469" s="234" t="s">
        <v>3133</v>
      </c>
      <c r="I1469" s="306" t="s">
        <v>3134</v>
      </c>
      <c r="J1469" s="234">
        <f t="shared" si="48"/>
        <v>1.0248458791550448</v>
      </c>
      <c r="K1469" s="315">
        <f t="shared" si="49"/>
        <v>2.4542239484946448E-2</v>
      </c>
      <c r="L1469" s="234"/>
      <c r="M1469" s="234"/>
      <c r="N1469" s="234"/>
      <c r="O1469" s="234"/>
      <c r="P1469" s="234"/>
      <c r="Q1469" s="234"/>
      <c r="R1469" s="234"/>
    </row>
    <row r="1470" spans="8:18" ht="15" customHeight="1" x14ac:dyDescent="0.3">
      <c r="H1470" s="234" t="s">
        <v>3135</v>
      </c>
      <c r="I1470" s="306" t="s">
        <v>3136</v>
      </c>
      <c r="J1470" s="234">
        <f t="shared" si="48"/>
        <v>0.98947886544022645</v>
      </c>
      <c r="K1470" s="315">
        <f t="shared" si="49"/>
        <v>-1.0576872995081536E-2</v>
      </c>
      <c r="L1470" s="234"/>
      <c r="M1470" s="234"/>
      <c r="N1470" s="234"/>
      <c r="O1470" s="234"/>
      <c r="P1470" s="234"/>
      <c r="Q1470" s="234"/>
      <c r="R1470" s="234"/>
    </row>
    <row r="1471" spans="8:18" ht="15" customHeight="1" x14ac:dyDescent="0.3">
      <c r="H1471" s="234" t="s">
        <v>3137</v>
      </c>
      <c r="I1471" s="306" t="s">
        <v>3138</v>
      </c>
      <c r="J1471" s="234">
        <f t="shared" si="48"/>
        <v>0.98768122232832711</v>
      </c>
      <c r="K1471" s="315">
        <f t="shared" si="49"/>
        <v>-1.2395282762062846E-2</v>
      </c>
      <c r="L1471" s="234"/>
      <c r="M1471" s="234"/>
      <c r="N1471" s="234"/>
      <c r="O1471" s="234"/>
      <c r="P1471" s="234"/>
      <c r="Q1471" s="234"/>
      <c r="R1471" s="234"/>
    </row>
    <row r="1472" spans="8:18" ht="15" customHeight="1" x14ac:dyDescent="0.3">
      <c r="H1472" s="234" t="s">
        <v>3139</v>
      </c>
      <c r="I1472" s="306" t="s">
        <v>3140</v>
      </c>
      <c r="J1472" s="234">
        <f t="shared" si="48"/>
        <v>0.99273482543759106</v>
      </c>
      <c r="K1472" s="315">
        <f t="shared" si="49"/>
        <v>-7.2916944690231038E-3</v>
      </c>
      <c r="L1472" s="234"/>
      <c r="M1472" s="234"/>
      <c r="N1472" s="234"/>
      <c r="O1472" s="234"/>
      <c r="P1472" s="234"/>
      <c r="Q1472" s="234"/>
      <c r="R1472" s="234"/>
    </row>
    <row r="1473" spans="8:18" ht="15" customHeight="1" x14ac:dyDescent="0.3">
      <c r="H1473" s="234" t="s">
        <v>3141</v>
      </c>
      <c r="I1473" s="306" t="s">
        <v>3142</v>
      </c>
      <c r="J1473" s="234">
        <f t="shared" si="48"/>
        <v>1.004067045680711</v>
      </c>
      <c r="K1473" s="315">
        <f t="shared" si="49"/>
        <v>4.0587976063934965E-3</v>
      </c>
      <c r="L1473" s="234"/>
      <c r="M1473" s="234"/>
      <c r="N1473" s="234"/>
      <c r="O1473" s="234"/>
      <c r="P1473" s="234"/>
      <c r="Q1473" s="234"/>
      <c r="R1473" s="234"/>
    </row>
    <row r="1474" spans="8:18" ht="15" customHeight="1" x14ac:dyDescent="0.3">
      <c r="H1474" s="234" t="s">
        <v>3143</v>
      </c>
      <c r="I1474" s="306" t="s">
        <v>3144</v>
      </c>
      <c r="J1474" s="234">
        <f t="shared" si="48"/>
        <v>1.0081304359204752</v>
      </c>
      <c r="K1474" s="315">
        <f t="shared" si="49"/>
        <v>8.0975619923837512E-3</v>
      </c>
      <c r="L1474" s="234"/>
      <c r="M1474" s="234"/>
      <c r="N1474" s="234"/>
      <c r="O1474" s="234"/>
      <c r="P1474" s="234"/>
      <c r="Q1474" s="234"/>
      <c r="R1474" s="234"/>
    </row>
    <row r="1475" spans="8:18" ht="15" customHeight="1" x14ac:dyDescent="0.3">
      <c r="H1475" s="234" t="s">
        <v>3145</v>
      </c>
      <c r="I1475" s="306" t="s">
        <v>3146</v>
      </c>
      <c r="J1475" s="234">
        <f t="shared" si="48"/>
        <v>1.0076476120990498</v>
      </c>
      <c r="K1475" s="315">
        <f t="shared" si="49"/>
        <v>7.6185173563603423E-3</v>
      </c>
      <c r="L1475" s="234"/>
      <c r="M1475" s="234"/>
      <c r="N1475" s="234"/>
      <c r="O1475" s="234"/>
      <c r="P1475" s="234"/>
      <c r="Q1475" s="234"/>
      <c r="R1475" s="234"/>
    </row>
    <row r="1476" spans="8:18" ht="15" customHeight="1" x14ac:dyDescent="0.3">
      <c r="H1476" s="234" t="s">
        <v>3147</v>
      </c>
      <c r="I1476" s="306" t="s">
        <v>3148</v>
      </c>
      <c r="J1476" s="234">
        <f t="shared" si="48"/>
        <v>0.98479024913866242</v>
      </c>
      <c r="K1476" s="315">
        <f t="shared" si="49"/>
        <v>-1.5326605522952702E-2</v>
      </c>
      <c r="L1476" s="234"/>
      <c r="M1476" s="234"/>
      <c r="N1476" s="234"/>
      <c r="O1476" s="234"/>
      <c r="P1476" s="234"/>
      <c r="Q1476" s="234"/>
      <c r="R1476" s="234"/>
    </row>
    <row r="1477" spans="8:18" ht="15" customHeight="1" x14ac:dyDescent="0.3">
      <c r="H1477" s="234" t="s">
        <v>3149</v>
      </c>
      <c r="I1477" s="306" t="s">
        <v>3150</v>
      </c>
      <c r="J1477" s="234">
        <f t="shared" ref="J1477:J1540" si="50">I1477/I1478</f>
        <v>1.0012394366197184</v>
      </c>
      <c r="K1477" s="315">
        <f t="shared" ref="K1477:K1540" si="51">LN(J1477)</f>
        <v>1.2386691522372987E-3</v>
      </c>
      <c r="L1477" s="234"/>
      <c r="M1477" s="234"/>
      <c r="N1477" s="234"/>
      <c r="O1477" s="234"/>
      <c r="P1477" s="234"/>
      <c r="Q1477" s="234"/>
      <c r="R1477" s="234"/>
    </row>
    <row r="1478" spans="8:18" ht="15" customHeight="1" x14ac:dyDescent="0.3">
      <c r="H1478" s="234" t="s">
        <v>3151</v>
      </c>
      <c r="I1478" s="306" t="s">
        <v>3152</v>
      </c>
      <c r="J1478" s="234">
        <f t="shared" si="50"/>
        <v>0.99039435507408102</v>
      </c>
      <c r="K1478" s="315">
        <f t="shared" si="51"/>
        <v>-9.6520767105352703E-3</v>
      </c>
      <c r="L1478" s="234"/>
      <c r="M1478" s="234"/>
      <c r="N1478" s="234"/>
      <c r="O1478" s="234"/>
      <c r="P1478" s="234"/>
      <c r="Q1478" s="234"/>
      <c r="R1478" s="234"/>
    </row>
    <row r="1479" spans="8:18" ht="15" customHeight="1" x14ac:dyDescent="0.3">
      <c r="H1479" s="234" t="s">
        <v>3153</v>
      </c>
      <c r="I1479" s="306" t="s">
        <v>3154</v>
      </c>
      <c r="J1479" s="234">
        <f t="shared" si="50"/>
        <v>1.0175748152547999</v>
      </c>
      <c r="K1479" s="315">
        <f t="shared" si="51"/>
        <v>1.7422164137470726E-2</v>
      </c>
      <c r="L1479" s="234"/>
      <c r="M1479" s="234"/>
      <c r="N1479" s="234"/>
      <c r="O1479" s="234"/>
      <c r="P1479" s="234"/>
      <c r="Q1479" s="234"/>
      <c r="R1479" s="234"/>
    </row>
    <row r="1480" spans="8:18" ht="15" customHeight="1" x14ac:dyDescent="0.3">
      <c r="H1480" s="234" t="s">
        <v>3155</v>
      </c>
      <c r="I1480" s="306" t="s">
        <v>3156</v>
      </c>
      <c r="J1480" s="234">
        <f t="shared" si="50"/>
        <v>0.96734179996113123</v>
      </c>
      <c r="K1480" s="315">
        <f t="shared" si="51"/>
        <v>-3.3203381700173701E-2</v>
      </c>
      <c r="L1480" s="234"/>
      <c r="M1480" s="234"/>
      <c r="N1480" s="234"/>
      <c r="O1480" s="234"/>
      <c r="P1480" s="234"/>
      <c r="Q1480" s="234"/>
      <c r="R1480" s="234"/>
    </row>
    <row r="1481" spans="8:18" ht="15" customHeight="1" x14ac:dyDescent="0.3">
      <c r="H1481" s="234" t="s">
        <v>3157</v>
      </c>
      <c r="I1481" s="306" t="s">
        <v>3158</v>
      </c>
      <c r="J1481" s="234">
        <f t="shared" si="50"/>
        <v>0.990119469914999</v>
      </c>
      <c r="K1481" s="315">
        <f t="shared" si="51"/>
        <v>-9.9296664525292955E-3</v>
      </c>
      <c r="L1481" s="234"/>
      <c r="M1481" s="234"/>
      <c r="N1481" s="234"/>
      <c r="O1481" s="234"/>
      <c r="P1481" s="234"/>
      <c r="Q1481" s="234"/>
      <c r="R1481" s="234"/>
    </row>
    <row r="1482" spans="8:18" ht="15" customHeight="1" x14ac:dyDescent="0.3">
      <c r="H1482" s="234" t="s">
        <v>3159</v>
      </c>
      <c r="I1482" s="306" t="s">
        <v>3160</v>
      </c>
      <c r="J1482" s="234">
        <f t="shared" si="50"/>
        <v>1.0096037705568834</v>
      </c>
      <c r="K1482" s="315">
        <f t="shared" si="51"/>
        <v>9.5579475015653247E-3</v>
      </c>
      <c r="L1482" s="234"/>
      <c r="M1482" s="234"/>
      <c r="N1482" s="234"/>
      <c r="O1482" s="234"/>
      <c r="P1482" s="234"/>
      <c r="Q1482" s="234"/>
      <c r="R1482" s="234"/>
    </row>
    <row r="1483" spans="8:18" ht="15" customHeight="1" x14ac:dyDescent="0.3">
      <c r="H1483" s="234" t="s">
        <v>3161</v>
      </c>
      <c r="I1483" s="306" t="s">
        <v>3162</v>
      </c>
      <c r="J1483" s="234">
        <f t="shared" si="50"/>
        <v>1.0115862776092621</v>
      </c>
      <c r="K1483" s="315">
        <f t="shared" si="51"/>
        <v>1.1519670685350486E-2</v>
      </c>
      <c r="L1483" s="234"/>
      <c r="M1483" s="234"/>
      <c r="N1483" s="234"/>
      <c r="O1483" s="234"/>
      <c r="P1483" s="234"/>
      <c r="Q1483" s="234"/>
      <c r="R1483" s="234"/>
    </row>
    <row r="1484" spans="8:18" ht="15" customHeight="1" x14ac:dyDescent="0.3">
      <c r="H1484" s="234" t="s">
        <v>3163</v>
      </c>
      <c r="I1484" s="306" t="s">
        <v>3164</v>
      </c>
      <c r="J1484" s="234">
        <f t="shared" si="50"/>
        <v>0.98463751777286068</v>
      </c>
      <c r="K1484" s="315">
        <f t="shared" si="51"/>
        <v>-1.548170780055229E-2</v>
      </c>
      <c r="L1484" s="234"/>
      <c r="M1484" s="234"/>
      <c r="N1484" s="234"/>
      <c r="O1484" s="234"/>
      <c r="P1484" s="234"/>
      <c r="Q1484" s="234"/>
      <c r="R1484" s="234"/>
    </row>
    <row r="1485" spans="8:18" ht="15" customHeight="1" x14ac:dyDescent="0.3">
      <c r="H1485" s="234" t="s">
        <v>3165</v>
      </c>
      <c r="I1485" s="306" t="s">
        <v>2079</v>
      </c>
      <c r="J1485" s="234">
        <f t="shared" si="50"/>
        <v>1.003232667668259</v>
      </c>
      <c r="K1485" s="315">
        <f t="shared" si="51"/>
        <v>3.2274538315115553E-3</v>
      </c>
      <c r="L1485" s="234"/>
      <c r="M1485" s="234"/>
      <c r="N1485" s="234"/>
      <c r="O1485" s="234"/>
      <c r="P1485" s="234"/>
      <c r="Q1485" s="234"/>
      <c r="R1485" s="234"/>
    </row>
    <row r="1486" spans="8:18" ht="15" customHeight="1" x14ac:dyDescent="0.3">
      <c r="H1486" s="234" t="s">
        <v>3166</v>
      </c>
      <c r="I1486" s="306" t="s">
        <v>3167</v>
      </c>
      <c r="J1486" s="234">
        <f t="shared" si="50"/>
        <v>1.0151486590694885</v>
      </c>
      <c r="K1486" s="315">
        <f t="shared" si="51"/>
        <v>1.5035063906646023E-2</v>
      </c>
      <c r="L1486" s="234"/>
      <c r="M1486" s="234"/>
      <c r="N1486" s="234"/>
      <c r="O1486" s="234"/>
      <c r="P1486" s="234"/>
      <c r="Q1486" s="234"/>
      <c r="R1486" s="234"/>
    </row>
    <row r="1487" spans="8:18" ht="15" customHeight="1" x14ac:dyDescent="0.3">
      <c r="H1487" s="234" t="s">
        <v>3168</v>
      </c>
      <c r="I1487" s="306" t="s">
        <v>3169</v>
      </c>
      <c r="J1487" s="234">
        <f t="shared" si="50"/>
        <v>1.002534037709917</v>
      </c>
      <c r="K1487" s="315">
        <f t="shared" si="51"/>
        <v>2.5308324500503709E-3</v>
      </c>
      <c r="L1487" s="234"/>
      <c r="M1487" s="234"/>
      <c r="N1487" s="234"/>
      <c r="O1487" s="234"/>
      <c r="P1487" s="234"/>
      <c r="Q1487" s="234"/>
      <c r="R1487" s="234"/>
    </row>
    <row r="1488" spans="8:18" ht="15" customHeight="1" x14ac:dyDescent="0.3">
      <c r="H1488" s="234" t="s">
        <v>3170</v>
      </c>
      <c r="I1488" s="306" t="s">
        <v>3171</v>
      </c>
      <c r="J1488" s="234">
        <f t="shared" si="50"/>
        <v>0.98965417573449399</v>
      </c>
      <c r="K1488" s="315">
        <f t="shared" si="51"/>
        <v>-1.0399714318955351E-2</v>
      </c>
      <c r="L1488" s="234"/>
      <c r="M1488" s="234"/>
      <c r="N1488" s="234"/>
      <c r="O1488" s="234"/>
      <c r="P1488" s="234"/>
      <c r="Q1488" s="234"/>
      <c r="R1488" s="234"/>
    </row>
    <row r="1489" spans="8:18" ht="15" customHeight="1" x14ac:dyDescent="0.3">
      <c r="H1489" s="234" t="s">
        <v>3172</v>
      </c>
      <c r="I1489" s="306" t="s">
        <v>3173</v>
      </c>
      <c r="J1489" s="234">
        <f t="shared" si="50"/>
        <v>1.002616663115278</v>
      </c>
      <c r="K1489" s="315">
        <f t="shared" si="51"/>
        <v>2.6132456126857096E-3</v>
      </c>
      <c r="L1489" s="234"/>
      <c r="M1489" s="234"/>
      <c r="N1489" s="234"/>
      <c r="O1489" s="234"/>
      <c r="P1489" s="234"/>
      <c r="Q1489" s="234"/>
      <c r="R1489" s="234"/>
    </row>
    <row r="1490" spans="8:18" ht="15" customHeight="1" x14ac:dyDescent="0.3">
      <c r="H1490" s="234" t="s">
        <v>3174</v>
      </c>
      <c r="I1490" s="306" t="s">
        <v>3175</v>
      </c>
      <c r="J1490" s="234">
        <f t="shared" si="50"/>
        <v>1.0157744820480854</v>
      </c>
      <c r="K1490" s="315">
        <f t="shared" si="51"/>
        <v>1.565135802997834E-2</v>
      </c>
      <c r="L1490" s="234"/>
      <c r="M1490" s="234"/>
      <c r="N1490" s="234"/>
      <c r="O1490" s="234"/>
      <c r="P1490" s="234"/>
      <c r="Q1490" s="234"/>
      <c r="R1490" s="234"/>
    </row>
    <row r="1491" spans="8:18" ht="15" customHeight="1" x14ac:dyDescent="0.3">
      <c r="H1491" s="234" t="s">
        <v>3176</v>
      </c>
      <c r="I1491" s="306" t="s">
        <v>3177</v>
      </c>
      <c r="J1491" s="234">
        <f t="shared" si="50"/>
        <v>0.9961620726532584</v>
      </c>
      <c r="K1491" s="315">
        <f t="shared" si="51"/>
        <v>-3.845311088130997E-3</v>
      </c>
      <c r="L1491" s="234"/>
      <c r="M1491" s="234"/>
      <c r="N1491" s="234"/>
      <c r="O1491" s="234"/>
      <c r="P1491" s="234"/>
      <c r="Q1491" s="234"/>
      <c r="R1491" s="234"/>
    </row>
    <row r="1492" spans="8:18" ht="15" customHeight="1" x14ac:dyDescent="0.3">
      <c r="H1492" s="234" t="s">
        <v>3178</v>
      </c>
      <c r="I1492" s="306" t="s">
        <v>3179</v>
      </c>
      <c r="J1492" s="234">
        <f t="shared" si="50"/>
        <v>0.99741931043974952</v>
      </c>
      <c r="K1492" s="315">
        <f t="shared" si="51"/>
        <v>-2.5840252797605955E-3</v>
      </c>
      <c r="L1492" s="234"/>
      <c r="M1492" s="234"/>
      <c r="N1492" s="234"/>
      <c r="O1492" s="234"/>
      <c r="P1492" s="234"/>
      <c r="Q1492" s="234"/>
      <c r="R1492" s="234"/>
    </row>
    <row r="1493" spans="8:18" ht="15" customHeight="1" x14ac:dyDescent="0.3">
      <c r="H1493" s="234" t="s">
        <v>3180</v>
      </c>
      <c r="I1493" s="306" t="s">
        <v>3181</v>
      </c>
      <c r="J1493" s="234">
        <f t="shared" si="50"/>
        <v>0.99640858168976665</v>
      </c>
      <c r="K1493" s="315">
        <f t="shared" si="51"/>
        <v>-3.5978829357304035E-3</v>
      </c>
      <c r="L1493" s="234"/>
      <c r="M1493" s="234"/>
      <c r="N1493" s="234"/>
      <c r="O1493" s="234"/>
      <c r="P1493" s="234"/>
      <c r="Q1493" s="234"/>
      <c r="R1493" s="234"/>
    </row>
    <row r="1494" spans="8:18" ht="15" customHeight="1" x14ac:dyDescent="0.3">
      <c r="H1494" s="234" t="s">
        <v>3182</v>
      </c>
      <c r="I1494" s="306" t="s">
        <v>3183</v>
      </c>
      <c r="J1494" s="234">
        <f t="shared" si="50"/>
        <v>0.99824594428092273</v>
      </c>
      <c r="K1494" s="315">
        <f t="shared" si="51"/>
        <v>-1.7555958760877329E-3</v>
      </c>
      <c r="L1494" s="234"/>
      <c r="M1494" s="234"/>
      <c r="N1494" s="234"/>
      <c r="O1494" s="234"/>
      <c r="P1494" s="234"/>
      <c r="Q1494" s="234"/>
      <c r="R1494" s="234"/>
    </row>
    <row r="1495" spans="8:18" ht="15" customHeight="1" x14ac:dyDescent="0.3">
      <c r="H1495" s="234" t="s">
        <v>3184</v>
      </c>
      <c r="I1495" s="306" t="s">
        <v>3185</v>
      </c>
      <c r="J1495" s="234">
        <f t="shared" si="50"/>
        <v>0.9929061143347464</v>
      </c>
      <c r="K1495" s="315">
        <f t="shared" si="51"/>
        <v>-7.1191669045986318E-3</v>
      </c>
      <c r="L1495" s="234"/>
      <c r="M1495" s="234"/>
      <c r="N1495" s="234"/>
      <c r="O1495" s="234"/>
      <c r="P1495" s="234"/>
      <c r="Q1495" s="234"/>
      <c r="R1495" s="234"/>
    </row>
    <row r="1496" spans="8:18" ht="15" customHeight="1" x14ac:dyDescent="0.3">
      <c r="H1496" s="234" t="s">
        <v>3186</v>
      </c>
      <c r="I1496" s="306" t="s">
        <v>3187</v>
      </c>
      <c r="J1496" s="234">
        <f t="shared" si="50"/>
        <v>0.99277183630781685</v>
      </c>
      <c r="K1496" s="315">
        <f t="shared" si="51"/>
        <v>-7.2544134354782094E-3</v>
      </c>
      <c r="L1496" s="234"/>
      <c r="M1496" s="234"/>
      <c r="N1496" s="234"/>
      <c r="O1496" s="234"/>
      <c r="P1496" s="234"/>
      <c r="Q1496" s="234"/>
      <c r="R1496" s="234"/>
    </row>
    <row r="1497" spans="8:18" ht="15" customHeight="1" x14ac:dyDescent="0.3">
      <c r="H1497" s="234" t="s">
        <v>3188</v>
      </c>
      <c r="I1497" s="306" t="s">
        <v>3189</v>
      </c>
      <c r="J1497" s="234">
        <f t="shared" si="50"/>
        <v>1.0251789852315567</v>
      </c>
      <c r="K1497" s="315">
        <f t="shared" si="51"/>
        <v>2.4867217084223743E-2</v>
      </c>
      <c r="L1497" s="234"/>
      <c r="M1497" s="234"/>
      <c r="N1497" s="234"/>
      <c r="O1497" s="234"/>
      <c r="P1497" s="234"/>
      <c r="Q1497" s="234"/>
      <c r="R1497" s="234"/>
    </row>
    <row r="1498" spans="8:18" ht="15" customHeight="1" x14ac:dyDescent="0.3">
      <c r="H1498" s="234" t="s">
        <v>3190</v>
      </c>
      <c r="I1498" s="306" t="s">
        <v>3191</v>
      </c>
      <c r="J1498" s="234">
        <f t="shared" si="50"/>
        <v>0.99246545953831633</v>
      </c>
      <c r="K1498" s="315">
        <f t="shared" si="51"/>
        <v>-7.5630684991060144E-3</v>
      </c>
      <c r="L1498" s="234"/>
      <c r="M1498" s="234"/>
      <c r="N1498" s="234"/>
      <c r="O1498" s="234"/>
      <c r="P1498" s="234"/>
      <c r="Q1498" s="234"/>
      <c r="R1498" s="234"/>
    </row>
    <row r="1499" spans="8:18" ht="15" customHeight="1" x14ac:dyDescent="0.3">
      <c r="H1499" s="234" t="s">
        <v>3192</v>
      </c>
      <c r="I1499" s="306" t="s">
        <v>3193</v>
      </c>
      <c r="J1499" s="234">
        <f t="shared" si="50"/>
        <v>0.99424086003156864</v>
      </c>
      <c r="K1499" s="315">
        <f t="shared" si="51"/>
        <v>-5.775787763779028E-3</v>
      </c>
      <c r="L1499" s="234"/>
      <c r="M1499" s="234"/>
      <c r="N1499" s="234"/>
      <c r="O1499" s="234"/>
      <c r="P1499" s="234"/>
      <c r="Q1499" s="234"/>
      <c r="R1499" s="234"/>
    </row>
    <row r="1500" spans="8:18" ht="15" customHeight="1" x14ac:dyDescent="0.3">
      <c r="H1500" s="234" t="s">
        <v>3194</v>
      </c>
      <c r="I1500" s="306" t="s">
        <v>3195</v>
      </c>
      <c r="J1500" s="234">
        <f t="shared" si="50"/>
        <v>1.0115739142442863</v>
      </c>
      <c r="K1500" s="315">
        <f t="shared" si="51"/>
        <v>1.1507448850395721E-2</v>
      </c>
      <c r="L1500" s="234"/>
      <c r="M1500" s="234"/>
      <c r="N1500" s="234"/>
      <c r="O1500" s="234"/>
      <c r="P1500" s="234"/>
      <c r="Q1500" s="234"/>
      <c r="R1500" s="234"/>
    </row>
    <row r="1501" spans="8:18" ht="15" customHeight="1" x14ac:dyDescent="0.3">
      <c r="H1501" s="234" t="s">
        <v>3196</v>
      </c>
      <c r="I1501" s="306" t="s">
        <v>3197</v>
      </c>
      <c r="J1501" s="234">
        <f t="shared" si="50"/>
        <v>1.0064715642074722</v>
      </c>
      <c r="K1501" s="315">
        <f t="shared" si="51"/>
        <v>6.4507135450796518E-3</v>
      </c>
      <c r="L1501" s="234"/>
      <c r="M1501" s="234"/>
      <c r="N1501" s="234"/>
      <c r="O1501" s="234"/>
      <c r="P1501" s="234"/>
      <c r="Q1501" s="234"/>
      <c r="R1501" s="234"/>
    </row>
    <row r="1502" spans="8:18" ht="15" customHeight="1" x14ac:dyDescent="0.3">
      <c r="H1502" s="234" t="s">
        <v>3198</v>
      </c>
      <c r="I1502" s="306" t="s">
        <v>3199</v>
      </c>
      <c r="J1502" s="234">
        <f t="shared" si="50"/>
        <v>0.99987840150087293</v>
      </c>
      <c r="K1502" s="315">
        <f t="shared" si="51"/>
        <v>-1.2160589282394956E-4</v>
      </c>
      <c r="L1502" s="234"/>
      <c r="M1502" s="234"/>
      <c r="N1502" s="234"/>
      <c r="O1502" s="234"/>
      <c r="P1502" s="234"/>
      <c r="Q1502" s="234"/>
      <c r="R1502" s="234"/>
    </row>
    <row r="1503" spans="8:18" ht="15" customHeight="1" x14ac:dyDescent="0.3">
      <c r="H1503" s="234" t="s">
        <v>3200</v>
      </c>
      <c r="I1503" s="306" t="s">
        <v>3201</v>
      </c>
      <c r="J1503" s="234">
        <f t="shared" si="50"/>
        <v>1.0071732873776387</v>
      </c>
      <c r="K1503" s="315">
        <f t="shared" si="51"/>
        <v>7.1476817299312347E-3</v>
      </c>
      <c r="L1503" s="234"/>
      <c r="M1503" s="234"/>
      <c r="N1503" s="234"/>
      <c r="O1503" s="234"/>
      <c r="P1503" s="234"/>
      <c r="Q1503" s="234"/>
      <c r="R1503" s="234"/>
    </row>
    <row r="1504" spans="8:18" ht="15" customHeight="1" x14ac:dyDescent="0.3">
      <c r="H1504" s="234" t="s">
        <v>3202</v>
      </c>
      <c r="I1504" s="306" t="s">
        <v>3203</v>
      </c>
      <c r="J1504" s="234">
        <f t="shared" si="50"/>
        <v>1.0150508799659024</v>
      </c>
      <c r="K1504" s="315">
        <f t="shared" si="51"/>
        <v>1.4938739282606197E-2</v>
      </c>
      <c r="L1504" s="234"/>
      <c r="M1504" s="234"/>
      <c r="N1504" s="234"/>
      <c r="O1504" s="234"/>
      <c r="P1504" s="234"/>
      <c r="Q1504" s="234"/>
      <c r="R1504" s="234"/>
    </row>
    <row r="1505" spans="8:18" ht="15" customHeight="1" x14ac:dyDescent="0.3">
      <c r="H1505" s="234" t="s">
        <v>3204</v>
      </c>
      <c r="I1505" s="306" t="s">
        <v>3205</v>
      </c>
      <c r="J1505" s="234">
        <f t="shared" si="50"/>
        <v>1.0064434256503749</v>
      </c>
      <c r="K1505" s="315">
        <f t="shared" si="51"/>
        <v>6.4227555267421877E-3</v>
      </c>
      <c r="L1505" s="234"/>
      <c r="M1505" s="234"/>
      <c r="N1505" s="234"/>
      <c r="O1505" s="234"/>
      <c r="P1505" s="234"/>
      <c r="Q1505" s="234"/>
      <c r="R1505" s="234"/>
    </row>
    <row r="1506" spans="8:18" ht="15" customHeight="1" x14ac:dyDescent="0.3">
      <c r="H1506" s="234" t="s">
        <v>3206</v>
      </c>
      <c r="I1506" s="306" t="s">
        <v>2167</v>
      </c>
      <c r="J1506" s="234">
        <f t="shared" si="50"/>
        <v>0.99406565095722477</v>
      </c>
      <c r="K1506" s="315">
        <f t="shared" si="51"/>
        <v>-5.9520272659172035E-3</v>
      </c>
      <c r="L1506" s="234"/>
      <c r="M1506" s="234"/>
      <c r="N1506" s="234"/>
      <c r="O1506" s="234"/>
      <c r="P1506" s="234"/>
      <c r="Q1506" s="234"/>
      <c r="R1506" s="234"/>
    </row>
    <row r="1507" spans="8:18" ht="15" customHeight="1" x14ac:dyDescent="0.3">
      <c r="H1507" s="234" t="s">
        <v>3207</v>
      </c>
      <c r="I1507" s="306" t="s">
        <v>3208</v>
      </c>
      <c r="J1507" s="234">
        <f t="shared" si="50"/>
        <v>1.0032084131723185</v>
      </c>
      <c r="K1507" s="315">
        <f t="shared" si="51"/>
        <v>3.203277197397198E-3</v>
      </c>
      <c r="L1507" s="234"/>
      <c r="M1507" s="234"/>
      <c r="N1507" s="234"/>
      <c r="O1507" s="234"/>
      <c r="P1507" s="234"/>
      <c r="Q1507" s="234"/>
      <c r="R1507" s="234"/>
    </row>
    <row r="1508" spans="8:18" ht="15" customHeight="1" x14ac:dyDescent="0.3">
      <c r="H1508" s="234" t="s">
        <v>3209</v>
      </c>
      <c r="I1508" s="306" t="s">
        <v>3210</v>
      </c>
      <c r="J1508" s="234">
        <f t="shared" si="50"/>
        <v>1.0111929201625767</v>
      </c>
      <c r="K1508" s="315">
        <f t="shared" si="51"/>
        <v>1.1130742964443356E-2</v>
      </c>
      <c r="L1508" s="234"/>
      <c r="M1508" s="234"/>
      <c r="N1508" s="234"/>
      <c r="O1508" s="234"/>
      <c r="P1508" s="234"/>
      <c r="Q1508" s="234"/>
      <c r="R1508" s="234"/>
    </row>
    <row r="1509" spans="8:18" ht="15" customHeight="1" x14ac:dyDescent="0.3">
      <c r="H1509" s="234" t="s">
        <v>3211</v>
      </c>
      <c r="I1509" s="306" t="s">
        <v>3212</v>
      </c>
      <c r="J1509" s="234">
        <f t="shared" si="50"/>
        <v>1.0026293913546336</v>
      </c>
      <c r="K1509" s="315">
        <f t="shared" si="51"/>
        <v>2.6259405528676455E-3</v>
      </c>
      <c r="L1509" s="234"/>
      <c r="M1509" s="234"/>
      <c r="N1509" s="234"/>
      <c r="O1509" s="234"/>
      <c r="P1509" s="234"/>
      <c r="Q1509" s="234"/>
      <c r="R1509" s="234"/>
    </row>
    <row r="1510" spans="8:18" ht="15" customHeight="1" x14ac:dyDescent="0.3">
      <c r="H1510" s="234" t="s">
        <v>3213</v>
      </c>
      <c r="I1510" s="306" t="s">
        <v>3214</v>
      </c>
      <c r="J1510" s="234">
        <f t="shared" si="50"/>
        <v>0.99728762852225317</v>
      </c>
      <c r="K1510" s="315">
        <f t="shared" si="51"/>
        <v>-2.7160566224260683E-3</v>
      </c>
      <c r="L1510" s="234"/>
      <c r="M1510" s="234"/>
      <c r="N1510" s="234"/>
      <c r="O1510" s="234"/>
      <c r="P1510" s="234"/>
      <c r="Q1510" s="234"/>
      <c r="R1510" s="234"/>
    </row>
    <row r="1511" spans="8:18" ht="15" customHeight="1" x14ac:dyDescent="0.3">
      <c r="H1511" s="234" t="s">
        <v>3215</v>
      </c>
      <c r="I1511" s="306" t="s">
        <v>3216</v>
      </c>
      <c r="J1511" s="234">
        <f t="shared" si="50"/>
        <v>0.99863217097862766</v>
      </c>
      <c r="K1511" s="315">
        <f t="shared" si="51"/>
        <v>-1.3687653534136782E-3</v>
      </c>
      <c r="L1511" s="234"/>
      <c r="M1511" s="234"/>
      <c r="N1511" s="234"/>
      <c r="O1511" s="234"/>
      <c r="P1511" s="234"/>
      <c r="Q1511" s="234"/>
      <c r="R1511" s="234"/>
    </row>
    <row r="1512" spans="8:18" ht="15" customHeight="1" x14ac:dyDescent="0.3">
      <c r="H1512" s="234" t="s">
        <v>3217</v>
      </c>
      <c r="I1512" s="306" t="s">
        <v>3218</v>
      </c>
      <c r="J1512" s="234">
        <f t="shared" si="50"/>
        <v>1.0045379351491099</v>
      </c>
      <c r="K1512" s="315">
        <f t="shared" si="51"/>
        <v>4.5276697654489852E-3</v>
      </c>
      <c r="L1512" s="234"/>
      <c r="M1512" s="234"/>
      <c r="N1512" s="234"/>
      <c r="O1512" s="234"/>
      <c r="P1512" s="234"/>
      <c r="Q1512" s="234"/>
      <c r="R1512" s="234"/>
    </row>
    <row r="1513" spans="8:18" ht="15" customHeight="1" x14ac:dyDescent="0.3">
      <c r="H1513" s="234" t="s">
        <v>3219</v>
      </c>
      <c r="I1513" s="306" t="s">
        <v>3220</v>
      </c>
      <c r="J1513" s="234">
        <f t="shared" si="50"/>
        <v>1.0029556560921875</v>
      </c>
      <c r="K1513" s="315">
        <f t="shared" si="51"/>
        <v>2.9512967284607782E-3</v>
      </c>
      <c r="L1513" s="234"/>
      <c r="M1513" s="234"/>
      <c r="N1513" s="234"/>
      <c r="O1513" s="234"/>
      <c r="P1513" s="234"/>
      <c r="Q1513" s="234"/>
      <c r="R1513" s="234"/>
    </row>
    <row r="1514" spans="8:18" ht="15" customHeight="1" x14ac:dyDescent="0.3">
      <c r="H1514" s="234" t="s">
        <v>3221</v>
      </c>
      <c r="I1514" s="306" t="s">
        <v>3222</v>
      </c>
      <c r="J1514" s="234">
        <f t="shared" si="50"/>
        <v>1.0122519777537122</v>
      </c>
      <c r="K1514" s="315">
        <f t="shared" si="51"/>
        <v>1.2177529747649031E-2</v>
      </c>
      <c r="L1514" s="234"/>
      <c r="M1514" s="234"/>
      <c r="N1514" s="234"/>
      <c r="O1514" s="234"/>
      <c r="P1514" s="234"/>
      <c r="Q1514" s="234"/>
      <c r="R1514" s="234"/>
    </row>
    <row r="1515" spans="8:18" ht="15" customHeight="1" x14ac:dyDescent="0.3">
      <c r="H1515" s="234" t="s">
        <v>3223</v>
      </c>
      <c r="I1515" s="306" t="s">
        <v>3224</v>
      </c>
      <c r="J1515" s="234">
        <f t="shared" si="50"/>
        <v>1.0002845838191148</v>
      </c>
      <c r="K1515" s="315">
        <f t="shared" si="51"/>
        <v>2.8454333282071061E-4</v>
      </c>
      <c r="L1515" s="234"/>
      <c r="M1515" s="234"/>
      <c r="N1515" s="234"/>
      <c r="O1515" s="234"/>
      <c r="P1515" s="234"/>
      <c r="Q1515" s="234"/>
      <c r="R1515" s="234"/>
    </row>
    <row r="1516" spans="8:18" ht="15" customHeight="1" x14ac:dyDescent="0.3">
      <c r="H1516" s="234" t="s">
        <v>3225</v>
      </c>
      <c r="I1516" s="306" t="s">
        <v>3226</v>
      </c>
      <c r="J1516" s="234">
        <f t="shared" si="50"/>
        <v>1.0064490497352934</v>
      </c>
      <c r="K1516" s="315">
        <f t="shared" si="51"/>
        <v>6.4283435896787143E-3</v>
      </c>
      <c r="L1516" s="234"/>
      <c r="M1516" s="234"/>
      <c r="N1516" s="234"/>
      <c r="O1516" s="234"/>
      <c r="P1516" s="234"/>
      <c r="Q1516" s="234"/>
      <c r="R1516" s="234"/>
    </row>
    <row r="1517" spans="8:18" ht="15" customHeight="1" x14ac:dyDescent="0.3">
      <c r="H1517" s="234" t="s">
        <v>3227</v>
      </c>
      <c r="I1517" s="306" t="s">
        <v>3228</v>
      </c>
      <c r="J1517" s="234">
        <f t="shared" si="50"/>
        <v>0.99947363560808944</v>
      </c>
      <c r="K1517" s="315">
        <f t="shared" si="51"/>
        <v>-5.2650297027770885E-4</v>
      </c>
      <c r="L1517" s="234"/>
      <c r="M1517" s="234"/>
      <c r="N1517" s="234"/>
      <c r="O1517" s="234"/>
      <c r="P1517" s="234"/>
      <c r="Q1517" s="234"/>
      <c r="R1517" s="234"/>
    </row>
    <row r="1518" spans="8:18" ht="15" customHeight="1" x14ac:dyDescent="0.3">
      <c r="H1518" s="234" t="s">
        <v>3229</v>
      </c>
      <c r="I1518" s="306" t="s">
        <v>3230</v>
      </c>
      <c r="J1518" s="234">
        <f t="shared" si="50"/>
        <v>1.0054034983473836</v>
      </c>
      <c r="K1518" s="315">
        <f t="shared" si="51"/>
        <v>5.3889518280558308E-3</v>
      </c>
      <c r="L1518" s="234"/>
      <c r="M1518" s="234"/>
      <c r="N1518" s="234"/>
      <c r="O1518" s="234"/>
      <c r="P1518" s="234"/>
      <c r="Q1518" s="234"/>
      <c r="R1518" s="234"/>
    </row>
    <row r="1519" spans="8:18" ht="15" customHeight="1" x14ac:dyDescent="0.3">
      <c r="H1519" s="234" t="s">
        <v>3231</v>
      </c>
      <c r="I1519" s="306" t="s">
        <v>3232</v>
      </c>
      <c r="J1519" s="234">
        <f t="shared" si="50"/>
        <v>1.0060620779196519</v>
      </c>
      <c r="K1519" s="315">
        <f t="shared" si="51"/>
        <v>6.0437774473174862E-3</v>
      </c>
      <c r="L1519" s="234"/>
      <c r="M1519" s="234"/>
      <c r="N1519" s="234"/>
      <c r="O1519" s="234"/>
      <c r="P1519" s="234"/>
      <c r="Q1519" s="234"/>
      <c r="R1519" s="234"/>
    </row>
    <row r="1520" spans="8:18" ht="15" customHeight="1" x14ac:dyDescent="0.3">
      <c r="H1520" s="234" t="s">
        <v>3233</v>
      </c>
      <c r="I1520" s="306" t="s">
        <v>3234</v>
      </c>
      <c r="J1520" s="234">
        <f t="shared" si="50"/>
        <v>0.98741053641260235</v>
      </c>
      <c r="K1520" s="315">
        <f t="shared" si="51"/>
        <v>-1.2669382348800075E-2</v>
      </c>
      <c r="L1520" s="234"/>
      <c r="M1520" s="234"/>
      <c r="N1520" s="234"/>
      <c r="O1520" s="234"/>
      <c r="P1520" s="234"/>
      <c r="Q1520" s="234"/>
      <c r="R1520" s="234"/>
    </row>
    <row r="1521" spans="8:18" ht="15" customHeight="1" x14ac:dyDescent="0.3">
      <c r="H1521" s="234" t="s">
        <v>3235</v>
      </c>
      <c r="I1521" s="306" t="s">
        <v>3236</v>
      </c>
      <c r="J1521" s="234">
        <f t="shared" si="50"/>
        <v>0.99753431715305629</v>
      </c>
      <c r="K1521" s="315">
        <f t="shared" si="51"/>
        <v>-2.4687276489350094E-3</v>
      </c>
      <c r="L1521" s="234"/>
      <c r="M1521" s="234"/>
      <c r="N1521" s="234"/>
      <c r="O1521" s="234"/>
      <c r="P1521" s="234"/>
      <c r="Q1521" s="234"/>
      <c r="R1521" s="234"/>
    </row>
    <row r="1522" spans="8:18" ht="15" customHeight="1" x14ac:dyDescent="0.3">
      <c r="H1522" s="234" t="s">
        <v>3237</v>
      </c>
      <c r="I1522" s="306" t="s">
        <v>3238</v>
      </c>
      <c r="J1522" s="234">
        <f t="shared" si="50"/>
        <v>1.0111165893001666</v>
      </c>
      <c r="K1522" s="315">
        <f t="shared" si="51"/>
        <v>1.1055254161083451E-2</v>
      </c>
      <c r="L1522" s="234"/>
      <c r="M1522" s="234"/>
      <c r="N1522" s="234"/>
      <c r="O1522" s="234"/>
      <c r="P1522" s="234"/>
      <c r="Q1522" s="234"/>
      <c r="R1522" s="234"/>
    </row>
    <row r="1523" spans="8:18" ht="15" customHeight="1" x14ac:dyDescent="0.3">
      <c r="H1523" s="234" t="s">
        <v>3239</v>
      </c>
      <c r="I1523" s="306" t="s">
        <v>3240</v>
      </c>
      <c r="J1523" s="234">
        <f t="shared" si="50"/>
        <v>1.0154062683014378</v>
      </c>
      <c r="K1523" s="315">
        <f t="shared" si="51"/>
        <v>1.5288796745742288E-2</v>
      </c>
      <c r="L1523" s="234"/>
      <c r="M1523" s="234"/>
      <c r="N1523" s="234"/>
      <c r="O1523" s="234"/>
      <c r="P1523" s="234"/>
      <c r="Q1523" s="234"/>
      <c r="R1523" s="234"/>
    </row>
    <row r="1524" spans="8:18" ht="15" customHeight="1" x14ac:dyDescent="0.3">
      <c r="H1524" s="234" t="s">
        <v>3241</v>
      </c>
      <c r="I1524" s="306" t="s">
        <v>3242</v>
      </c>
      <c r="J1524" s="234">
        <f t="shared" si="50"/>
        <v>0.99620773696938902</v>
      </c>
      <c r="K1524" s="315">
        <f t="shared" si="51"/>
        <v>-3.7994718910923033E-3</v>
      </c>
      <c r="L1524" s="234"/>
      <c r="M1524" s="234"/>
      <c r="N1524" s="234"/>
      <c r="O1524" s="234"/>
      <c r="P1524" s="234"/>
      <c r="Q1524" s="234"/>
      <c r="R1524" s="234"/>
    </row>
    <row r="1525" spans="8:18" ht="15" customHeight="1" x14ac:dyDescent="0.3">
      <c r="H1525" s="234" t="s">
        <v>3243</v>
      </c>
      <c r="I1525" s="306" t="s">
        <v>3244</v>
      </c>
      <c r="J1525" s="234">
        <f t="shared" si="50"/>
        <v>0.99721299476380831</v>
      </c>
      <c r="K1525" s="315">
        <f t="shared" si="51"/>
        <v>-2.7908961663282651E-3</v>
      </c>
      <c r="L1525" s="234"/>
      <c r="M1525" s="234"/>
      <c r="N1525" s="234"/>
      <c r="O1525" s="234"/>
      <c r="P1525" s="234"/>
      <c r="Q1525" s="234"/>
      <c r="R1525" s="234"/>
    </row>
    <row r="1526" spans="8:18" ht="15" customHeight="1" x14ac:dyDescent="0.3">
      <c r="H1526" s="234" t="s">
        <v>3245</v>
      </c>
      <c r="I1526" s="306" t="s">
        <v>3246</v>
      </c>
      <c r="J1526" s="234">
        <f t="shared" si="50"/>
        <v>1.0048466789876664</v>
      </c>
      <c r="K1526" s="315">
        <f t="shared" si="51"/>
        <v>4.8349716516225376E-3</v>
      </c>
      <c r="L1526" s="234"/>
      <c r="M1526" s="234"/>
      <c r="N1526" s="234"/>
      <c r="O1526" s="234"/>
      <c r="P1526" s="234"/>
      <c r="Q1526" s="234"/>
      <c r="R1526" s="234"/>
    </row>
    <row r="1527" spans="8:18" ht="15" customHeight="1" x14ac:dyDescent="0.3">
      <c r="H1527" s="234" t="s">
        <v>3247</v>
      </c>
      <c r="I1527" s="306" t="s">
        <v>3248</v>
      </c>
      <c r="J1527" s="234">
        <f t="shared" si="50"/>
        <v>0.99345205197141007</v>
      </c>
      <c r="K1527" s="315">
        <f t="shared" si="51"/>
        <v>-6.5694798847341224E-3</v>
      </c>
      <c r="L1527" s="234"/>
      <c r="M1527" s="234"/>
      <c r="N1527" s="234"/>
      <c r="O1527" s="234"/>
      <c r="P1527" s="234"/>
      <c r="Q1527" s="234"/>
      <c r="R1527" s="234"/>
    </row>
    <row r="1528" spans="8:18" ht="15" customHeight="1" x14ac:dyDescent="0.3">
      <c r="H1528" s="234" t="s">
        <v>3249</v>
      </c>
      <c r="I1528" s="306" t="s">
        <v>3250</v>
      </c>
      <c r="J1528" s="234">
        <f t="shared" si="50"/>
        <v>0.98507862099512766</v>
      </c>
      <c r="K1528" s="315">
        <f t="shared" si="51"/>
        <v>-1.5033822726191581E-2</v>
      </c>
      <c r="L1528" s="234"/>
      <c r="M1528" s="234"/>
      <c r="N1528" s="234"/>
      <c r="O1528" s="234"/>
      <c r="P1528" s="234"/>
      <c r="Q1528" s="234"/>
      <c r="R1528" s="234"/>
    </row>
    <row r="1529" spans="8:18" ht="15" customHeight="1" x14ac:dyDescent="0.3">
      <c r="H1529" s="234" t="s">
        <v>3251</v>
      </c>
      <c r="I1529" s="306" t="s">
        <v>3252</v>
      </c>
      <c r="J1529" s="234">
        <f t="shared" si="50"/>
        <v>1.0069316682462695</v>
      </c>
      <c r="K1529" s="315">
        <f t="shared" si="51"/>
        <v>6.9077546776158899E-3</v>
      </c>
      <c r="L1529" s="234"/>
      <c r="M1529" s="234"/>
      <c r="N1529" s="234"/>
      <c r="O1529" s="234"/>
      <c r="P1529" s="234"/>
      <c r="Q1529" s="234"/>
      <c r="R1529" s="234"/>
    </row>
    <row r="1530" spans="8:18" ht="15" customHeight="1" x14ac:dyDescent="0.3">
      <c r="H1530" s="234" t="s">
        <v>3253</v>
      </c>
      <c r="I1530" s="306" t="s">
        <v>3254</v>
      </c>
      <c r="J1530" s="234">
        <f t="shared" si="50"/>
        <v>0.98220348264155077</v>
      </c>
      <c r="K1530" s="315">
        <f t="shared" si="51"/>
        <v>-1.79567796272713E-2</v>
      </c>
      <c r="L1530" s="234"/>
      <c r="M1530" s="234"/>
      <c r="N1530" s="234"/>
      <c r="O1530" s="234"/>
      <c r="P1530" s="234"/>
      <c r="Q1530" s="234"/>
      <c r="R1530" s="234"/>
    </row>
    <row r="1531" spans="8:18" ht="15" customHeight="1" x14ac:dyDescent="0.3">
      <c r="H1531" s="234" t="s">
        <v>3255</v>
      </c>
      <c r="I1531" s="306" t="s">
        <v>3256</v>
      </c>
      <c r="J1531" s="234">
        <f t="shared" si="50"/>
        <v>1.0111849390919159</v>
      </c>
      <c r="K1531" s="315">
        <f t="shared" si="51"/>
        <v>1.1122850205309032E-2</v>
      </c>
      <c r="L1531" s="234"/>
      <c r="M1531" s="234"/>
      <c r="N1531" s="234"/>
      <c r="O1531" s="234"/>
      <c r="P1531" s="234"/>
      <c r="Q1531" s="234"/>
      <c r="R1531" s="234"/>
    </row>
    <row r="1532" spans="8:18" ht="15" customHeight="1" x14ac:dyDescent="0.3">
      <c r="H1532" s="234" t="s">
        <v>3257</v>
      </c>
      <c r="I1532" s="306" t="s">
        <v>3258</v>
      </c>
      <c r="J1532" s="234">
        <f t="shared" si="50"/>
        <v>0.99669790928908475</v>
      </c>
      <c r="K1532" s="315">
        <f t="shared" si="51"/>
        <v>-3.3075546440310428E-3</v>
      </c>
      <c r="L1532" s="234"/>
      <c r="M1532" s="234"/>
      <c r="N1532" s="234"/>
      <c r="O1532" s="234"/>
      <c r="P1532" s="234"/>
      <c r="Q1532" s="234"/>
      <c r="R1532" s="234"/>
    </row>
    <row r="1533" spans="8:18" ht="15" customHeight="1" x14ac:dyDescent="0.3">
      <c r="H1533" s="234" t="s">
        <v>3259</v>
      </c>
      <c r="I1533" s="306" t="s">
        <v>3260</v>
      </c>
      <c r="J1533" s="234">
        <f t="shared" si="50"/>
        <v>0.99944842294928249</v>
      </c>
      <c r="K1533" s="315">
        <f t="shared" si="51"/>
        <v>-5.5172922529886088E-4</v>
      </c>
      <c r="L1533" s="234"/>
      <c r="M1533" s="234"/>
      <c r="N1533" s="234"/>
      <c r="O1533" s="234"/>
      <c r="P1533" s="234"/>
      <c r="Q1533" s="234"/>
      <c r="R1533" s="234"/>
    </row>
    <row r="1534" spans="8:18" ht="15" customHeight="1" x14ac:dyDescent="0.3">
      <c r="H1534" s="234" t="s">
        <v>3261</v>
      </c>
      <c r="I1534" s="306" t="s">
        <v>3262</v>
      </c>
      <c r="J1534" s="234">
        <f t="shared" si="50"/>
        <v>1.005388369255795</v>
      </c>
      <c r="K1534" s="315">
        <f t="shared" si="51"/>
        <v>5.3739039339075947E-3</v>
      </c>
      <c r="L1534" s="234"/>
      <c r="M1534" s="234"/>
      <c r="N1534" s="234"/>
      <c r="O1534" s="234"/>
      <c r="P1534" s="234"/>
      <c r="Q1534" s="234"/>
      <c r="R1534" s="234"/>
    </row>
    <row r="1535" spans="8:18" ht="15" customHeight="1" x14ac:dyDescent="0.3">
      <c r="H1535" s="234" t="s">
        <v>3263</v>
      </c>
      <c r="I1535" s="306" t="s">
        <v>3264</v>
      </c>
      <c r="J1535" s="234">
        <f t="shared" si="50"/>
        <v>1.0090933679036755</v>
      </c>
      <c r="K1535" s="315">
        <f t="shared" si="51"/>
        <v>9.0522721782493407E-3</v>
      </c>
      <c r="L1535" s="234"/>
      <c r="M1535" s="234"/>
      <c r="N1535" s="234"/>
      <c r="O1535" s="234"/>
      <c r="P1535" s="234"/>
      <c r="Q1535" s="234"/>
      <c r="R1535" s="234"/>
    </row>
    <row r="1536" spans="8:18" ht="15" customHeight="1" x14ac:dyDescent="0.3">
      <c r="H1536" s="234" t="s">
        <v>3265</v>
      </c>
      <c r="I1536" s="306" t="s">
        <v>3266</v>
      </c>
      <c r="J1536" s="234">
        <f t="shared" si="50"/>
        <v>0.98909624272390984</v>
      </c>
      <c r="K1536" s="315">
        <f t="shared" si="51"/>
        <v>-1.0963638925277923E-2</v>
      </c>
      <c r="L1536" s="234"/>
      <c r="M1536" s="234"/>
      <c r="N1536" s="234"/>
      <c r="O1536" s="234"/>
      <c r="P1536" s="234"/>
      <c r="Q1536" s="234"/>
      <c r="R1536" s="234"/>
    </row>
    <row r="1537" spans="8:18" ht="15" customHeight="1" x14ac:dyDescent="0.3">
      <c r="H1537" s="234" t="s">
        <v>3267</v>
      </c>
      <c r="I1537" s="306" t="s">
        <v>1912</v>
      </c>
      <c r="J1537" s="234">
        <f t="shared" si="50"/>
        <v>1.0078655968463233</v>
      </c>
      <c r="K1537" s="315">
        <f t="shared" si="51"/>
        <v>7.8348242970996788E-3</v>
      </c>
      <c r="L1537" s="234"/>
      <c r="M1537" s="234"/>
      <c r="N1537" s="234"/>
      <c r="O1537" s="234"/>
      <c r="P1537" s="234"/>
      <c r="Q1537" s="234"/>
      <c r="R1537" s="234"/>
    </row>
    <row r="1538" spans="8:18" ht="15" customHeight="1" x14ac:dyDescent="0.3">
      <c r="H1538" s="234" t="s">
        <v>3268</v>
      </c>
      <c r="I1538" s="306" t="s">
        <v>3269</v>
      </c>
      <c r="J1538" s="234">
        <f t="shared" si="50"/>
        <v>0.99415837099890003</v>
      </c>
      <c r="K1538" s="315">
        <f t="shared" si="51"/>
        <v>-5.8587580560911824E-3</v>
      </c>
      <c r="L1538" s="234"/>
      <c r="M1538" s="234"/>
      <c r="N1538" s="234"/>
      <c r="O1538" s="234"/>
      <c r="P1538" s="234"/>
      <c r="Q1538" s="234"/>
      <c r="R1538" s="234"/>
    </row>
    <row r="1539" spans="8:18" ht="15" customHeight="1" x14ac:dyDescent="0.3">
      <c r="H1539" s="234" t="s">
        <v>3270</v>
      </c>
      <c r="I1539" s="306" t="s">
        <v>3271</v>
      </c>
      <c r="J1539" s="234">
        <f t="shared" si="50"/>
        <v>1.0076653689249855</v>
      </c>
      <c r="K1539" s="315">
        <f t="shared" si="51"/>
        <v>7.6361392603556911E-3</v>
      </c>
      <c r="L1539" s="234"/>
      <c r="M1539" s="234"/>
      <c r="N1539" s="234"/>
      <c r="O1539" s="234"/>
      <c r="P1539" s="234"/>
      <c r="Q1539" s="234"/>
      <c r="R1539" s="234"/>
    </row>
    <row r="1540" spans="8:18" ht="15" customHeight="1" x14ac:dyDescent="0.3">
      <c r="H1540" s="234" t="s">
        <v>3272</v>
      </c>
      <c r="I1540" s="306" t="s">
        <v>3273</v>
      </c>
      <c r="J1540" s="234">
        <f t="shared" si="50"/>
        <v>1.0035143471352463</v>
      </c>
      <c r="K1540" s="315">
        <f t="shared" si="51"/>
        <v>3.508186247465685E-3</v>
      </c>
      <c r="L1540" s="234"/>
      <c r="M1540" s="234"/>
      <c r="N1540" s="234"/>
      <c r="O1540" s="234"/>
      <c r="P1540" s="234"/>
      <c r="Q1540" s="234"/>
      <c r="R1540" s="234"/>
    </row>
    <row r="1541" spans="8:18" ht="15" customHeight="1" x14ac:dyDescent="0.3">
      <c r="H1541" s="234" t="s">
        <v>3274</v>
      </c>
      <c r="I1541" s="306" t="s">
        <v>3275</v>
      </c>
      <c r="J1541" s="234">
        <f t="shared" ref="J1541:J1604" si="52">I1541/I1542</f>
        <v>0.99476537149126476</v>
      </c>
      <c r="K1541" s="315">
        <f t="shared" ref="K1541:K1604" si="53">LN(J1541)</f>
        <v>-5.2483771769828271E-3</v>
      </c>
      <c r="L1541" s="234"/>
      <c r="M1541" s="234"/>
      <c r="N1541" s="234"/>
      <c r="O1541" s="234"/>
      <c r="P1541" s="234"/>
      <c r="Q1541" s="234"/>
      <c r="R1541" s="234"/>
    </row>
    <row r="1542" spans="8:18" ht="15" customHeight="1" x14ac:dyDescent="0.3">
      <c r="H1542" s="234" t="s">
        <v>3276</v>
      </c>
      <c r="I1542" s="306" t="s">
        <v>3277</v>
      </c>
      <c r="J1542" s="234">
        <f t="shared" si="52"/>
        <v>1.0016017731255995</v>
      </c>
      <c r="K1542" s="315">
        <f t="shared" si="53"/>
        <v>1.6004916552605556E-3</v>
      </c>
      <c r="L1542" s="234"/>
      <c r="M1542" s="234"/>
      <c r="N1542" s="234"/>
      <c r="O1542" s="234"/>
      <c r="P1542" s="234"/>
      <c r="Q1542" s="234"/>
      <c r="R1542" s="234"/>
    </row>
    <row r="1543" spans="8:18" ht="15" customHeight="1" x14ac:dyDescent="0.3">
      <c r="H1543" s="234" t="s">
        <v>3278</v>
      </c>
      <c r="I1543" s="306" t="s">
        <v>3279</v>
      </c>
      <c r="J1543" s="234">
        <f t="shared" si="52"/>
        <v>1.0128085415428727</v>
      </c>
      <c r="K1543" s="315">
        <f t="shared" si="53"/>
        <v>1.272720596509593E-2</v>
      </c>
      <c r="L1543" s="234"/>
      <c r="M1543" s="234"/>
      <c r="N1543" s="234"/>
      <c r="O1543" s="234"/>
      <c r="P1543" s="234"/>
      <c r="Q1543" s="234"/>
      <c r="R1543" s="234"/>
    </row>
    <row r="1544" spans="8:18" ht="15" customHeight="1" x14ac:dyDescent="0.3">
      <c r="H1544" s="234" t="s">
        <v>3280</v>
      </c>
      <c r="I1544" s="306" t="s">
        <v>1571</v>
      </c>
      <c r="J1544" s="234">
        <f t="shared" si="52"/>
        <v>1.0123556989945479</v>
      </c>
      <c r="K1544" s="315">
        <f t="shared" si="53"/>
        <v>1.2279990330128904E-2</v>
      </c>
      <c r="L1544" s="234"/>
      <c r="M1544" s="234"/>
      <c r="N1544" s="234"/>
      <c r="O1544" s="234"/>
      <c r="P1544" s="234"/>
      <c r="Q1544" s="234"/>
      <c r="R1544" s="234"/>
    </row>
    <row r="1545" spans="8:18" ht="15" customHeight="1" x14ac:dyDescent="0.3">
      <c r="H1545" s="234" t="s">
        <v>3281</v>
      </c>
      <c r="I1545" s="306" t="s">
        <v>2756</v>
      </c>
      <c r="J1545" s="234">
        <f t="shared" si="52"/>
        <v>0.9973050698967737</v>
      </c>
      <c r="K1545" s="315">
        <f t="shared" si="53"/>
        <v>-2.6985679646817562E-3</v>
      </c>
      <c r="L1545" s="234"/>
      <c r="M1545" s="234"/>
      <c r="N1545" s="234"/>
      <c r="O1545" s="234"/>
      <c r="P1545" s="234"/>
      <c r="Q1545" s="234"/>
      <c r="R1545" s="234"/>
    </row>
    <row r="1546" spans="8:18" ht="15" customHeight="1" x14ac:dyDescent="0.3">
      <c r="H1546" s="234" t="s">
        <v>3282</v>
      </c>
      <c r="I1546" s="306" t="s">
        <v>3283</v>
      </c>
      <c r="J1546" s="234">
        <f t="shared" si="52"/>
        <v>0.99642277657060985</v>
      </c>
      <c r="K1546" s="315">
        <f t="shared" si="53"/>
        <v>-3.5836369928566119E-3</v>
      </c>
      <c r="L1546" s="234"/>
      <c r="M1546" s="234"/>
      <c r="N1546" s="234"/>
      <c r="O1546" s="234"/>
      <c r="P1546" s="234"/>
      <c r="Q1546" s="234"/>
      <c r="R1546" s="234"/>
    </row>
    <row r="1547" spans="8:18" ht="15" customHeight="1" x14ac:dyDescent="0.3">
      <c r="H1547" s="234" t="s">
        <v>3284</v>
      </c>
      <c r="I1547" s="306" t="s">
        <v>3285</v>
      </c>
      <c r="J1547" s="234">
        <f t="shared" si="52"/>
        <v>1.0086423061462779</v>
      </c>
      <c r="K1547" s="315">
        <f t="shared" si="53"/>
        <v>8.6051751965064011E-3</v>
      </c>
      <c r="L1547" s="234"/>
      <c r="M1547" s="234"/>
      <c r="N1547" s="234"/>
      <c r="O1547" s="234"/>
      <c r="P1547" s="234"/>
      <c r="Q1547" s="234"/>
      <c r="R1547" s="234"/>
    </row>
    <row r="1548" spans="8:18" ht="15" customHeight="1" x14ac:dyDescent="0.3">
      <c r="H1548" s="234" t="s">
        <v>3286</v>
      </c>
      <c r="I1548" s="306" t="s">
        <v>3287</v>
      </c>
      <c r="J1548" s="234">
        <f t="shared" si="52"/>
        <v>1.0017929222715463</v>
      </c>
      <c r="K1548" s="315">
        <f t="shared" si="53"/>
        <v>1.7913169049889024E-3</v>
      </c>
      <c r="L1548" s="234"/>
      <c r="M1548" s="234"/>
      <c r="N1548" s="234"/>
      <c r="O1548" s="234"/>
      <c r="P1548" s="234"/>
      <c r="Q1548" s="234"/>
      <c r="R1548" s="234"/>
    </row>
    <row r="1549" spans="8:18" ht="15" customHeight="1" x14ac:dyDescent="0.3">
      <c r="H1549" s="234" t="s">
        <v>3288</v>
      </c>
      <c r="I1549" s="306" t="s">
        <v>3289</v>
      </c>
      <c r="J1549" s="234">
        <f t="shared" si="52"/>
        <v>1.0044783019049637</v>
      </c>
      <c r="K1549" s="315">
        <f t="shared" si="53"/>
        <v>4.4683041485227438E-3</v>
      </c>
      <c r="L1549" s="234"/>
      <c r="M1549" s="234"/>
      <c r="N1549" s="234"/>
      <c r="O1549" s="234"/>
      <c r="P1549" s="234"/>
      <c r="Q1549" s="234"/>
      <c r="R1549" s="234"/>
    </row>
    <row r="1550" spans="8:18" ht="15" customHeight="1" x14ac:dyDescent="0.3">
      <c r="H1550" s="234" t="s">
        <v>3290</v>
      </c>
      <c r="I1550" s="306" t="s">
        <v>3291</v>
      </c>
      <c r="J1550" s="234">
        <f t="shared" si="52"/>
        <v>1.0197900195444858</v>
      </c>
      <c r="K1550" s="315">
        <f t="shared" si="53"/>
        <v>1.9596742911763675E-2</v>
      </c>
      <c r="L1550" s="234"/>
      <c r="M1550" s="234"/>
      <c r="N1550" s="234"/>
      <c r="O1550" s="234"/>
      <c r="P1550" s="234"/>
      <c r="Q1550" s="234"/>
      <c r="R1550" s="234"/>
    </row>
    <row r="1551" spans="8:18" ht="15" customHeight="1" x14ac:dyDescent="0.3">
      <c r="H1551" s="234" t="s">
        <v>3292</v>
      </c>
      <c r="I1551" s="306" t="s">
        <v>3293</v>
      </c>
      <c r="J1551" s="234">
        <f t="shared" si="52"/>
        <v>1.0056793488996878</v>
      </c>
      <c r="K1551" s="315">
        <f t="shared" si="53"/>
        <v>5.6632822012791439E-3</v>
      </c>
      <c r="L1551" s="234"/>
      <c r="M1551" s="234"/>
      <c r="N1551" s="234"/>
      <c r="O1551" s="234"/>
      <c r="P1551" s="234"/>
      <c r="Q1551" s="234"/>
      <c r="R1551" s="234"/>
    </row>
    <row r="1552" spans="8:18" ht="15" customHeight="1" x14ac:dyDescent="0.3">
      <c r="H1552" s="234" t="s">
        <v>3294</v>
      </c>
      <c r="I1552" s="306" t="s">
        <v>3295</v>
      </c>
      <c r="J1552" s="234">
        <f t="shared" si="52"/>
        <v>1.0123893805309734</v>
      </c>
      <c r="K1552" s="315">
        <f t="shared" si="53"/>
        <v>1.2313260233356887E-2</v>
      </c>
      <c r="L1552" s="234"/>
      <c r="M1552" s="234"/>
      <c r="N1552" s="234"/>
      <c r="O1552" s="234"/>
      <c r="P1552" s="234"/>
      <c r="Q1552" s="234"/>
      <c r="R1552" s="234"/>
    </row>
    <row r="1553" spans="8:18" ht="15" customHeight="1" x14ac:dyDescent="0.3">
      <c r="H1553" s="234" t="s">
        <v>3296</v>
      </c>
      <c r="I1553" s="306" t="s">
        <v>3297</v>
      </c>
      <c r="J1553" s="234">
        <f t="shared" si="52"/>
        <v>0.99443146223835333</v>
      </c>
      <c r="K1553" s="315">
        <f t="shared" si="53"/>
        <v>-5.5840998670512714E-3</v>
      </c>
      <c r="L1553" s="234"/>
      <c r="M1553" s="234"/>
      <c r="N1553" s="234"/>
      <c r="O1553" s="234"/>
      <c r="P1553" s="234"/>
      <c r="Q1553" s="234"/>
      <c r="R1553" s="234"/>
    </row>
    <row r="1554" spans="8:18" ht="15" customHeight="1" x14ac:dyDescent="0.3">
      <c r="H1554" s="234" t="s">
        <v>3298</v>
      </c>
      <c r="I1554" s="306" t="s">
        <v>3299</v>
      </c>
      <c r="J1554" s="234">
        <f t="shared" si="52"/>
        <v>0.98068184034482087</v>
      </c>
      <c r="K1554" s="315">
        <f t="shared" si="53"/>
        <v>-1.9507193789238878E-2</v>
      </c>
      <c r="L1554" s="234"/>
      <c r="M1554" s="234"/>
      <c r="N1554" s="234"/>
      <c r="O1554" s="234"/>
      <c r="P1554" s="234"/>
      <c r="Q1554" s="234"/>
      <c r="R1554" s="234"/>
    </row>
    <row r="1555" spans="8:18" ht="15" customHeight="1" x14ac:dyDescent="0.3">
      <c r="H1555" s="234" t="s">
        <v>3300</v>
      </c>
      <c r="I1555" s="306" t="s">
        <v>3301</v>
      </c>
      <c r="J1555" s="234">
        <f t="shared" si="52"/>
        <v>1.0101461838527916</v>
      </c>
      <c r="K1555" s="315">
        <f t="shared" si="53"/>
        <v>1.0095056867765705E-2</v>
      </c>
      <c r="L1555" s="234"/>
      <c r="M1555" s="234"/>
      <c r="N1555" s="234"/>
      <c r="O1555" s="234"/>
      <c r="P1555" s="234"/>
      <c r="Q1555" s="234"/>
      <c r="R1555" s="234"/>
    </row>
    <row r="1556" spans="8:18" ht="15" customHeight="1" x14ac:dyDescent="0.3">
      <c r="H1556" s="234" t="s">
        <v>3302</v>
      </c>
      <c r="I1556" s="306" t="s">
        <v>3303</v>
      </c>
      <c r="J1556" s="234">
        <f t="shared" si="52"/>
        <v>1.0048005067751482</v>
      </c>
      <c r="K1556" s="315">
        <f t="shared" si="53"/>
        <v>4.7890210859178077E-3</v>
      </c>
      <c r="L1556" s="234"/>
      <c r="M1556" s="234"/>
      <c r="N1556" s="234"/>
      <c r="O1556" s="234"/>
      <c r="P1556" s="234"/>
      <c r="Q1556" s="234"/>
      <c r="R1556" s="234"/>
    </row>
    <row r="1557" spans="8:18" ht="15" customHeight="1" x14ac:dyDescent="0.3">
      <c r="H1557" s="234" t="s">
        <v>3304</v>
      </c>
      <c r="I1557" s="306" t="s">
        <v>3305</v>
      </c>
      <c r="J1557" s="234">
        <f t="shared" si="52"/>
        <v>0.97099443531413088</v>
      </c>
      <c r="K1557" s="315">
        <f t="shared" si="53"/>
        <v>-2.9434541588664317E-2</v>
      </c>
      <c r="L1557" s="234"/>
      <c r="M1557" s="234"/>
      <c r="N1557" s="234"/>
      <c r="O1557" s="234"/>
      <c r="P1557" s="234"/>
      <c r="Q1557" s="234"/>
      <c r="R1557" s="234"/>
    </row>
    <row r="1558" spans="8:18" ht="15" customHeight="1" x14ac:dyDescent="0.3">
      <c r="H1558" s="234" t="s">
        <v>3306</v>
      </c>
      <c r="I1558" s="306" t="s">
        <v>3307</v>
      </c>
      <c r="J1558" s="234">
        <f t="shared" si="52"/>
        <v>0.99335529142202494</v>
      </c>
      <c r="K1558" s="315">
        <f t="shared" si="53"/>
        <v>-6.6668829367042808E-3</v>
      </c>
      <c r="L1558" s="234"/>
      <c r="M1558" s="234"/>
      <c r="N1558" s="234"/>
      <c r="O1558" s="234"/>
      <c r="P1558" s="234"/>
      <c r="Q1558" s="234"/>
      <c r="R1558" s="234"/>
    </row>
    <row r="1559" spans="8:18" ht="15" customHeight="1" x14ac:dyDescent="0.3">
      <c r="H1559" s="234" t="s">
        <v>3308</v>
      </c>
      <c r="I1559" s="306" t="s">
        <v>3309</v>
      </c>
      <c r="J1559" s="234">
        <f t="shared" si="52"/>
        <v>0.99684041226909792</v>
      </c>
      <c r="K1559" s="315">
        <f t="shared" si="53"/>
        <v>-3.1645897672440185E-3</v>
      </c>
      <c r="L1559" s="234"/>
      <c r="M1559" s="234"/>
      <c r="N1559" s="234"/>
      <c r="O1559" s="234"/>
      <c r="P1559" s="234"/>
      <c r="Q1559" s="234"/>
      <c r="R1559" s="234"/>
    </row>
    <row r="1560" spans="8:18" ht="15" customHeight="1" x14ac:dyDescent="0.3">
      <c r="H1560" s="234" t="s">
        <v>3310</v>
      </c>
      <c r="I1560" s="306" t="s">
        <v>3311</v>
      </c>
      <c r="J1560" s="234">
        <f t="shared" si="52"/>
        <v>0.99770221897283495</v>
      </c>
      <c r="K1560" s="315">
        <f t="shared" si="53"/>
        <v>-2.3004249769109694E-3</v>
      </c>
      <c r="L1560" s="234"/>
      <c r="M1560" s="234"/>
      <c r="N1560" s="234"/>
      <c r="O1560" s="234"/>
      <c r="P1560" s="234"/>
      <c r="Q1560" s="234"/>
      <c r="R1560" s="234"/>
    </row>
    <row r="1561" spans="8:18" ht="15" customHeight="1" x14ac:dyDescent="0.3">
      <c r="H1561" s="234" t="s">
        <v>3312</v>
      </c>
      <c r="I1561" s="306" t="s">
        <v>3313</v>
      </c>
      <c r="J1561" s="234">
        <f t="shared" si="52"/>
        <v>1.0079820069866487</v>
      </c>
      <c r="K1561" s="315">
        <f t="shared" si="53"/>
        <v>7.9503192782019623E-3</v>
      </c>
      <c r="L1561" s="234"/>
      <c r="M1561" s="234"/>
      <c r="N1561" s="234"/>
      <c r="O1561" s="234"/>
      <c r="P1561" s="234"/>
      <c r="Q1561" s="234"/>
      <c r="R1561" s="234"/>
    </row>
    <row r="1562" spans="8:18" ht="15" customHeight="1" x14ac:dyDescent="0.3">
      <c r="H1562" s="234" t="s">
        <v>3314</v>
      </c>
      <c r="I1562" s="306" t="s">
        <v>3315</v>
      </c>
      <c r="J1562" s="234">
        <f t="shared" si="52"/>
        <v>1.0060467758552625</v>
      </c>
      <c r="K1562" s="315">
        <f t="shared" si="53"/>
        <v>6.0285674706196902E-3</v>
      </c>
      <c r="L1562" s="234"/>
      <c r="M1562" s="234"/>
      <c r="N1562" s="234"/>
      <c r="O1562" s="234"/>
      <c r="P1562" s="234"/>
      <c r="Q1562" s="234"/>
      <c r="R1562" s="234"/>
    </row>
    <row r="1563" spans="8:18" ht="15" customHeight="1" x14ac:dyDescent="0.3">
      <c r="H1563" s="234" t="s">
        <v>3316</v>
      </c>
      <c r="I1563" s="306" t="s">
        <v>3317</v>
      </c>
      <c r="J1563" s="234">
        <f t="shared" si="52"/>
        <v>0.99253617232745273</v>
      </c>
      <c r="K1563" s="315">
        <f t="shared" si="53"/>
        <v>-7.4918214149413097E-3</v>
      </c>
      <c r="L1563" s="234"/>
      <c r="M1563" s="234"/>
      <c r="N1563" s="234"/>
      <c r="O1563" s="234"/>
      <c r="P1563" s="234"/>
      <c r="Q1563" s="234"/>
      <c r="R1563" s="234"/>
    </row>
    <row r="1564" spans="8:18" ht="15" customHeight="1" x14ac:dyDescent="0.3">
      <c r="H1564" s="234" t="s">
        <v>3318</v>
      </c>
      <c r="I1564" s="306" t="s">
        <v>3319</v>
      </c>
      <c r="J1564" s="234">
        <f t="shared" si="52"/>
        <v>0.99829226175143349</v>
      </c>
      <c r="K1564" s="315">
        <f t="shared" si="53"/>
        <v>-1.7091980957906921E-3</v>
      </c>
      <c r="L1564" s="234"/>
      <c r="M1564" s="234"/>
      <c r="N1564" s="234"/>
      <c r="O1564" s="234"/>
      <c r="P1564" s="234"/>
      <c r="Q1564" s="234"/>
      <c r="R1564" s="234"/>
    </row>
    <row r="1565" spans="8:18" ht="15" customHeight="1" x14ac:dyDescent="0.3">
      <c r="H1565" s="234" t="s">
        <v>3320</v>
      </c>
      <c r="I1565" s="306" t="s">
        <v>3321</v>
      </c>
      <c r="J1565" s="234">
        <f t="shared" si="52"/>
        <v>1.0045812208282616</v>
      </c>
      <c r="K1565" s="315">
        <f t="shared" si="53"/>
        <v>4.5707589759914269E-3</v>
      </c>
      <c r="L1565" s="234"/>
      <c r="M1565" s="234"/>
      <c r="N1565" s="234"/>
      <c r="O1565" s="234"/>
      <c r="P1565" s="234"/>
      <c r="Q1565" s="234"/>
      <c r="R1565" s="234"/>
    </row>
    <row r="1566" spans="8:18" ht="15" customHeight="1" x14ac:dyDescent="0.3">
      <c r="H1566" s="234" t="s">
        <v>3322</v>
      </c>
      <c r="I1566" s="306" t="s">
        <v>3323</v>
      </c>
      <c r="J1566" s="234">
        <f t="shared" si="52"/>
        <v>0.997934101668978</v>
      </c>
      <c r="K1566" s="315">
        <f t="shared" si="53"/>
        <v>-2.0680352425809768E-3</v>
      </c>
      <c r="L1566" s="234"/>
      <c r="M1566" s="234"/>
      <c r="N1566" s="234"/>
      <c r="O1566" s="234"/>
      <c r="P1566" s="234"/>
      <c r="Q1566" s="234"/>
      <c r="R1566" s="234"/>
    </row>
    <row r="1567" spans="8:18" ht="15" customHeight="1" x14ac:dyDescent="0.3">
      <c r="H1567" s="234" t="s">
        <v>3324</v>
      </c>
      <c r="I1567" s="306" t="s">
        <v>3325</v>
      </c>
      <c r="J1567" s="234">
        <f t="shared" si="52"/>
        <v>0.99941691519461651</v>
      </c>
      <c r="K1567" s="315">
        <f t="shared" si="53"/>
        <v>-5.8325486543813051E-4</v>
      </c>
      <c r="L1567" s="234"/>
      <c r="M1567" s="234"/>
      <c r="N1567" s="234"/>
      <c r="O1567" s="234"/>
      <c r="P1567" s="234"/>
      <c r="Q1567" s="234"/>
      <c r="R1567" s="234"/>
    </row>
    <row r="1568" spans="8:18" ht="15" customHeight="1" x14ac:dyDescent="0.3">
      <c r="H1568" s="234" t="s">
        <v>3326</v>
      </c>
      <c r="I1568" s="306" t="s">
        <v>3327</v>
      </c>
      <c r="J1568" s="234">
        <f t="shared" si="52"/>
        <v>1.0090277777777779</v>
      </c>
      <c r="K1568" s="315">
        <f t="shared" si="53"/>
        <v>8.9872710002366768E-3</v>
      </c>
      <c r="L1568" s="234"/>
      <c r="M1568" s="234"/>
      <c r="N1568" s="234"/>
      <c r="O1568" s="234"/>
      <c r="P1568" s="234"/>
      <c r="Q1568" s="234"/>
      <c r="R1568" s="234"/>
    </row>
    <row r="1569" spans="8:18" ht="15" customHeight="1" x14ac:dyDescent="0.3">
      <c r="H1569" s="234" t="s">
        <v>3328</v>
      </c>
      <c r="I1569" s="306" t="s">
        <v>3329</v>
      </c>
      <c r="J1569" s="234">
        <f t="shared" si="52"/>
        <v>1.0017778464868208</v>
      </c>
      <c r="K1569" s="315">
        <f t="shared" si="53"/>
        <v>1.7762679883638016E-3</v>
      </c>
      <c r="L1569" s="234"/>
      <c r="M1569" s="234"/>
      <c r="N1569" s="234"/>
      <c r="O1569" s="234"/>
      <c r="P1569" s="234"/>
      <c r="Q1569" s="234"/>
      <c r="R1569" s="234"/>
    </row>
    <row r="1570" spans="8:18" ht="15" customHeight="1" x14ac:dyDescent="0.3">
      <c r="H1570" s="234" t="s">
        <v>3330</v>
      </c>
      <c r="I1570" s="306" t="s">
        <v>3331</v>
      </c>
      <c r="J1570" s="234">
        <f t="shared" si="52"/>
        <v>0.99161644518113268</v>
      </c>
      <c r="K1570" s="315">
        <f t="shared" si="53"/>
        <v>-8.4188944677668943E-3</v>
      </c>
      <c r="L1570" s="234"/>
      <c r="M1570" s="234"/>
      <c r="N1570" s="234"/>
      <c r="O1570" s="234"/>
      <c r="P1570" s="234"/>
      <c r="Q1570" s="234"/>
      <c r="R1570" s="234"/>
    </row>
    <row r="1571" spans="8:18" ht="15" customHeight="1" x14ac:dyDescent="0.3">
      <c r="H1571" s="234" t="s">
        <v>3332</v>
      </c>
      <c r="I1571" s="306" t="s">
        <v>3333</v>
      </c>
      <c r="J1571" s="234">
        <f t="shared" si="52"/>
        <v>1.0088735947725054</v>
      </c>
      <c r="K1571" s="315">
        <f t="shared" si="53"/>
        <v>8.8344557956187581E-3</v>
      </c>
      <c r="L1571" s="234"/>
      <c r="M1571" s="234"/>
      <c r="N1571" s="234"/>
      <c r="O1571" s="234"/>
      <c r="P1571" s="234"/>
      <c r="Q1571" s="234"/>
      <c r="R1571" s="234"/>
    </row>
    <row r="1572" spans="8:18" ht="15" customHeight="1" x14ac:dyDescent="0.3">
      <c r="H1572" s="234" t="s">
        <v>3334</v>
      </c>
      <c r="I1572" s="306" t="s">
        <v>3335</v>
      </c>
      <c r="J1572" s="234">
        <f t="shared" si="52"/>
        <v>1.0040471291587407</v>
      </c>
      <c r="K1572" s="315">
        <f t="shared" si="53"/>
        <v>4.0389615609927867E-3</v>
      </c>
      <c r="L1572" s="234"/>
      <c r="M1572" s="234"/>
      <c r="N1572" s="234"/>
      <c r="O1572" s="234"/>
      <c r="P1572" s="234"/>
      <c r="Q1572" s="234"/>
      <c r="R1572" s="234"/>
    </row>
    <row r="1573" spans="8:18" ht="15" customHeight="1" x14ac:dyDescent="0.3">
      <c r="H1573" s="234" t="s">
        <v>3336</v>
      </c>
      <c r="I1573" s="306" t="s">
        <v>2269</v>
      </c>
      <c r="J1573" s="234">
        <f t="shared" si="52"/>
        <v>0.99860438069393298</v>
      </c>
      <c r="K1573" s="315">
        <f t="shared" si="53"/>
        <v>-1.3965940897475943E-3</v>
      </c>
      <c r="L1573" s="234"/>
      <c r="M1573" s="234"/>
      <c r="N1573" s="234"/>
      <c r="O1573" s="234"/>
      <c r="P1573" s="234"/>
      <c r="Q1573" s="234"/>
      <c r="R1573" s="234"/>
    </row>
    <row r="1574" spans="8:18" ht="15" customHeight="1" x14ac:dyDescent="0.3">
      <c r="H1574" s="234" t="s">
        <v>3337</v>
      </c>
      <c r="I1574" s="306" t="s">
        <v>3338</v>
      </c>
      <c r="J1574" s="234">
        <f t="shared" si="52"/>
        <v>1.0023606672042122</v>
      </c>
      <c r="K1574" s="315">
        <f t="shared" si="53"/>
        <v>2.3578852067742463E-3</v>
      </c>
      <c r="L1574" s="234"/>
      <c r="M1574" s="234"/>
      <c r="N1574" s="234"/>
      <c r="O1574" s="234"/>
      <c r="P1574" s="234"/>
      <c r="Q1574" s="234"/>
      <c r="R1574" s="234"/>
    </row>
    <row r="1575" spans="8:18" ht="15" customHeight="1" x14ac:dyDescent="0.3">
      <c r="H1575" s="234" t="s">
        <v>3339</v>
      </c>
      <c r="I1575" s="306" t="s">
        <v>3340</v>
      </c>
      <c r="J1575" s="234">
        <f t="shared" si="52"/>
        <v>1.006748364255186</v>
      </c>
      <c r="K1575" s="315">
        <f t="shared" si="53"/>
        <v>6.7256959705411E-3</v>
      </c>
      <c r="L1575" s="234"/>
      <c r="M1575" s="234"/>
      <c r="N1575" s="234"/>
      <c r="O1575" s="234"/>
      <c r="P1575" s="234"/>
      <c r="Q1575" s="234"/>
      <c r="R1575" s="234"/>
    </row>
    <row r="1576" spans="8:18" ht="15" customHeight="1" x14ac:dyDescent="0.3">
      <c r="H1576" s="234" t="s">
        <v>3341</v>
      </c>
      <c r="I1576" s="306" t="s">
        <v>3342</v>
      </c>
      <c r="J1576" s="234">
        <f t="shared" si="52"/>
        <v>1.0103059167621833</v>
      </c>
      <c r="K1576" s="315">
        <f t="shared" si="53"/>
        <v>1.0253172875243247E-2</v>
      </c>
      <c r="L1576" s="234"/>
      <c r="M1576" s="234"/>
      <c r="N1576" s="234"/>
      <c r="O1576" s="234"/>
      <c r="P1576" s="234"/>
      <c r="Q1576" s="234"/>
      <c r="R1576" s="234"/>
    </row>
    <row r="1577" spans="8:18" ht="15" customHeight="1" x14ac:dyDescent="0.3">
      <c r="H1577" s="234" t="s">
        <v>3343</v>
      </c>
      <c r="I1577" s="306" t="s">
        <v>3344</v>
      </c>
      <c r="J1577" s="234">
        <f t="shared" si="52"/>
        <v>1.0150241710629251</v>
      </c>
      <c r="K1577" s="315">
        <f t="shared" si="53"/>
        <v>1.4912426065303915E-2</v>
      </c>
      <c r="L1577" s="234"/>
      <c r="M1577" s="234"/>
      <c r="N1577" s="234"/>
      <c r="O1577" s="234"/>
      <c r="P1577" s="234"/>
      <c r="Q1577" s="234"/>
      <c r="R1577" s="234"/>
    </row>
    <row r="1578" spans="8:18" ht="15" customHeight="1" x14ac:dyDescent="0.3">
      <c r="H1578" s="234" t="s">
        <v>3345</v>
      </c>
      <c r="I1578" s="306" t="s">
        <v>3346</v>
      </c>
      <c r="J1578" s="234">
        <f t="shared" si="52"/>
        <v>0.99085723371693202</v>
      </c>
      <c r="K1578" s="315">
        <f t="shared" si="53"/>
        <v>-9.1848178789043292E-3</v>
      </c>
      <c r="L1578" s="234"/>
      <c r="M1578" s="234"/>
      <c r="N1578" s="234"/>
      <c r="O1578" s="234"/>
      <c r="P1578" s="234"/>
      <c r="Q1578" s="234"/>
      <c r="R1578" s="234"/>
    </row>
    <row r="1579" spans="8:18" ht="15" customHeight="1" x14ac:dyDescent="0.3">
      <c r="H1579" s="234" t="s">
        <v>3347</v>
      </c>
      <c r="I1579" s="306" t="s">
        <v>3348</v>
      </c>
      <c r="J1579" s="234">
        <f t="shared" si="52"/>
        <v>0.99498679956097413</v>
      </c>
      <c r="K1579" s="315">
        <f t="shared" si="53"/>
        <v>-5.0258086844390103E-3</v>
      </c>
      <c r="L1579" s="234"/>
      <c r="M1579" s="234"/>
      <c r="N1579" s="234"/>
      <c r="O1579" s="234"/>
      <c r="P1579" s="234"/>
      <c r="Q1579" s="234"/>
      <c r="R1579" s="234"/>
    </row>
    <row r="1580" spans="8:18" ht="15" customHeight="1" x14ac:dyDescent="0.3">
      <c r="H1580" s="234" t="s">
        <v>3349</v>
      </c>
      <c r="I1580" s="306" t="s">
        <v>3350</v>
      </c>
      <c r="J1580" s="234">
        <f t="shared" si="52"/>
        <v>1.0060382388635776</v>
      </c>
      <c r="K1580" s="315">
        <f t="shared" si="53"/>
        <v>6.0200817539402202E-3</v>
      </c>
      <c r="L1580" s="234"/>
      <c r="M1580" s="234"/>
      <c r="N1580" s="234"/>
      <c r="O1580" s="234"/>
      <c r="P1580" s="234"/>
      <c r="Q1580" s="234"/>
      <c r="R1580" s="234"/>
    </row>
    <row r="1581" spans="8:18" ht="15" customHeight="1" x14ac:dyDescent="0.3">
      <c r="H1581" s="234" t="s">
        <v>3351</v>
      </c>
      <c r="I1581" s="306" t="s">
        <v>3352</v>
      </c>
      <c r="J1581" s="234">
        <f t="shared" si="52"/>
        <v>1.0237489052284254</v>
      </c>
      <c r="K1581" s="315">
        <f t="shared" si="53"/>
        <v>2.3471286810626935E-2</v>
      </c>
      <c r="L1581" s="234"/>
      <c r="M1581" s="234"/>
      <c r="N1581" s="234"/>
      <c r="O1581" s="234"/>
      <c r="P1581" s="234"/>
      <c r="Q1581" s="234"/>
      <c r="R1581" s="234"/>
    </row>
    <row r="1582" spans="8:18" ht="15" customHeight="1" x14ac:dyDescent="0.3">
      <c r="H1582" s="234" t="s">
        <v>3353</v>
      </c>
      <c r="I1582" s="306" t="s">
        <v>3354</v>
      </c>
      <c r="J1582" s="234">
        <f t="shared" si="52"/>
        <v>1.0094681977527167</v>
      </c>
      <c r="K1582" s="315">
        <f t="shared" si="53"/>
        <v>9.4236553054490926E-3</v>
      </c>
      <c r="L1582" s="234"/>
      <c r="M1582" s="234"/>
      <c r="N1582" s="234"/>
      <c r="O1582" s="234"/>
      <c r="P1582" s="234"/>
      <c r="Q1582" s="234"/>
      <c r="R1582" s="234"/>
    </row>
    <row r="1583" spans="8:18" ht="15" customHeight="1" x14ac:dyDescent="0.3">
      <c r="H1583" s="234" t="s">
        <v>3355</v>
      </c>
      <c r="I1583" s="306" t="s">
        <v>3356</v>
      </c>
      <c r="J1583" s="234">
        <f t="shared" si="52"/>
        <v>1.0087002509488354</v>
      </c>
      <c r="K1583" s="315">
        <f t="shared" si="53"/>
        <v>8.6626218630327535E-3</v>
      </c>
      <c r="L1583" s="234"/>
      <c r="M1583" s="234"/>
      <c r="N1583" s="234"/>
      <c r="O1583" s="234"/>
      <c r="P1583" s="234"/>
      <c r="Q1583" s="234"/>
      <c r="R1583" s="234"/>
    </row>
    <row r="1584" spans="8:18" ht="15" customHeight="1" x14ac:dyDescent="0.3">
      <c r="H1584" s="234" t="s">
        <v>3357</v>
      </c>
      <c r="I1584" s="306" t="s">
        <v>3358</v>
      </c>
      <c r="J1584" s="234">
        <f t="shared" si="52"/>
        <v>0.98717331886535564</v>
      </c>
      <c r="K1584" s="315">
        <f t="shared" si="53"/>
        <v>-1.2909653277536629E-2</v>
      </c>
      <c r="L1584" s="234"/>
      <c r="M1584" s="234"/>
      <c r="N1584" s="234"/>
      <c r="O1584" s="234"/>
      <c r="P1584" s="234"/>
      <c r="Q1584" s="234"/>
      <c r="R1584" s="234"/>
    </row>
    <row r="1585" spans="8:18" ht="15" customHeight="1" x14ac:dyDescent="0.3">
      <c r="H1585" s="234" t="s">
        <v>3359</v>
      </c>
      <c r="I1585" s="306" t="s">
        <v>3360</v>
      </c>
      <c r="J1585" s="234">
        <f t="shared" si="52"/>
        <v>0.97680162388632796</v>
      </c>
      <c r="K1585" s="315">
        <f t="shared" si="53"/>
        <v>-2.3471693731733297E-2</v>
      </c>
      <c r="L1585" s="234"/>
      <c r="M1585" s="234"/>
      <c r="N1585" s="234"/>
      <c r="O1585" s="234"/>
      <c r="P1585" s="234"/>
      <c r="Q1585" s="234"/>
      <c r="R1585" s="234"/>
    </row>
    <row r="1586" spans="8:18" ht="15" customHeight="1" x14ac:dyDescent="0.3">
      <c r="H1586" s="234" t="s">
        <v>3361</v>
      </c>
      <c r="I1586" s="306" t="s">
        <v>3362</v>
      </c>
      <c r="J1586" s="234">
        <f t="shared" si="52"/>
        <v>0.98812358584710847</v>
      </c>
      <c r="K1586" s="315">
        <f t="shared" si="53"/>
        <v>-1.1947502167196001E-2</v>
      </c>
      <c r="L1586" s="234"/>
      <c r="M1586" s="234"/>
      <c r="N1586" s="234"/>
      <c r="O1586" s="234"/>
      <c r="P1586" s="234"/>
      <c r="Q1586" s="234"/>
      <c r="R1586" s="234"/>
    </row>
    <row r="1587" spans="8:18" ht="15" customHeight="1" x14ac:dyDescent="0.3">
      <c r="H1587" s="234" t="s">
        <v>3363</v>
      </c>
      <c r="I1587" s="306" t="s">
        <v>3364</v>
      </c>
      <c r="J1587" s="234">
        <f t="shared" si="52"/>
        <v>1.0199744021284529</v>
      </c>
      <c r="K1587" s="315">
        <f t="shared" si="53"/>
        <v>1.9777531028773887E-2</v>
      </c>
      <c r="L1587" s="234"/>
      <c r="M1587" s="234"/>
      <c r="N1587" s="234"/>
      <c r="O1587" s="234"/>
      <c r="P1587" s="234"/>
      <c r="Q1587" s="234"/>
      <c r="R1587" s="234"/>
    </row>
    <row r="1588" spans="8:18" ht="15" customHeight="1" x14ac:dyDescent="0.3">
      <c r="H1588" s="234" t="s">
        <v>3365</v>
      </c>
      <c r="I1588" s="306" t="s">
        <v>3366</v>
      </c>
      <c r="J1588" s="234">
        <f t="shared" si="52"/>
        <v>0.99753699533537077</v>
      </c>
      <c r="K1588" s="315">
        <f t="shared" si="53"/>
        <v>-2.4660428503539139E-3</v>
      </c>
      <c r="L1588" s="234"/>
      <c r="M1588" s="234"/>
      <c r="N1588" s="234"/>
      <c r="O1588" s="234"/>
      <c r="P1588" s="234"/>
      <c r="Q1588" s="234"/>
      <c r="R1588" s="234"/>
    </row>
    <row r="1589" spans="8:18" ht="15" customHeight="1" x14ac:dyDescent="0.3">
      <c r="H1589" s="234" t="s">
        <v>3367</v>
      </c>
      <c r="I1589" s="306" t="s">
        <v>3368</v>
      </c>
      <c r="J1589" s="234">
        <f t="shared" si="52"/>
        <v>0.9966135657749724</v>
      </c>
      <c r="K1589" s="315">
        <f t="shared" si="53"/>
        <v>-3.3921811715133835E-3</v>
      </c>
      <c r="L1589" s="234"/>
      <c r="M1589" s="234"/>
      <c r="N1589" s="234"/>
      <c r="O1589" s="234"/>
      <c r="P1589" s="234"/>
      <c r="Q1589" s="234"/>
      <c r="R1589" s="234"/>
    </row>
    <row r="1590" spans="8:18" ht="15" customHeight="1" x14ac:dyDescent="0.3">
      <c r="H1590" s="234" t="s">
        <v>3369</v>
      </c>
      <c r="I1590" s="306" t="s">
        <v>3370</v>
      </c>
      <c r="J1590" s="234">
        <f t="shared" si="52"/>
        <v>1.007581340413289</v>
      </c>
      <c r="K1590" s="315">
        <f t="shared" si="53"/>
        <v>7.5527464813417303E-3</v>
      </c>
      <c r="L1590" s="234"/>
      <c r="M1590" s="234"/>
      <c r="N1590" s="234"/>
      <c r="O1590" s="234"/>
      <c r="P1590" s="234"/>
      <c r="Q1590" s="234"/>
      <c r="R1590" s="234"/>
    </row>
    <row r="1591" spans="8:18" ht="15" customHeight="1" x14ac:dyDescent="0.3">
      <c r="H1591" s="234" t="s">
        <v>3371</v>
      </c>
      <c r="I1591" s="306" t="s">
        <v>3372</v>
      </c>
      <c r="J1591" s="234">
        <f t="shared" si="52"/>
        <v>0.98800143623705894</v>
      </c>
      <c r="K1591" s="315">
        <f t="shared" si="53"/>
        <v>-1.2071127554092087E-2</v>
      </c>
      <c r="L1591" s="234"/>
      <c r="M1591" s="234"/>
      <c r="N1591" s="234"/>
      <c r="O1591" s="234"/>
      <c r="P1591" s="234"/>
      <c r="Q1591" s="234"/>
      <c r="R1591" s="234"/>
    </row>
    <row r="1592" spans="8:18" ht="15" customHeight="1" x14ac:dyDescent="0.3">
      <c r="H1592" s="234" t="s">
        <v>3373</v>
      </c>
      <c r="I1592" s="306" t="s">
        <v>3374</v>
      </c>
      <c r="J1592" s="234">
        <f t="shared" si="52"/>
        <v>0.9708724702236855</v>
      </c>
      <c r="K1592" s="315">
        <f t="shared" si="53"/>
        <v>-2.9560157912067255E-2</v>
      </c>
      <c r="L1592" s="234"/>
      <c r="M1592" s="234"/>
      <c r="N1592" s="234"/>
      <c r="O1592" s="234"/>
      <c r="P1592" s="234"/>
      <c r="Q1592" s="234"/>
      <c r="R1592" s="234"/>
    </row>
    <row r="1593" spans="8:18" ht="15" customHeight="1" x14ac:dyDescent="0.3">
      <c r="H1593" s="234" t="s">
        <v>3375</v>
      </c>
      <c r="I1593" s="306" t="s">
        <v>3376</v>
      </c>
      <c r="J1593" s="234">
        <f t="shared" si="52"/>
        <v>1.0133252217599498</v>
      </c>
      <c r="K1593" s="315">
        <f t="shared" si="53"/>
        <v>1.3237221875826884E-2</v>
      </c>
      <c r="L1593" s="234"/>
      <c r="M1593" s="234"/>
      <c r="N1593" s="234"/>
      <c r="O1593" s="234"/>
      <c r="P1593" s="234"/>
      <c r="Q1593" s="234"/>
      <c r="R1593" s="234"/>
    </row>
    <row r="1594" spans="8:18" ht="15" customHeight="1" x14ac:dyDescent="0.3">
      <c r="H1594" s="234" t="s">
        <v>3377</v>
      </c>
      <c r="I1594" s="306" t="s">
        <v>3378</v>
      </c>
      <c r="J1594" s="234">
        <f t="shared" si="52"/>
        <v>0.98043214746118179</v>
      </c>
      <c r="K1594" s="315">
        <f t="shared" si="53"/>
        <v>-1.9761837717680454E-2</v>
      </c>
      <c r="L1594" s="234"/>
      <c r="M1594" s="234"/>
      <c r="N1594" s="234"/>
      <c r="O1594" s="234"/>
      <c r="P1594" s="234"/>
      <c r="Q1594" s="234"/>
      <c r="R1594" s="234"/>
    </row>
    <row r="1595" spans="8:18" ht="15" customHeight="1" x14ac:dyDescent="0.3">
      <c r="H1595" s="234" t="s">
        <v>3379</v>
      </c>
      <c r="I1595" s="306" t="s">
        <v>3380</v>
      </c>
      <c r="J1595" s="234">
        <f t="shared" si="52"/>
        <v>0.9985014697123975</v>
      </c>
      <c r="K1595" s="315">
        <f t="shared" si="53"/>
        <v>-1.4996542070724976E-3</v>
      </c>
      <c r="L1595" s="234"/>
      <c r="M1595" s="234"/>
      <c r="N1595" s="234"/>
      <c r="O1595" s="234"/>
      <c r="P1595" s="234"/>
      <c r="Q1595" s="234"/>
      <c r="R1595" s="234"/>
    </row>
    <row r="1596" spans="8:18" ht="15" customHeight="1" x14ac:dyDescent="0.3">
      <c r="H1596" s="234" t="s">
        <v>3381</v>
      </c>
      <c r="I1596" s="306" t="s">
        <v>3382</v>
      </c>
      <c r="J1596" s="234">
        <f t="shared" si="52"/>
        <v>1.0128427156506004</v>
      </c>
      <c r="K1596" s="315">
        <f t="shared" si="53"/>
        <v>1.2760947318756429E-2</v>
      </c>
      <c r="L1596" s="234"/>
      <c r="M1596" s="234"/>
      <c r="N1596" s="234"/>
      <c r="O1596" s="234"/>
      <c r="P1596" s="234"/>
      <c r="Q1596" s="234"/>
      <c r="R1596" s="234"/>
    </row>
    <row r="1597" spans="8:18" ht="15" customHeight="1" x14ac:dyDescent="0.3">
      <c r="H1597" s="234" t="s">
        <v>3383</v>
      </c>
      <c r="I1597" s="306" t="s">
        <v>3384</v>
      </c>
      <c r="J1597" s="234">
        <f t="shared" si="52"/>
        <v>1.0060589450192339</v>
      </c>
      <c r="K1597" s="315">
        <f t="shared" si="53"/>
        <v>6.040663419500803E-3</v>
      </c>
      <c r="L1597" s="234"/>
      <c r="M1597" s="234"/>
      <c r="N1597" s="234"/>
      <c r="O1597" s="234"/>
      <c r="P1597" s="234"/>
      <c r="Q1597" s="234"/>
      <c r="R1597" s="234"/>
    </row>
    <row r="1598" spans="8:18" ht="15" customHeight="1" x14ac:dyDescent="0.3">
      <c r="H1598" s="234" t="s">
        <v>3385</v>
      </c>
      <c r="I1598" s="306" t="s">
        <v>3386</v>
      </c>
      <c r="J1598" s="234">
        <f t="shared" si="52"/>
        <v>1.0206297828128434</v>
      </c>
      <c r="K1598" s="315">
        <f t="shared" si="53"/>
        <v>2.0419870892389901E-2</v>
      </c>
      <c r="L1598" s="234"/>
      <c r="M1598" s="234"/>
      <c r="N1598" s="234"/>
      <c r="O1598" s="234"/>
      <c r="P1598" s="234"/>
      <c r="Q1598" s="234"/>
      <c r="R1598" s="234"/>
    </row>
    <row r="1599" spans="8:18" ht="15" customHeight="1" x14ac:dyDescent="0.3">
      <c r="H1599" s="234" t="s">
        <v>3387</v>
      </c>
      <c r="I1599" s="306" t="s">
        <v>2834</v>
      </c>
      <c r="J1599" s="234">
        <f t="shared" si="52"/>
        <v>0.97506282997915406</v>
      </c>
      <c r="K1599" s="315">
        <f t="shared" si="53"/>
        <v>-2.5253369056261625E-2</v>
      </c>
      <c r="L1599" s="234"/>
      <c r="M1599" s="234"/>
      <c r="N1599" s="234"/>
      <c r="O1599" s="234"/>
      <c r="P1599" s="234"/>
      <c r="Q1599" s="234"/>
      <c r="R1599" s="234"/>
    </row>
    <row r="1600" spans="8:18" ht="15" customHeight="1" x14ac:dyDescent="0.3">
      <c r="H1600" s="234" t="s">
        <v>3388</v>
      </c>
      <c r="I1600" s="306" t="s">
        <v>3389</v>
      </c>
      <c r="J1600" s="234">
        <f t="shared" si="52"/>
        <v>1.0052486241945908</v>
      </c>
      <c r="K1600" s="315">
        <f t="shared" si="53"/>
        <v>5.2348981741564167E-3</v>
      </c>
      <c r="L1600" s="234"/>
      <c r="M1600" s="234"/>
      <c r="N1600" s="234"/>
      <c r="O1600" s="234"/>
      <c r="P1600" s="234"/>
      <c r="Q1600" s="234"/>
      <c r="R1600" s="234"/>
    </row>
    <row r="1601" spans="8:18" ht="15" customHeight="1" x14ac:dyDescent="0.3">
      <c r="H1601" s="234" t="s">
        <v>3390</v>
      </c>
      <c r="I1601" s="306" t="s">
        <v>3391</v>
      </c>
      <c r="J1601" s="234">
        <f t="shared" si="52"/>
        <v>1.0029758689439103</v>
      </c>
      <c r="K1601" s="315">
        <f t="shared" si="53"/>
        <v>2.9714498109276819E-3</v>
      </c>
      <c r="L1601" s="234"/>
      <c r="M1601" s="234"/>
      <c r="N1601" s="234"/>
      <c r="O1601" s="234"/>
      <c r="P1601" s="234"/>
      <c r="Q1601" s="234"/>
      <c r="R1601" s="234"/>
    </row>
    <row r="1602" spans="8:18" ht="15" customHeight="1" x14ac:dyDescent="0.3">
      <c r="H1602" s="234" t="s">
        <v>3392</v>
      </c>
      <c r="I1602" s="306" t="s">
        <v>3293</v>
      </c>
      <c r="J1602" s="234">
        <f t="shared" si="52"/>
        <v>0.98905251296796381</v>
      </c>
      <c r="K1602" s="315">
        <f t="shared" si="53"/>
        <v>-1.1007851733669928E-2</v>
      </c>
      <c r="L1602" s="234"/>
      <c r="M1602" s="234"/>
      <c r="N1602" s="234"/>
      <c r="O1602" s="234"/>
      <c r="P1602" s="234"/>
      <c r="Q1602" s="234"/>
      <c r="R1602" s="234"/>
    </row>
    <row r="1603" spans="8:18" ht="15" customHeight="1" x14ac:dyDescent="0.3">
      <c r="H1603" s="234" t="s">
        <v>3393</v>
      </c>
      <c r="I1603" s="306" t="s">
        <v>3394</v>
      </c>
      <c r="J1603" s="234">
        <f t="shared" si="52"/>
        <v>0.99481074186098195</v>
      </c>
      <c r="K1603" s="315">
        <f t="shared" si="53"/>
        <v>-5.2027691005482836E-3</v>
      </c>
      <c r="L1603" s="234"/>
      <c r="M1603" s="234"/>
      <c r="N1603" s="234"/>
      <c r="O1603" s="234"/>
      <c r="P1603" s="234"/>
      <c r="Q1603" s="234"/>
      <c r="R1603" s="234"/>
    </row>
    <row r="1604" spans="8:18" ht="15" customHeight="1" x14ac:dyDescent="0.3">
      <c r="H1604" s="234" t="s">
        <v>3395</v>
      </c>
      <c r="I1604" s="306" t="s">
        <v>3396</v>
      </c>
      <c r="J1604" s="234">
        <f t="shared" si="52"/>
        <v>1.0064775280352471</v>
      </c>
      <c r="K1604" s="315">
        <f t="shared" si="53"/>
        <v>6.4566390081705538E-3</v>
      </c>
      <c r="L1604" s="234"/>
      <c r="M1604" s="234"/>
      <c r="N1604" s="234"/>
      <c r="O1604" s="234"/>
      <c r="P1604" s="234"/>
      <c r="Q1604" s="234"/>
      <c r="R1604" s="234"/>
    </row>
    <row r="1605" spans="8:18" ht="15" customHeight="1" x14ac:dyDescent="0.3">
      <c r="H1605" s="234" t="s">
        <v>3397</v>
      </c>
      <c r="I1605" s="306" t="s">
        <v>3398</v>
      </c>
      <c r="J1605" s="234">
        <f t="shared" ref="J1605:J1668" si="54">I1605/I1606</f>
        <v>1.0015878582422506</v>
      </c>
      <c r="K1605" s="315">
        <f t="shared" ref="K1605:K1668" si="55">LN(J1605)</f>
        <v>1.5865989282503625E-3</v>
      </c>
      <c r="L1605" s="234"/>
      <c r="M1605" s="234"/>
      <c r="N1605" s="234"/>
      <c r="O1605" s="234"/>
      <c r="P1605" s="234"/>
      <c r="Q1605" s="234"/>
      <c r="R1605" s="234"/>
    </row>
    <row r="1606" spans="8:18" ht="15" customHeight="1" x14ac:dyDescent="0.3">
      <c r="H1606" s="234" t="s">
        <v>3399</v>
      </c>
      <c r="I1606" s="306" t="s">
        <v>3400</v>
      </c>
      <c r="J1606" s="234">
        <f t="shared" si="54"/>
        <v>0.98592956136728171</v>
      </c>
      <c r="K1606" s="315">
        <f t="shared" si="55"/>
        <v>-1.4170365706948853E-2</v>
      </c>
      <c r="L1606" s="234"/>
      <c r="M1606" s="234"/>
      <c r="N1606" s="234"/>
      <c r="O1606" s="234"/>
      <c r="P1606" s="234"/>
      <c r="Q1606" s="234"/>
      <c r="R1606" s="234"/>
    </row>
    <row r="1607" spans="8:18" ht="15" customHeight="1" x14ac:dyDescent="0.3">
      <c r="H1607" s="234" t="s">
        <v>3401</v>
      </c>
      <c r="I1607" s="306" t="s">
        <v>3402</v>
      </c>
      <c r="J1607" s="234">
        <f t="shared" si="54"/>
        <v>1.003972730866769</v>
      </c>
      <c r="K1607" s="315">
        <f t="shared" si="55"/>
        <v>3.9648604094186645E-3</v>
      </c>
      <c r="L1607" s="234"/>
      <c r="M1607" s="234"/>
      <c r="N1607" s="234"/>
      <c r="O1607" s="234"/>
      <c r="P1607" s="234"/>
      <c r="Q1607" s="234"/>
      <c r="R1607" s="234"/>
    </row>
    <row r="1608" spans="8:18" ht="15" customHeight="1" x14ac:dyDescent="0.3">
      <c r="H1608" s="234" t="s">
        <v>3403</v>
      </c>
      <c r="I1608" s="306" t="s">
        <v>3404</v>
      </c>
      <c r="J1608" s="234">
        <f t="shared" si="54"/>
        <v>0.99767193527595266</v>
      </c>
      <c r="K1608" s="315">
        <f t="shared" si="55"/>
        <v>-2.3307788800324821E-3</v>
      </c>
      <c r="L1608" s="234"/>
      <c r="M1608" s="234"/>
      <c r="N1608" s="234"/>
      <c r="O1608" s="234"/>
      <c r="P1608" s="234"/>
      <c r="Q1608" s="234"/>
      <c r="R1608" s="234"/>
    </row>
    <row r="1609" spans="8:18" ht="15" customHeight="1" x14ac:dyDescent="0.3">
      <c r="H1609" s="234" t="s">
        <v>3405</v>
      </c>
      <c r="I1609" s="306" t="s">
        <v>3406</v>
      </c>
      <c r="J1609" s="234">
        <f t="shared" si="54"/>
        <v>1.0048041603835596</v>
      </c>
      <c r="K1609" s="315">
        <f t="shared" si="55"/>
        <v>4.7926572323411121E-3</v>
      </c>
      <c r="L1609" s="234"/>
      <c r="M1609" s="234"/>
      <c r="N1609" s="234"/>
      <c r="O1609" s="234"/>
      <c r="P1609" s="234"/>
      <c r="Q1609" s="234"/>
      <c r="R1609" s="234"/>
    </row>
    <row r="1610" spans="8:18" ht="15" customHeight="1" x14ac:dyDescent="0.3">
      <c r="H1610" s="234" t="s">
        <v>3407</v>
      </c>
      <c r="I1610" s="306" t="s">
        <v>3408</v>
      </c>
      <c r="J1610" s="234">
        <f t="shared" si="54"/>
        <v>0.98792925627411288</v>
      </c>
      <c r="K1610" s="315">
        <f t="shared" si="55"/>
        <v>-1.214418675930787E-2</v>
      </c>
      <c r="L1610" s="234"/>
      <c r="M1610" s="234"/>
      <c r="N1610" s="234"/>
      <c r="O1610" s="234"/>
      <c r="P1610" s="234"/>
      <c r="Q1610" s="234"/>
      <c r="R1610" s="234"/>
    </row>
    <row r="1611" spans="8:18" ht="15" customHeight="1" x14ac:dyDescent="0.3">
      <c r="H1611" s="234" t="s">
        <v>3409</v>
      </c>
      <c r="I1611" s="306" t="s">
        <v>3410</v>
      </c>
      <c r="J1611" s="234">
        <f t="shared" si="54"/>
        <v>1.0082515718425944</v>
      </c>
      <c r="K1611" s="315">
        <f t="shared" si="55"/>
        <v>8.2177137511264004E-3</v>
      </c>
      <c r="L1611" s="234"/>
      <c r="M1611" s="234"/>
      <c r="N1611" s="234"/>
      <c r="O1611" s="234"/>
      <c r="P1611" s="234"/>
      <c r="Q1611" s="234"/>
      <c r="R1611" s="234"/>
    </row>
    <row r="1612" spans="8:18" ht="15" customHeight="1" x14ac:dyDescent="0.3">
      <c r="H1612" s="234" t="s">
        <v>3411</v>
      </c>
      <c r="I1612" s="306" t="s">
        <v>3412</v>
      </c>
      <c r="J1612" s="234">
        <f t="shared" si="54"/>
        <v>1.0008094435075885</v>
      </c>
      <c r="K1612" s="315">
        <f t="shared" si="55"/>
        <v>8.0911608486738766E-4</v>
      </c>
      <c r="L1612" s="234"/>
      <c r="M1612" s="234"/>
      <c r="N1612" s="234"/>
      <c r="O1612" s="234"/>
      <c r="P1612" s="234"/>
      <c r="Q1612" s="234"/>
      <c r="R1612" s="234"/>
    </row>
    <row r="1613" spans="8:18" ht="15" customHeight="1" x14ac:dyDescent="0.3">
      <c r="H1613" s="234" t="s">
        <v>3413</v>
      </c>
      <c r="I1613" s="306" t="s">
        <v>3414</v>
      </c>
      <c r="J1613" s="234">
        <f t="shared" si="54"/>
        <v>0.99971099658012619</v>
      </c>
      <c r="K1613" s="315">
        <f t="shared" si="55"/>
        <v>-2.8904518941004807E-4</v>
      </c>
      <c r="L1613" s="234"/>
      <c r="M1613" s="234"/>
      <c r="N1613" s="234"/>
      <c r="O1613" s="234"/>
      <c r="P1613" s="234"/>
      <c r="Q1613" s="234"/>
      <c r="R1613" s="234"/>
    </row>
    <row r="1614" spans="8:18" ht="15" customHeight="1" x14ac:dyDescent="0.3">
      <c r="H1614" s="234" t="s">
        <v>3415</v>
      </c>
      <c r="I1614" s="306" t="s">
        <v>3416</v>
      </c>
      <c r="J1614" s="234">
        <f t="shared" si="54"/>
        <v>0.99899912423370452</v>
      </c>
      <c r="K1614" s="315">
        <f t="shared" si="55"/>
        <v>-1.0013769769062072E-3</v>
      </c>
      <c r="L1614" s="234"/>
      <c r="M1614" s="234"/>
      <c r="N1614" s="234"/>
      <c r="O1614" s="234"/>
      <c r="P1614" s="234"/>
      <c r="Q1614" s="234"/>
      <c r="R1614" s="234"/>
    </row>
    <row r="1615" spans="8:18" ht="15" customHeight="1" x14ac:dyDescent="0.3">
      <c r="H1615" s="234" t="s">
        <v>3417</v>
      </c>
      <c r="I1615" s="306" t="s">
        <v>3418</v>
      </c>
      <c r="J1615" s="234">
        <f t="shared" si="54"/>
        <v>0.98812263451187732</v>
      </c>
      <c r="K1615" s="315">
        <f t="shared" si="55"/>
        <v>-1.1948464937139691E-2</v>
      </c>
      <c r="L1615" s="234"/>
      <c r="M1615" s="234"/>
      <c r="N1615" s="234"/>
      <c r="O1615" s="234"/>
      <c r="P1615" s="234"/>
      <c r="Q1615" s="234"/>
      <c r="R1615" s="234"/>
    </row>
    <row r="1616" spans="8:18" ht="15" customHeight="1" x14ac:dyDescent="0.3">
      <c r="H1616" s="234" t="s">
        <v>3419</v>
      </c>
      <c r="I1616" s="306" t="s">
        <v>3420</v>
      </c>
      <c r="J1616" s="234">
        <f t="shared" si="54"/>
        <v>0.99376287588123002</v>
      </c>
      <c r="K1616" s="315">
        <f t="shared" si="55"/>
        <v>-6.256656235919685E-3</v>
      </c>
      <c r="L1616" s="234"/>
      <c r="M1616" s="234"/>
      <c r="N1616" s="234"/>
      <c r="O1616" s="234"/>
      <c r="P1616" s="234"/>
      <c r="Q1616" s="234"/>
      <c r="R1616" s="234"/>
    </row>
    <row r="1617" spans="8:18" ht="15" customHeight="1" x14ac:dyDescent="0.3">
      <c r="H1617" s="234" t="s">
        <v>3421</v>
      </c>
      <c r="I1617" s="306" t="s">
        <v>3422</v>
      </c>
      <c r="J1617" s="234">
        <f t="shared" si="54"/>
        <v>1.0122540344566995</v>
      </c>
      <c r="K1617" s="315">
        <f t="shared" si="55"/>
        <v>1.2179561554889758E-2</v>
      </c>
      <c r="L1617" s="234"/>
      <c r="M1617" s="234"/>
      <c r="N1617" s="234"/>
      <c r="O1617" s="234"/>
      <c r="P1617" s="234"/>
      <c r="Q1617" s="234"/>
      <c r="R1617" s="234"/>
    </row>
    <row r="1618" spans="8:18" ht="15" customHeight="1" x14ac:dyDescent="0.3">
      <c r="H1618" s="234" t="s">
        <v>3423</v>
      </c>
      <c r="I1618" s="306" t="s">
        <v>3424</v>
      </c>
      <c r="J1618" s="234">
        <f t="shared" si="54"/>
        <v>1.0042943606494379</v>
      </c>
      <c r="K1618" s="315">
        <f t="shared" si="55"/>
        <v>4.285166196211115E-3</v>
      </c>
      <c r="L1618" s="234"/>
      <c r="M1618" s="234"/>
      <c r="N1618" s="234"/>
      <c r="O1618" s="234"/>
      <c r="P1618" s="234"/>
      <c r="Q1618" s="234"/>
      <c r="R1618" s="234"/>
    </row>
    <row r="1619" spans="8:18" ht="15" customHeight="1" x14ac:dyDescent="0.3">
      <c r="H1619" s="234" t="s">
        <v>3425</v>
      </c>
      <c r="I1619" s="306" t="s">
        <v>3426</v>
      </c>
      <c r="J1619" s="234">
        <f t="shared" si="54"/>
        <v>1.0044582545258038</v>
      </c>
      <c r="K1619" s="315">
        <f t="shared" si="55"/>
        <v>4.4483459481541657E-3</v>
      </c>
      <c r="L1619" s="234"/>
      <c r="M1619" s="234"/>
      <c r="N1619" s="234"/>
      <c r="O1619" s="234"/>
      <c r="P1619" s="234"/>
      <c r="Q1619" s="234"/>
      <c r="R1619" s="234"/>
    </row>
    <row r="1620" spans="8:18" ht="15" customHeight="1" x14ac:dyDescent="0.3">
      <c r="H1620" s="234" t="s">
        <v>3427</v>
      </c>
      <c r="I1620" s="306" t="s">
        <v>3428</v>
      </c>
      <c r="J1620" s="234">
        <f t="shared" si="54"/>
        <v>1.0154928611326153</v>
      </c>
      <c r="K1620" s="315">
        <f t="shared" si="55"/>
        <v>1.5374072109717767E-2</v>
      </c>
      <c r="L1620" s="234"/>
      <c r="M1620" s="234"/>
      <c r="N1620" s="234"/>
      <c r="O1620" s="234"/>
      <c r="P1620" s="234"/>
      <c r="Q1620" s="234"/>
      <c r="R1620" s="234"/>
    </row>
    <row r="1621" spans="8:18" ht="15" customHeight="1" x14ac:dyDescent="0.3">
      <c r="H1621" s="234" t="s">
        <v>3429</v>
      </c>
      <c r="I1621" s="306" t="s">
        <v>3430</v>
      </c>
      <c r="J1621" s="234">
        <f t="shared" si="54"/>
        <v>1.0146257556474705</v>
      </c>
      <c r="K1621" s="315">
        <f t="shared" si="55"/>
        <v>1.4519830854347817E-2</v>
      </c>
      <c r="L1621" s="234"/>
      <c r="M1621" s="234"/>
      <c r="N1621" s="234"/>
      <c r="O1621" s="234"/>
      <c r="P1621" s="234"/>
      <c r="Q1621" s="234"/>
      <c r="R1621" s="234"/>
    </row>
    <row r="1622" spans="8:18" ht="15" customHeight="1" x14ac:dyDescent="0.3">
      <c r="H1622" s="234" t="s">
        <v>3431</v>
      </c>
      <c r="I1622" s="306" t="s">
        <v>3432</v>
      </c>
      <c r="J1622" s="234">
        <f t="shared" si="54"/>
        <v>0.99244143592982181</v>
      </c>
      <c r="K1622" s="315">
        <f t="shared" si="55"/>
        <v>-7.5872747815775394E-3</v>
      </c>
      <c r="L1622" s="234"/>
      <c r="M1622" s="234"/>
      <c r="N1622" s="234"/>
      <c r="O1622" s="234"/>
      <c r="P1622" s="234"/>
      <c r="Q1622" s="234"/>
      <c r="R1622" s="234"/>
    </row>
    <row r="1623" spans="8:18" ht="15" customHeight="1" x14ac:dyDescent="0.3">
      <c r="H1623" s="234" t="s">
        <v>3433</v>
      </c>
      <c r="I1623" s="306" t="s">
        <v>3434</v>
      </c>
      <c r="J1623" s="234">
        <f t="shared" si="54"/>
        <v>1.0036544422766482</v>
      </c>
      <c r="K1623" s="315">
        <f t="shared" si="55"/>
        <v>3.6477810263088181E-3</v>
      </c>
      <c r="L1623" s="234"/>
      <c r="M1623" s="234"/>
      <c r="N1623" s="234"/>
      <c r="O1623" s="234"/>
      <c r="P1623" s="234"/>
      <c r="Q1623" s="234"/>
      <c r="R1623" s="234"/>
    </row>
    <row r="1624" spans="8:18" ht="15" customHeight="1" x14ac:dyDescent="0.3">
      <c r="H1624" s="234" t="s">
        <v>3435</v>
      </c>
      <c r="I1624" s="306" t="s">
        <v>3436</v>
      </c>
      <c r="J1624" s="234">
        <f t="shared" si="54"/>
        <v>1.0024521970494211</v>
      </c>
      <c r="K1624" s="315">
        <f t="shared" si="55"/>
        <v>2.4491953204556567E-3</v>
      </c>
      <c r="L1624" s="234"/>
      <c r="M1624" s="234"/>
      <c r="N1624" s="234"/>
      <c r="O1624" s="234"/>
      <c r="P1624" s="234"/>
      <c r="Q1624" s="234"/>
      <c r="R1624" s="234"/>
    </row>
    <row r="1625" spans="8:18" ht="15" customHeight="1" x14ac:dyDescent="0.3">
      <c r="H1625" s="234" t="s">
        <v>3437</v>
      </c>
      <c r="I1625" s="306" t="s">
        <v>3438</v>
      </c>
      <c r="J1625" s="234">
        <f t="shared" si="54"/>
        <v>1.0003674681444845</v>
      </c>
      <c r="K1625" s="315">
        <f t="shared" si="55"/>
        <v>3.674006446014435E-4</v>
      </c>
      <c r="L1625" s="234"/>
      <c r="M1625" s="234"/>
      <c r="N1625" s="234"/>
      <c r="O1625" s="234"/>
      <c r="P1625" s="234"/>
      <c r="Q1625" s="234"/>
      <c r="R1625" s="234"/>
    </row>
    <row r="1626" spans="8:18" ht="15" customHeight="1" x14ac:dyDescent="0.3">
      <c r="H1626" s="234" t="s">
        <v>3439</v>
      </c>
      <c r="I1626" s="306" t="s">
        <v>3440</v>
      </c>
      <c r="J1626" s="234">
        <f t="shared" si="54"/>
        <v>1.0059343623557619</v>
      </c>
      <c r="K1626" s="315">
        <f t="shared" si="55"/>
        <v>5.9168233816890587E-3</v>
      </c>
      <c r="L1626" s="234"/>
      <c r="M1626" s="234"/>
      <c r="N1626" s="234"/>
      <c r="O1626" s="234"/>
      <c r="P1626" s="234"/>
      <c r="Q1626" s="234"/>
      <c r="R1626" s="234"/>
    </row>
    <row r="1627" spans="8:18" ht="15" customHeight="1" x14ac:dyDescent="0.3">
      <c r="H1627" s="234" t="s">
        <v>3441</v>
      </c>
      <c r="I1627" s="306" t="s">
        <v>3442</v>
      </c>
      <c r="J1627" s="234">
        <f t="shared" si="54"/>
        <v>0.98073701021937865</v>
      </c>
      <c r="K1627" s="315">
        <f t="shared" si="55"/>
        <v>-1.9450938722090461E-2</v>
      </c>
      <c r="L1627" s="234"/>
      <c r="M1627" s="234"/>
      <c r="N1627" s="234"/>
      <c r="O1627" s="234"/>
      <c r="P1627" s="234"/>
      <c r="Q1627" s="234"/>
      <c r="R1627" s="234"/>
    </row>
    <row r="1628" spans="8:18" ht="15" customHeight="1" x14ac:dyDescent="0.3">
      <c r="H1628" s="234" t="s">
        <v>3443</v>
      </c>
      <c r="I1628" s="306" t="s">
        <v>3444</v>
      </c>
      <c r="J1628" s="234">
        <f t="shared" si="54"/>
        <v>1.0004214942461134</v>
      </c>
      <c r="K1628" s="315">
        <f t="shared" si="55"/>
        <v>4.2140544236625682E-4</v>
      </c>
      <c r="L1628" s="234"/>
      <c r="M1628" s="234"/>
      <c r="N1628" s="234"/>
      <c r="O1628" s="234"/>
      <c r="P1628" s="234"/>
      <c r="Q1628" s="234"/>
      <c r="R1628" s="234"/>
    </row>
    <row r="1629" spans="8:18" ht="15" customHeight="1" x14ac:dyDescent="0.3">
      <c r="H1629" s="234" t="s">
        <v>3445</v>
      </c>
      <c r="I1629" s="306" t="s">
        <v>3446</v>
      </c>
      <c r="J1629" s="234">
        <f t="shared" si="54"/>
        <v>1.0170779123672797</v>
      </c>
      <c r="K1629" s="315">
        <f t="shared" si="55"/>
        <v>1.693372412935213E-2</v>
      </c>
      <c r="L1629" s="234"/>
      <c r="M1629" s="234"/>
      <c r="N1629" s="234"/>
      <c r="O1629" s="234"/>
      <c r="P1629" s="234"/>
      <c r="Q1629" s="234"/>
      <c r="R1629" s="234"/>
    </row>
    <row r="1630" spans="8:18" ht="15" customHeight="1" x14ac:dyDescent="0.3">
      <c r="H1630" s="234" t="s">
        <v>3447</v>
      </c>
      <c r="I1630" s="306" t="s">
        <v>3448</v>
      </c>
      <c r="J1630" s="234">
        <f t="shared" si="54"/>
        <v>1.0090741728116857</v>
      </c>
      <c r="K1630" s="315">
        <f t="shared" si="55"/>
        <v>9.0332498804438152E-3</v>
      </c>
      <c r="L1630" s="234"/>
      <c r="M1630" s="234"/>
      <c r="N1630" s="234"/>
      <c r="O1630" s="234"/>
      <c r="P1630" s="234"/>
      <c r="Q1630" s="234"/>
      <c r="R1630" s="234"/>
    </row>
    <row r="1631" spans="8:18" ht="15" customHeight="1" x14ac:dyDescent="0.3">
      <c r="H1631" s="234" t="s">
        <v>3449</v>
      </c>
      <c r="I1631" s="306" t="s">
        <v>3450</v>
      </c>
      <c r="J1631" s="234">
        <f t="shared" si="54"/>
        <v>1.0181291161799801</v>
      </c>
      <c r="K1631" s="315">
        <f t="shared" si="55"/>
        <v>1.7966743268374618E-2</v>
      </c>
      <c r="L1631" s="234"/>
      <c r="M1631" s="234"/>
      <c r="N1631" s="234"/>
      <c r="O1631" s="234"/>
      <c r="P1631" s="234"/>
      <c r="Q1631" s="234"/>
      <c r="R1631" s="234"/>
    </row>
    <row r="1632" spans="8:18" ht="15" customHeight="1" x14ac:dyDescent="0.3">
      <c r="H1632" s="234" t="s">
        <v>3451</v>
      </c>
      <c r="I1632" s="306" t="s">
        <v>3452</v>
      </c>
      <c r="J1632" s="234">
        <f t="shared" si="54"/>
        <v>0.99586894877496479</v>
      </c>
      <c r="K1632" s="315">
        <f t="shared" si="55"/>
        <v>-4.1396075897980064E-3</v>
      </c>
      <c r="L1632" s="234"/>
      <c r="M1632" s="234"/>
      <c r="N1632" s="234"/>
      <c r="O1632" s="234"/>
      <c r="P1632" s="234"/>
      <c r="Q1632" s="234"/>
      <c r="R1632" s="234"/>
    </row>
    <row r="1633" spans="8:18" ht="15" customHeight="1" x14ac:dyDescent="0.3">
      <c r="H1633" s="234" t="s">
        <v>3453</v>
      </c>
      <c r="I1633" s="306" t="s">
        <v>3454</v>
      </c>
      <c r="J1633" s="234">
        <f t="shared" si="54"/>
        <v>0.99252854944520941</v>
      </c>
      <c r="K1633" s="315">
        <f t="shared" si="55"/>
        <v>-7.4995016504114656E-3</v>
      </c>
      <c r="L1633" s="234"/>
      <c r="M1633" s="234"/>
      <c r="N1633" s="234"/>
      <c r="O1633" s="234"/>
      <c r="P1633" s="234"/>
      <c r="Q1633" s="234"/>
      <c r="R1633" s="234"/>
    </row>
    <row r="1634" spans="8:18" ht="15" customHeight="1" x14ac:dyDescent="0.3">
      <c r="H1634" s="234" t="s">
        <v>3455</v>
      </c>
      <c r="I1634" s="306" t="s">
        <v>3456</v>
      </c>
      <c r="J1634" s="234">
        <f t="shared" si="54"/>
        <v>1.0046276990673406</v>
      </c>
      <c r="K1634" s="315">
        <f t="shared" si="55"/>
        <v>4.6170241887595453E-3</v>
      </c>
      <c r="L1634" s="234"/>
      <c r="M1634" s="234"/>
      <c r="N1634" s="234"/>
      <c r="O1634" s="234"/>
      <c r="P1634" s="234"/>
      <c r="Q1634" s="234"/>
      <c r="R1634" s="234"/>
    </row>
    <row r="1635" spans="8:18" ht="15" customHeight="1" x14ac:dyDescent="0.3">
      <c r="H1635" s="234" t="s">
        <v>3457</v>
      </c>
      <c r="I1635" s="306" t="s">
        <v>3458</v>
      </c>
      <c r="J1635" s="234">
        <f t="shared" si="54"/>
        <v>0.99354284559417949</v>
      </c>
      <c r="K1635" s="315">
        <f t="shared" si="55"/>
        <v>-6.4780920075494814E-3</v>
      </c>
      <c r="L1635" s="234"/>
      <c r="M1635" s="234"/>
      <c r="N1635" s="234"/>
      <c r="O1635" s="234"/>
      <c r="P1635" s="234"/>
      <c r="Q1635" s="234"/>
      <c r="R1635" s="234"/>
    </row>
    <row r="1636" spans="8:18" ht="15" customHeight="1" x14ac:dyDescent="0.3">
      <c r="H1636" s="234" t="s">
        <v>3459</v>
      </c>
      <c r="I1636" s="306" t="s">
        <v>3460</v>
      </c>
      <c r="J1636" s="234">
        <f t="shared" si="54"/>
        <v>1.0153180050683821</v>
      </c>
      <c r="K1636" s="315">
        <f t="shared" si="55"/>
        <v>1.5201868909926568E-2</v>
      </c>
      <c r="L1636" s="234"/>
      <c r="M1636" s="234"/>
      <c r="N1636" s="234"/>
      <c r="O1636" s="234"/>
      <c r="P1636" s="234"/>
      <c r="Q1636" s="234"/>
      <c r="R1636" s="234"/>
    </row>
    <row r="1637" spans="8:18" ht="15" customHeight="1" x14ac:dyDescent="0.3">
      <c r="H1637" s="234" t="s">
        <v>3461</v>
      </c>
      <c r="I1637" s="306" t="s">
        <v>3462</v>
      </c>
      <c r="J1637" s="234">
        <f t="shared" si="54"/>
        <v>0.99630984994071226</v>
      </c>
      <c r="K1637" s="315">
        <f t="shared" si="55"/>
        <v>-3.6969754593584392E-3</v>
      </c>
      <c r="L1637" s="234"/>
      <c r="M1637" s="234"/>
      <c r="N1637" s="234"/>
      <c r="O1637" s="234"/>
      <c r="P1637" s="234"/>
      <c r="Q1637" s="234"/>
      <c r="R1637" s="234"/>
    </row>
    <row r="1638" spans="8:18" ht="15" customHeight="1" x14ac:dyDescent="0.3">
      <c r="H1638" s="234" t="s">
        <v>3463</v>
      </c>
      <c r="I1638" s="306" t="s">
        <v>3464</v>
      </c>
      <c r="J1638" s="234">
        <f t="shared" si="54"/>
        <v>1.0064091353325446</v>
      </c>
      <c r="K1638" s="315">
        <f t="shared" si="55"/>
        <v>6.3886841610611535E-3</v>
      </c>
      <c r="L1638" s="234"/>
      <c r="M1638" s="234"/>
      <c r="N1638" s="234"/>
      <c r="O1638" s="234"/>
      <c r="P1638" s="234"/>
      <c r="Q1638" s="234"/>
      <c r="R1638" s="234"/>
    </row>
    <row r="1639" spans="8:18" ht="15" customHeight="1" x14ac:dyDescent="0.3">
      <c r="H1639" s="234" t="s">
        <v>3465</v>
      </c>
      <c r="I1639" s="306" t="s">
        <v>3466</v>
      </c>
      <c r="J1639" s="234">
        <f t="shared" si="54"/>
        <v>1.0125309889377305</v>
      </c>
      <c r="K1639" s="315">
        <f t="shared" si="55"/>
        <v>1.2453125888444497E-2</v>
      </c>
      <c r="L1639" s="234"/>
      <c r="M1639" s="234"/>
      <c r="N1639" s="234"/>
      <c r="O1639" s="234"/>
      <c r="P1639" s="234"/>
      <c r="Q1639" s="234"/>
      <c r="R1639" s="234"/>
    </row>
    <row r="1640" spans="8:18" ht="15" customHeight="1" x14ac:dyDescent="0.3">
      <c r="H1640" s="234" t="s">
        <v>3467</v>
      </c>
      <c r="I1640" s="306" t="s">
        <v>3468</v>
      </c>
      <c r="J1640" s="234">
        <f t="shared" si="54"/>
        <v>0.9858391267290334</v>
      </c>
      <c r="K1640" s="315">
        <f t="shared" si="55"/>
        <v>-1.4262095166755865E-2</v>
      </c>
      <c r="L1640" s="234"/>
      <c r="M1640" s="234"/>
      <c r="N1640" s="234"/>
      <c r="O1640" s="234"/>
      <c r="P1640" s="234"/>
      <c r="Q1640" s="234"/>
      <c r="R1640" s="234"/>
    </row>
    <row r="1641" spans="8:18" ht="15" customHeight="1" x14ac:dyDescent="0.3">
      <c r="H1641" s="234" t="s">
        <v>3469</v>
      </c>
      <c r="I1641" s="306" t="s">
        <v>3470</v>
      </c>
      <c r="J1641" s="234">
        <f t="shared" si="54"/>
        <v>1.0037208822923109</v>
      </c>
      <c r="K1641" s="315">
        <f t="shared" si="55"/>
        <v>3.7139769338441686E-3</v>
      </c>
      <c r="L1641" s="234"/>
      <c r="M1641" s="234"/>
      <c r="N1641" s="234"/>
      <c r="O1641" s="234"/>
      <c r="P1641" s="234"/>
      <c r="Q1641" s="234"/>
      <c r="R1641" s="234"/>
    </row>
    <row r="1642" spans="8:18" ht="15" customHeight="1" x14ac:dyDescent="0.3">
      <c r="H1642" s="234" t="s">
        <v>3471</v>
      </c>
      <c r="I1642" s="306" t="s">
        <v>3472</v>
      </c>
      <c r="J1642" s="234">
        <f t="shared" si="54"/>
        <v>0.99983511274166292</v>
      </c>
      <c r="K1642" s="315">
        <f t="shared" si="55"/>
        <v>-1.6490085373554989E-4</v>
      </c>
      <c r="L1642" s="234"/>
      <c r="M1642" s="234"/>
      <c r="N1642" s="234"/>
      <c r="O1642" s="234"/>
      <c r="P1642" s="234"/>
      <c r="Q1642" s="234"/>
      <c r="R1642" s="234"/>
    </row>
    <row r="1643" spans="8:18" ht="15" customHeight="1" x14ac:dyDescent="0.3">
      <c r="H1643" s="234" t="s">
        <v>3473</v>
      </c>
      <c r="I1643" s="306" t="s">
        <v>3474</v>
      </c>
      <c r="J1643" s="234">
        <f t="shared" si="54"/>
        <v>0.9960583042496407</v>
      </c>
      <c r="K1643" s="315">
        <f t="shared" si="55"/>
        <v>-3.9494847075905665E-3</v>
      </c>
      <c r="L1643" s="234"/>
      <c r="M1643" s="234"/>
      <c r="N1643" s="234"/>
      <c r="O1643" s="234"/>
      <c r="P1643" s="234"/>
      <c r="Q1643" s="234"/>
      <c r="R1643" s="234"/>
    </row>
    <row r="1644" spans="8:18" ht="15" customHeight="1" x14ac:dyDescent="0.3">
      <c r="H1644" s="234" t="s">
        <v>3475</v>
      </c>
      <c r="I1644" s="306" t="s">
        <v>3476</v>
      </c>
      <c r="J1644" s="234">
        <f t="shared" si="54"/>
        <v>1.00884369239691</v>
      </c>
      <c r="K1644" s="315">
        <f t="shared" si="55"/>
        <v>8.8048159885082671E-3</v>
      </c>
      <c r="L1644" s="234"/>
      <c r="M1644" s="234"/>
      <c r="N1644" s="234"/>
      <c r="O1644" s="234"/>
      <c r="P1644" s="234"/>
      <c r="Q1644" s="234"/>
      <c r="R1644" s="234"/>
    </row>
    <row r="1645" spans="8:18" ht="15" customHeight="1" x14ac:dyDescent="0.3">
      <c r="H1645" s="234" t="s">
        <v>3477</v>
      </c>
      <c r="I1645" s="306" t="s">
        <v>3478</v>
      </c>
      <c r="J1645" s="234">
        <f t="shared" si="54"/>
        <v>1.0018363091224103</v>
      </c>
      <c r="K1645" s="315">
        <f t="shared" si="55"/>
        <v>1.834625168005829E-3</v>
      </c>
      <c r="L1645" s="234"/>
      <c r="M1645" s="234"/>
      <c r="N1645" s="234"/>
      <c r="O1645" s="234"/>
      <c r="P1645" s="234"/>
      <c r="Q1645" s="234"/>
      <c r="R1645" s="234"/>
    </row>
    <row r="1646" spans="8:18" ht="15" customHeight="1" x14ac:dyDescent="0.3">
      <c r="H1646" s="234" t="s">
        <v>3479</v>
      </c>
      <c r="I1646" s="306" t="s">
        <v>3480</v>
      </c>
      <c r="J1646" s="234">
        <f t="shared" si="54"/>
        <v>1.0160863561135531</v>
      </c>
      <c r="K1646" s="315">
        <f t="shared" si="55"/>
        <v>1.5958341719076979E-2</v>
      </c>
      <c r="L1646" s="234"/>
      <c r="M1646" s="234"/>
      <c r="N1646" s="234"/>
      <c r="O1646" s="234"/>
      <c r="P1646" s="234"/>
      <c r="Q1646" s="234"/>
      <c r="R1646" s="234"/>
    </row>
    <row r="1647" spans="8:18" ht="15" customHeight="1" x14ac:dyDescent="0.3">
      <c r="H1647" s="234" t="s">
        <v>3481</v>
      </c>
      <c r="I1647" s="306" t="s">
        <v>3482</v>
      </c>
      <c r="J1647" s="234">
        <f t="shared" si="54"/>
        <v>1.013212141926388</v>
      </c>
      <c r="K1647" s="315">
        <f t="shared" si="55"/>
        <v>1.3125622814585342E-2</v>
      </c>
      <c r="L1647" s="234"/>
      <c r="M1647" s="234"/>
      <c r="N1647" s="234"/>
      <c r="O1647" s="234"/>
      <c r="P1647" s="234"/>
      <c r="Q1647" s="234"/>
      <c r="R1647" s="234"/>
    </row>
    <row r="1648" spans="8:18" ht="15" customHeight="1" x14ac:dyDescent="0.3">
      <c r="H1648" s="234" t="s">
        <v>3483</v>
      </c>
      <c r="I1648" s="306" t="s">
        <v>3484</v>
      </c>
      <c r="J1648" s="234">
        <f t="shared" si="54"/>
        <v>0.99695459579180512</v>
      </c>
      <c r="K1648" s="315">
        <f t="shared" si="55"/>
        <v>-3.0500508880007765E-3</v>
      </c>
      <c r="L1648" s="234"/>
      <c r="M1648" s="234"/>
      <c r="N1648" s="234"/>
      <c r="O1648" s="234"/>
      <c r="P1648" s="234"/>
      <c r="Q1648" s="234"/>
      <c r="R1648" s="234"/>
    </row>
    <row r="1649" spans="8:18" ht="15" customHeight="1" x14ac:dyDescent="0.3">
      <c r="H1649" s="234" t="s">
        <v>3485</v>
      </c>
      <c r="I1649" s="306" t="s">
        <v>3486</v>
      </c>
      <c r="J1649" s="234">
        <f t="shared" si="54"/>
        <v>0.99525222551928783</v>
      </c>
      <c r="K1649" s="315">
        <f t="shared" si="55"/>
        <v>-4.7590809632532564E-3</v>
      </c>
      <c r="L1649" s="234"/>
      <c r="M1649" s="234"/>
      <c r="N1649" s="234"/>
      <c r="O1649" s="234"/>
      <c r="P1649" s="234"/>
      <c r="Q1649" s="234"/>
      <c r="R1649" s="234"/>
    </row>
    <row r="1650" spans="8:18" ht="15" customHeight="1" x14ac:dyDescent="0.3">
      <c r="H1650" s="234" t="s">
        <v>3487</v>
      </c>
      <c r="I1650" s="306" t="s">
        <v>3488</v>
      </c>
      <c r="J1650" s="234">
        <f t="shared" si="54"/>
        <v>0.99867703868338886</v>
      </c>
      <c r="K1650" s="315">
        <f t="shared" si="55"/>
        <v>-1.3238372025277793E-3</v>
      </c>
      <c r="L1650" s="234"/>
      <c r="M1650" s="234"/>
      <c r="N1650" s="234"/>
      <c r="O1650" s="234"/>
      <c r="P1650" s="234"/>
      <c r="Q1650" s="234"/>
      <c r="R1650" s="234"/>
    </row>
    <row r="1651" spans="8:18" ht="15" customHeight="1" x14ac:dyDescent="0.3">
      <c r="H1651" s="234" t="s">
        <v>3489</v>
      </c>
      <c r="I1651" s="306" t="s">
        <v>3490</v>
      </c>
      <c r="J1651" s="234">
        <f t="shared" si="54"/>
        <v>1.0276140343244948</v>
      </c>
      <c r="K1651" s="315">
        <f t="shared" si="55"/>
        <v>2.7239643541115442E-2</v>
      </c>
      <c r="L1651" s="234"/>
      <c r="M1651" s="234"/>
      <c r="N1651" s="234"/>
      <c r="O1651" s="234"/>
      <c r="P1651" s="234"/>
      <c r="Q1651" s="234"/>
      <c r="R1651" s="234"/>
    </row>
    <row r="1652" spans="8:18" ht="15" customHeight="1" x14ac:dyDescent="0.3">
      <c r="H1652" s="234" t="s">
        <v>3491</v>
      </c>
      <c r="I1652" s="306" t="s">
        <v>3492</v>
      </c>
      <c r="J1652" s="234">
        <f t="shared" si="54"/>
        <v>1.0215541186143147</v>
      </c>
      <c r="K1652" s="315">
        <f t="shared" si="55"/>
        <v>2.1325113426078391E-2</v>
      </c>
      <c r="L1652" s="234"/>
      <c r="M1652" s="234"/>
      <c r="N1652" s="234"/>
      <c r="O1652" s="234"/>
      <c r="P1652" s="234"/>
      <c r="Q1652" s="234"/>
      <c r="R1652" s="234"/>
    </row>
    <row r="1653" spans="8:18" ht="15" customHeight="1" x14ac:dyDescent="0.3">
      <c r="H1653" s="234" t="s">
        <v>3493</v>
      </c>
      <c r="I1653" s="306" t="s">
        <v>3494</v>
      </c>
      <c r="J1653" s="234">
        <f t="shared" si="54"/>
        <v>0.99981115937038312</v>
      </c>
      <c r="K1653" s="315">
        <f t="shared" si="55"/>
        <v>-1.8885846225363205E-4</v>
      </c>
      <c r="L1653" s="234"/>
      <c r="M1653" s="234"/>
      <c r="N1653" s="234"/>
      <c r="O1653" s="234"/>
      <c r="P1653" s="234"/>
      <c r="Q1653" s="234"/>
      <c r="R1653" s="234"/>
    </row>
    <row r="1654" spans="8:18" ht="15" customHeight="1" x14ac:dyDescent="0.3">
      <c r="H1654" s="234" t="s">
        <v>3495</v>
      </c>
      <c r="I1654" s="306" t="s">
        <v>3496</v>
      </c>
      <c r="J1654" s="234">
        <f t="shared" si="54"/>
        <v>0.98254785968435532</v>
      </c>
      <c r="K1654" s="315">
        <f t="shared" si="55"/>
        <v>-1.760622427819232E-2</v>
      </c>
      <c r="L1654" s="234"/>
      <c r="M1654" s="234"/>
      <c r="N1654" s="234"/>
      <c r="O1654" s="234"/>
      <c r="P1654" s="234"/>
      <c r="Q1654" s="234"/>
      <c r="R1654" s="234"/>
    </row>
    <row r="1655" spans="8:18" ht="15" customHeight="1" x14ac:dyDescent="0.3">
      <c r="H1655" s="234" t="s">
        <v>3497</v>
      </c>
      <c r="I1655" s="306" t="s">
        <v>3498</v>
      </c>
      <c r="J1655" s="234">
        <f t="shared" si="54"/>
        <v>0.99493962296933369</v>
      </c>
      <c r="K1655" s="315">
        <f t="shared" si="55"/>
        <v>-5.0732240975066871E-3</v>
      </c>
      <c r="L1655" s="234"/>
      <c r="M1655" s="234"/>
      <c r="N1655" s="234"/>
      <c r="O1655" s="234"/>
      <c r="P1655" s="234"/>
      <c r="Q1655" s="234"/>
      <c r="R1655" s="234"/>
    </row>
    <row r="1656" spans="8:18" ht="15" customHeight="1" x14ac:dyDescent="0.3">
      <c r="H1656" s="234" t="s">
        <v>3499</v>
      </c>
      <c r="I1656" s="306" t="s">
        <v>3500</v>
      </c>
      <c r="J1656" s="234">
        <f t="shared" si="54"/>
        <v>1.003837097758786</v>
      </c>
      <c r="K1656" s="315">
        <f t="shared" si="55"/>
        <v>3.829754876757649E-3</v>
      </c>
      <c r="L1656" s="234"/>
      <c r="M1656" s="234"/>
      <c r="N1656" s="234"/>
      <c r="O1656" s="234"/>
      <c r="P1656" s="234"/>
      <c r="Q1656" s="234"/>
      <c r="R1656" s="234"/>
    </row>
    <row r="1657" spans="8:18" ht="15" customHeight="1" x14ac:dyDescent="0.3">
      <c r="H1657" s="234" t="s">
        <v>3501</v>
      </c>
      <c r="I1657" s="306" t="s">
        <v>3502</v>
      </c>
      <c r="J1657" s="234">
        <f t="shared" si="54"/>
        <v>0.97330560624708229</v>
      </c>
      <c r="K1657" s="315">
        <f t="shared" si="55"/>
        <v>-2.7057159526123684E-2</v>
      </c>
      <c r="L1657" s="234"/>
      <c r="M1657" s="234"/>
      <c r="N1657" s="234"/>
      <c r="O1657" s="234"/>
      <c r="P1657" s="234"/>
      <c r="Q1657" s="234"/>
      <c r="R1657" s="234"/>
    </row>
    <row r="1658" spans="8:18" ht="15" customHeight="1" x14ac:dyDescent="0.3">
      <c r="H1658" s="234" t="s">
        <v>3503</v>
      </c>
      <c r="I1658" s="306" t="s">
        <v>3504</v>
      </c>
      <c r="J1658" s="234">
        <f t="shared" si="54"/>
        <v>0.99412503032412536</v>
      </c>
      <c r="K1658" s="315">
        <f t="shared" si="55"/>
        <v>-5.8922952015057779E-3</v>
      </c>
      <c r="L1658" s="234"/>
      <c r="M1658" s="234"/>
      <c r="N1658" s="234"/>
      <c r="O1658" s="234"/>
      <c r="P1658" s="234"/>
      <c r="Q1658" s="234"/>
      <c r="R1658" s="234"/>
    </row>
    <row r="1659" spans="8:18" ht="15" customHeight="1" x14ac:dyDescent="0.3">
      <c r="H1659" s="234" t="s">
        <v>3505</v>
      </c>
      <c r="I1659" s="306" t="s">
        <v>3506</v>
      </c>
      <c r="J1659" s="234">
        <f t="shared" si="54"/>
        <v>0.99175706350617698</v>
      </c>
      <c r="K1659" s="315">
        <f t="shared" si="55"/>
        <v>-8.2770973481986442E-3</v>
      </c>
      <c r="L1659" s="234"/>
      <c r="M1659" s="234"/>
      <c r="N1659" s="234"/>
      <c r="O1659" s="234"/>
      <c r="P1659" s="234"/>
      <c r="Q1659" s="234"/>
      <c r="R1659" s="234"/>
    </row>
    <row r="1660" spans="8:18" ht="15" customHeight="1" x14ac:dyDescent="0.3">
      <c r="H1660" s="234" t="s">
        <v>3507</v>
      </c>
      <c r="I1660" s="306" t="s">
        <v>3508</v>
      </c>
      <c r="J1660" s="234">
        <f t="shared" si="54"/>
        <v>1.0127981014736887</v>
      </c>
      <c r="K1660" s="315">
        <f t="shared" si="55"/>
        <v>1.2716897873719815E-2</v>
      </c>
      <c r="L1660" s="234"/>
      <c r="M1660" s="234"/>
      <c r="N1660" s="234"/>
      <c r="O1660" s="234"/>
      <c r="P1660" s="234"/>
      <c r="Q1660" s="234"/>
      <c r="R1660" s="234"/>
    </row>
    <row r="1661" spans="8:18" ht="15" customHeight="1" x14ac:dyDescent="0.3">
      <c r="H1661" s="234" t="s">
        <v>3509</v>
      </c>
      <c r="I1661" s="306" t="s">
        <v>3510</v>
      </c>
      <c r="J1661" s="234">
        <f t="shared" si="54"/>
        <v>0.99347430243450618</v>
      </c>
      <c r="K1661" s="315">
        <f t="shared" si="55"/>
        <v>-6.5470830172833392E-3</v>
      </c>
      <c r="L1661" s="234"/>
      <c r="M1661" s="234"/>
      <c r="N1661" s="234"/>
      <c r="O1661" s="234"/>
      <c r="P1661" s="234"/>
      <c r="Q1661" s="234"/>
      <c r="R1661" s="234"/>
    </row>
    <row r="1662" spans="8:18" ht="15" customHeight="1" x14ac:dyDescent="0.3">
      <c r="H1662" s="234" t="s">
        <v>3511</v>
      </c>
      <c r="I1662" s="306" t="s">
        <v>3512</v>
      </c>
      <c r="J1662" s="234">
        <f t="shared" si="54"/>
        <v>0.98975956329694137</v>
      </c>
      <c r="K1662" s="315">
        <f t="shared" si="55"/>
        <v>-1.0293230706692937E-2</v>
      </c>
      <c r="L1662" s="234"/>
      <c r="M1662" s="234"/>
      <c r="N1662" s="234"/>
      <c r="O1662" s="234"/>
      <c r="P1662" s="234"/>
      <c r="Q1662" s="234"/>
      <c r="R1662" s="234"/>
    </row>
    <row r="1663" spans="8:18" ht="15" customHeight="1" x14ac:dyDescent="0.3">
      <c r="H1663" s="234" t="s">
        <v>3513</v>
      </c>
      <c r="I1663" s="306" t="s">
        <v>2772</v>
      </c>
      <c r="J1663" s="234">
        <f t="shared" si="54"/>
        <v>1.0049308529014562</v>
      </c>
      <c r="K1663" s="315">
        <f t="shared" si="55"/>
        <v>4.9187360608702454E-3</v>
      </c>
      <c r="L1663" s="234"/>
      <c r="M1663" s="234"/>
      <c r="N1663" s="234"/>
      <c r="O1663" s="234"/>
      <c r="P1663" s="234"/>
      <c r="Q1663" s="234"/>
      <c r="R1663" s="234"/>
    </row>
    <row r="1664" spans="8:18" ht="15" customHeight="1" x14ac:dyDescent="0.3">
      <c r="H1664" s="234" t="s">
        <v>3514</v>
      </c>
      <c r="I1664" s="306" t="s">
        <v>3515</v>
      </c>
      <c r="J1664" s="234">
        <f t="shared" si="54"/>
        <v>0.99150914998079698</v>
      </c>
      <c r="K1664" s="315">
        <f t="shared" si="55"/>
        <v>-8.5271026424807422E-3</v>
      </c>
      <c r="L1664" s="234"/>
      <c r="M1664" s="234"/>
      <c r="N1664" s="234"/>
      <c r="O1664" s="234"/>
      <c r="P1664" s="234"/>
      <c r="Q1664" s="234"/>
      <c r="R1664" s="234"/>
    </row>
    <row r="1665" spans="8:18" ht="15" customHeight="1" x14ac:dyDescent="0.3">
      <c r="H1665" s="234" t="s">
        <v>3516</v>
      </c>
      <c r="I1665" s="306" t="s">
        <v>3517</v>
      </c>
      <c r="J1665" s="234">
        <f t="shared" si="54"/>
        <v>1.0015386054828415</v>
      </c>
      <c r="K1665" s="315">
        <f t="shared" si="55"/>
        <v>1.537423042143322E-3</v>
      </c>
      <c r="L1665" s="234"/>
      <c r="M1665" s="234"/>
      <c r="N1665" s="234"/>
      <c r="O1665" s="234"/>
      <c r="P1665" s="234"/>
      <c r="Q1665" s="234"/>
      <c r="R1665" s="234"/>
    </row>
    <row r="1666" spans="8:18" ht="15" customHeight="1" x14ac:dyDescent="0.3">
      <c r="H1666" s="234" t="s">
        <v>3518</v>
      </c>
      <c r="I1666" s="306" t="s">
        <v>3519</v>
      </c>
      <c r="J1666" s="234">
        <f t="shared" si="54"/>
        <v>0.99934548174621318</v>
      </c>
      <c r="K1666" s="315">
        <f t="shared" si="55"/>
        <v>-6.5473254436892135E-4</v>
      </c>
      <c r="L1666" s="234"/>
      <c r="M1666" s="234"/>
      <c r="N1666" s="234"/>
      <c r="O1666" s="234"/>
      <c r="P1666" s="234"/>
      <c r="Q1666" s="234"/>
      <c r="R1666" s="234"/>
    </row>
    <row r="1667" spans="8:18" ht="15" customHeight="1" x14ac:dyDescent="0.3">
      <c r="H1667" s="234" t="s">
        <v>3520</v>
      </c>
      <c r="I1667" s="306" t="s">
        <v>3521</v>
      </c>
      <c r="J1667" s="234">
        <f t="shared" si="54"/>
        <v>0.99691358024691357</v>
      </c>
      <c r="K1667" s="315">
        <f t="shared" si="55"/>
        <v>-3.0911925696728579E-3</v>
      </c>
      <c r="L1667" s="234"/>
      <c r="M1667" s="234"/>
      <c r="N1667" s="234"/>
      <c r="O1667" s="234"/>
      <c r="P1667" s="234"/>
      <c r="Q1667" s="234"/>
      <c r="R1667" s="234"/>
    </row>
    <row r="1668" spans="8:18" ht="15" customHeight="1" x14ac:dyDescent="0.3">
      <c r="H1668" s="234" t="s">
        <v>3522</v>
      </c>
      <c r="I1668" s="306" t="s">
        <v>3523</v>
      </c>
      <c r="J1668" s="234">
        <f t="shared" si="54"/>
        <v>1.0160480705483705</v>
      </c>
      <c r="K1668" s="315">
        <f t="shared" si="55"/>
        <v>1.5920661568901075E-2</v>
      </c>
      <c r="L1668" s="234"/>
      <c r="M1668" s="234"/>
      <c r="N1668" s="234"/>
      <c r="O1668" s="234"/>
      <c r="P1668" s="234"/>
      <c r="Q1668" s="234"/>
      <c r="R1668" s="234"/>
    </row>
    <row r="1669" spans="8:18" ht="15" customHeight="1" x14ac:dyDescent="0.3">
      <c r="H1669" s="234" t="s">
        <v>3524</v>
      </c>
      <c r="I1669" s="306" t="s">
        <v>3525</v>
      </c>
      <c r="J1669" s="234">
        <f t="shared" ref="J1669:J1732" si="56">I1669/I1670</f>
        <v>0.99065917454625063</v>
      </c>
      <c r="K1669" s="315">
        <f t="shared" ref="K1669:K1732" si="57">LN(J1669)</f>
        <v>-9.3847245468633069E-3</v>
      </c>
      <c r="L1669" s="234"/>
      <c r="M1669" s="234"/>
      <c r="N1669" s="234"/>
      <c r="O1669" s="234"/>
      <c r="P1669" s="234"/>
      <c r="Q1669" s="234"/>
      <c r="R1669" s="234"/>
    </row>
    <row r="1670" spans="8:18" ht="15" customHeight="1" x14ac:dyDescent="0.3">
      <c r="H1670" s="234" t="s">
        <v>3526</v>
      </c>
      <c r="I1670" s="306" t="s">
        <v>3527</v>
      </c>
      <c r="J1670" s="234">
        <f t="shared" si="56"/>
        <v>1.0140923987736548</v>
      </c>
      <c r="K1670" s="315">
        <f t="shared" si="57"/>
        <v>1.3994024068479983E-2</v>
      </c>
      <c r="L1670" s="234"/>
      <c r="M1670" s="234"/>
      <c r="N1670" s="234"/>
      <c r="O1670" s="234"/>
      <c r="P1670" s="234"/>
      <c r="Q1670" s="234"/>
      <c r="R1670" s="234"/>
    </row>
    <row r="1671" spans="8:18" ht="15" customHeight="1" x14ac:dyDescent="0.3">
      <c r="H1671" s="234" t="s">
        <v>3528</v>
      </c>
      <c r="I1671" s="306" t="s">
        <v>3529</v>
      </c>
      <c r="J1671" s="234">
        <f t="shared" si="56"/>
        <v>1.0001268794011293</v>
      </c>
      <c r="K1671" s="315">
        <f t="shared" si="57"/>
        <v>1.2687135261889141E-4</v>
      </c>
      <c r="L1671" s="234"/>
      <c r="M1671" s="234"/>
      <c r="N1671" s="234"/>
      <c r="O1671" s="234"/>
      <c r="P1671" s="234"/>
      <c r="Q1671" s="234"/>
      <c r="R1671" s="234"/>
    </row>
    <row r="1672" spans="8:18" ht="15" customHeight="1" x14ac:dyDescent="0.3">
      <c r="H1672" s="234" t="s">
        <v>3530</v>
      </c>
      <c r="I1672" s="306" t="s">
        <v>3531</v>
      </c>
      <c r="J1672" s="234">
        <f t="shared" si="56"/>
        <v>1.0138607493166103</v>
      </c>
      <c r="K1672" s="315">
        <f t="shared" si="57"/>
        <v>1.3765567648497963E-2</v>
      </c>
      <c r="L1672" s="234"/>
      <c r="M1672" s="234"/>
      <c r="N1672" s="234"/>
      <c r="O1672" s="234"/>
      <c r="P1672" s="234"/>
      <c r="Q1672" s="234"/>
      <c r="R1672" s="234"/>
    </row>
    <row r="1673" spans="8:18" ht="15" customHeight="1" x14ac:dyDescent="0.3">
      <c r="H1673" s="234" t="s">
        <v>3532</v>
      </c>
      <c r="I1673" s="306" t="s">
        <v>3533</v>
      </c>
      <c r="J1673" s="234">
        <f t="shared" si="56"/>
        <v>0.98884848998802166</v>
      </c>
      <c r="K1673" s="315">
        <f t="shared" si="57"/>
        <v>-1.1214154253726143E-2</v>
      </c>
      <c r="L1673" s="234"/>
      <c r="M1673" s="234"/>
      <c r="N1673" s="234"/>
      <c r="O1673" s="234"/>
      <c r="P1673" s="234"/>
      <c r="Q1673" s="234"/>
      <c r="R1673" s="234"/>
    </row>
    <row r="1674" spans="8:18" ht="15" customHeight="1" x14ac:dyDescent="0.3">
      <c r="H1674" s="234" t="s">
        <v>3534</v>
      </c>
      <c r="I1674" s="306" t="s">
        <v>3535</v>
      </c>
      <c r="J1674" s="234">
        <f t="shared" si="56"/>
        <v>1.0134827356524354</v>
      </c>
      <c r="K1674" s="315">
        <f t="shared" si="57"/>
        <v>1.3392652381442074E-2</v>
      </c>
      <c r="L1674" s="234"/>
      <c r="M1674" s="234"/>
      <c r="N1674" s="234"/>
      <c r="O1674" s="234"/>
      <c r="P1674" s="234"/>
      <c r="Q1674" s="234"/>
      <c r="R1674" s="234"/>
    </row>
    <row r="1675" spans="8:18" ht="15" customHeight="1" x14ac:dyDescent="0.3">
      <c r="H1675" s="234" t="s">
        <v>3536</v>
      </c>
      <c r="I1675" s="306" t="s">
        <v>3537</v>
      </c>
      <c r="J1675" s="234">
        <f t="shared" si="56"/>
        <v>1.002228802153432</v>
      </c>
      <c r="K1675" s="315">
        <f t="shared" si="57"/>
        <v>2.2263220583230276E-3</v>
      </c>
      <c r="L1675" s="234"/>
      <c r="M1675" s="234"/>
      <c r="N1675" s="234"/>
      <c r="O1675" s="234"/>
      <c r="P1675" s="234"/>
      <c r="Q1675" s="234"/>
      <c r="R1675" s="234"/>
    </row>
    <row r="1676" spans="8:18" ht="15" customHeight="1" x14ac:dyDescent="0.3">
      <c r="H1676" s="234" t="s">
        <v>3538</v>
      </c>
      <c r="I1676" s="306" t="s">
        <v>3539</v>
      </c>
      <c r="J1676" s="234">
        <f t="shared" si="56"/>
        <v>0.98024211848396259</v>
      </c>
      <c r="K1676" s="315">
        <f t="shared" si="57"/>
        <v>-1.9955678154222944E-2</v>
      </c>
      <c r="L1676" s="234"/>
      <c r="M1676" s="234"/>
      <c r="N1676" s="234"/>
      <c r="O1676" s="234"/>
      <c r="P1676" s="234"/>
      <c r="Q1676" s="234"/>
      <c r="R1676" s="234"/>
    </row>
    <row r="1677" spans="8:18" ht="15" customHeight="1" x14ac:dyDescent="0.3">
      <c r="H1677" s="234" t="s">
        <v>3540</v>
      </c>
      <c r="I1677" s="306" t="s">
        <v>3541</v>
      </c>
      <c r="J1677" s="234">
        <f t="shared" si="56"/>
        <v>0.98742105592262963</v>
      </c>
      <c r="K1677" s="315">
        <f t="shared" si="57"/>
        <v>-1.2658728771990577E-2</v>
      </c>
      <c r="L1677" s="234"/>
      <c r="M1677" s="234"/>
      <c r="N1677" s="234"/>
      <c r="O1677" s="234"/>
      <c r="P1677" s="234"/>
      <c r="Q1677" s="234"/>
      <c r="R1677" s="234"/>
    </row>
    <row r="1678" spans="8:18" ht="15" customHeight="1" x14ac:dyDescent="0.3">
      <c r="H1678" s="234" t="s">
        <v>3542</v>
      </c>
      <c r="I1678" s="306" t="s">
        <v>3543</v>
      </c>
      <c r="J1678" s="234">
        <f t="shared" si="56"/>
        <v>0.99648984339301294</v>
      </c>
      <c r="K1678" s="315">
        <f t="shared" si="57"/>
        <v>-3.5163316611962238E-3</v>
      </c>
      <c r="L1678" s="234"/>
      <c r="M1678" s="234"/>
      <c r="N1678" s="234"/>
      <c r="O1678" s="234"/>
      <c r="P1678" s="234"/>
      <c r="Q1678" s="234"/>
      <c r="R1678" s="234"/>
    </row>
    <row r="1679" spans="8:18" ht="15" customHeight="1" x14ac:dyDescent="0.3">
      <c r="H1679" s="234" t="s">
        <v>3544</v>
      </c>
      <c r="I1679" s="306" t="s">
        <v>3545</v>
      </c>
      <c r="J1679" s="234">
        <f t="shared" si="56"/>
        <v>0.98896945545673032</v>
      </c>
      <c r="K1679" s="315">
        <f t="shared" si="57"/>
        <v>-1.1091832106596179E-2</v>
      </c>
      <c r="L1679" s="234"/>
      <c r="M1679" s="234"/>
      <c r="N1679" s="234"/>
      <c r="O1679" s="234"/>
      <c r="P1679" s="234"/>
      <c r="Q1679" s="234"/>
      <c r="R1679" s="234"/>
    </row>
    <row r="1680" spans="8:18" ht="15" customHeight="1" x14ac:dyDescent="0.3">
      <c r="H1680" s="234" t="s">
        <v>3546</v>
      </c>
      <c r="I1680" s="306" t="s">
        <v>3547</v>
      </c>
      <c r="J1680" s="234">
        <f t="shared" si="56"/>
        <v>1.0026361857687158</v>
      </c>
      <c r="K1680" s="315">
        <f t="shared" si="57"/>
        <v>2.6327171256665645E-3</v>
      </c>
      <c r="L1680" s="234"/>
      <c r="M1680" s="234"/>
      <c r="N1680" s="234"/>
      <c r="O1680" s="234"/>
      <c r="P1680" s="234"/>
      <c r="Q1680" s="234"/>
      <c r="R1680" s="234"/>
    </row>
    <row r="1681" spans="8:18" ht="15" customHeight="1" x14ac:dyDescent="0.3">
      <c r="H1681" s="234" t="s">
        <v>3548</v>
      </c>
      <c r="I1681" s="306" t="s">
        <v>3549</v>
      </c>
      <c r="J1681" s="234">
        <f t="shared" si="56"/>
        <v>1.0082122945628589</v>
      </c>
      <c r="K1681" s="315">
        <f t="shared" si="57"/>
        <v>8.1787571594464318E-3</v>
      </c>
      <c r="L1681" s="234"/>
      <c r="M1681" s="234"/>
      <c r="N1681" s="234"/>
      <c r="O1681" s="234"/>
      <c r="P1681" s="234"/>
      <c r="Q1681" s="234"/>
      <c r="R1681" s="234"/>
    </row>
    <row r="1682" spans="8:18" ht="15" customHeight="1" x14ac:dyDescent="0.3">
      <c r="H1682" s="234" t="s">
        <v>3550</v>
      </c>
      <c r="I1682" s="306" t="s">
        <v>3551</v>
      </c>
      <c r="J1682" s="234">
        <f t="shared" si="56"/>
        <v>1.0192163211749892</v>
      </c>
      <c r="K1682" s="315">
        <f t="shared" si="57"/>
        <v>1.9034019419267804E-2</v>
      </c>
      <c r="L1682" s="234"/>
      <c r="M1682" s="234"/>
      <c r="N1682" s="234"/>
      <c r="O1682" s="234"/>
      <c r="P1682" s="234"/>
      <c r="Q1682" s="234"/>
      <c r="R1682" s="234"/>
    </row>
    <row r="1683" spans="8:18" ht="15" customHeight="1" x14ac:dyDescent="0.3">
      <c r="H1683" s="234" t="s">
        <v>3552</v>
      </c>
      <c r="I1683" s="306" t="s">
        <v>3553</v>
      </c>
      <c r="J1683" s="234">
        <f t="shared" si="56"/>
        <v>0.99068056021469308</v>
      </c>
      <c r="K1683" s="315">
        <f t="shared" si="57"/>
        <v>-9.3631374681124105E-3</v>
      </c>
      <c r="L1683" s="234"/>
      <c r="M1683" s="234"/>
      <c r="N1683" s="234"/>
      <c r="O1683" s="234"/>
      <c r="P1683" s="234"/>
      <c r="Q1683" s="234"/>
      <c r="R1683" s="234"/>
    </row>
    <row r="1684" spans="8:18" ht="15" customHeight="1" x14ac:dyDescent="0.3">
      <c r="H1684" s="234" t="s">
        <v>3554</v>
      </c>
      <c r="I1684" s="306" t="s">
        <v>3555</v>
      </c>
      <c r="J1684" s="234">
        <f t="shared" si="56"/>
        <v>0.99302533780266911</v>
      </c>
      <c r="K1684" s="315">
        <f t="shared" si="57"/>
        <v>-6.9990988449104537E-3</v>
      </c>
      <c r="L1684" s="234"/>
      <c r="M1684" s="234"/>
      <c r="N1684" s="234"/>
      <c r="O1684" s="234"/>
      <c r="P1684" s="234"/>
      <c r="Q1684" s="234"/>
      <c r="R1684" s="234"/>
    </row>
    <row r="1685" spans="8:18" ht="15" customHeight="1" x14ac:dyDescent="0.3">
      <c r="H1685" s="234" t="s">
        <v>3556</v>
      </c>
      <c r="I1685" s="306" t="s">
        <v>3557</v>
      </c>
      <c r="J1685" s="234">
        <f t="shared" si="56"/>
        <v>1.0066964987476814</v>
      </c>
      <c r="K1685" s="315">
        <f t="shared" si="57"/>
        <v>6.6741767971392543E-3</v>
      </c>
      <c r="L1685" s="234"/>
      <c r="M1685" s="234"/>
      <c r="N1685" s="234"/>
      <c r="O1685" s="234"/>
      <c r="P1685" s="234"/>
      <c r="Q1685" s="234"/>
      <c r="R1685" s="234"/>
    </row>
    <row r="1686" spans="8:18" ht="15" customHeight="1" x14ac:dyDescent="0.3">
      <c r="H1686" s="234" t="s">
        <v>3558</v>
      </c>
      <c r="I1686" s="306" t="s">
        <v>3559</v>
      </c>
      <c r="J1686" s="234">
        <f t="shared" si="56"/>
        <v>1.0108154488252368</v>
      </c>
      <c r="K1686" s="315">
        <f t="shared" si="57"/>
        <v>1.0757380175728684E-2</v>
      </c>
      <c r="L1686" s="234"/>
      <c r="M1686" s="234"/>
      <c r="N1686" s="234"/>
      <c r="O1686" s="234"/>
      <c r="P1686" s="234"/>
      <c r="Q1686" s="234"/>
      <c r="R1686" s="234"/>
    </row>
    <row r="1687" spans="8:18" ht="15" customHeight="1" x14ac:dyDescent="0.3">
      <c r="H1687" s="234" t="s">
        <v>3560</v>
      </c>
      <c r="I1687" s="306" t="s">
        <v>3561</v>
      </c>
      <c r="J1687" s="234">
        <f t="shared" si="56"/>
        <v>1.0272140673115635</v>
      </c>
      <c r="K1687" s="315">
        <f t="shared" si="57"/>
        <v>2.6850348672445762E-2</v>
      </c>
      <c r="L1687" s="234"/>
      <c r="M1687" s="234"/>
      <c r="N1687" s="234"/>
      <c r="O1687" s="234"/>
      <c r="P1687" s="234"/>
      <c r="Q1687" s="234"/>
      <c r="R1687" s="234"/>
    </row>
    <row r="1688" spans="8:18" ht="15" customHeight="1" x14ac:dyDescent="0.3">
      <c r="H1688" s="234" t="s">
        <v>3562</v>
      </c>
      <c r="I1688" s="306" t="s">
        <v>3563</v>
      </c>
      <c r="J1688" s="234">
        <f t="shared" si="56"/>
        <v>0.96436404084074001</v>
      </c>
      <c r="K1688" s="315">
        <f t="shared" si="57"/>
        <v>-3.6286419931107532E-2</v>
      </c>
      <c r="L1688" s="234"/>
      <c r="M1688" s="234"/>
      <c r="N1688" s="234"/>
      <c r="O1688" s="234"/>
      <c r="P1688" s="234"/>
      <c r="Q1688" s="234"/>
      <c r="R1688" s="234"/>
    </row>
    <row r="1689" spans="8:18" ht="15" customHeight="1" x14ac:dyDescent="0.3">
      <c r="H1689" s="234" t="s">
        <v>3564</v>
      </c>
      <c r="I1689" s="306" t="s">
        <v>3565</v>
      </c>
      <c r="J1689" s="234">
        <f t="shared" si="56"/>
        <v>1.0173912115130033</v>
      </c>
      <c r="K1689" s="315">
        <f t="shared" si="57"/>
        <v>1.7241715186599119E-2</v>
      </c>
      <c r="L1689" s="234"/>
      <c r="M1689" s="234"/>
      <c r="N1689" s="234"/>
      <c r="O1689" s="234"/>
      <c r="P1689" s="234"/>
      <c r="Q1689" s="234"/>
      <c r="R1689" s="234"/>
    </row>
    <row r="1690" spans="8:18" ht="15" customHeight="1" x14ac:dyDescent="0.3">
      <c r="H1690" s="234" t="s">
        <v>3566</v>
      </c>
      <c r="I1690" s="306" t="s">
        <v>3567</v>
      </c>
      <c r="J1690" s="234">
        <f t="shared" si="56"/>
        <v>0.99928521896836831</v>
      </c>
      <c r="K1690" s="315">
        <f t="shared" si="57"/>
        <v>-7.1503660938863076E-4</v>
      </c>
      <c r="L1690" s="234"/>
      <c r="M1690" s="234"/>
      <c r="N1690" s="234"/>
      <c r="O1690" s="234"/>
      <c r="P1690" s="234"/>
      <c r="Q1690" s="234"/>
      <c r="R1690" s="234"/>
    </row>
    <row r="1691" spans="8:18" ht="15" customHeight="1" x14ac:dyDescent="0.3">
      <c r="H1691" s="234" t="s">
        <v>3568</v>
      </c>
      <c r="I1691" s="306" t="s">
        <v>3569</v>
      </c>
      <c r="J1691" s="234">
        <f t="shared" si="56"/>
        <v>0.96908761953993283</v>
      </c>
      <c r="K1691" s="315">
        <f t="shared" si="57"/>
        <v>-3.1400248537421925E-2</v>
      </c>
      <c r="L1691" s="234"/>
      <c r="M1691" s="234"/>
      <c r="N1691" s="234"/>
      <c r="O1691" s="234"/>
      <c r="P1691" s="234"/>
      <c r="Q1691" s="234"/>
      <c r="R1691" s="234"/>
    </row>
    <row r="1692" spans="8:18" ht="15" customHeight="1" x14ac:dyDescent="0.3">
      <c r="H1692" s="234" t="s">
        <v>3570</v>
      </c>
      <c r="I1692" s="306" t="s">
        <v>3571</v>
      </c>
      <c r="J1692" s="234">
        <f t="shared" si="56"/>
        <v>0.9865770442977938</v>
      </c>
      <c r="K1692" s="315">
        <f t="shared" si="57"/>
        <v>-1.351385793971698E-2</v>
      </c>
      <c r="L1692" s="234"/>
      <c r="M1692" s="234"/>
      <c r="N1692" s="234"/>
      <c r="O1692" s="234"/>
      <c r="P1692" s="234"/>
      <c r="Q1692" s="234"/>
      <c r="R1692" s="234"/>
    </row>
    <row r="1693" spans="8:18" ht="15" customHeight="1" x14ac:dyDescent="0.3">
      <c r="H1693" s="234" t="s">
        <v>3572</v>
      </c>
      <c r="I1693" s="306" t="s">
        <v>3573</v>
      </c>
      <c r="J1693" s="234">
        <f t="shared" si="56"/>
        <v>0.98446599991966899</v>
      </c>
      <c r="K1693" s="315">
        <f t="shared" si="57"/>
        <v>-1.5655916878017619E-2</v>
      </c>
      <c r="L1693" s="234"/>
      <c r="M1693" s="234"/>
      <c r="N1693" s="234"/>
      <c r="O1693" s="234"/>
      <c r="P1693" s="234"/>
      <c r="Q1693" s="234"/>
      <c r="R1693" s="234"/>
    </row>
    <row r="1694" spans="8:18" ht="15" customHeight="1" x14ac:dyDescent="0.3">
      <c r="H1694" s="234" t="s">
        <v>3574</v>
      </c>
      <c r="I1694" s="306" t="s">
        <v>3575</v>
      </c>
      <c r="J1694" s="234">
        <f t="shared" si="56"/>
        <v>0.9959696372673541</v>
      </c>
      <c r="K1694" s="315">
        <f t="shared" si="57"/>
        <v>-4.0385065335370781E-3</v>
      </c>
      <c r="L1694" s="234"/>
      <c r="M1694" s="234"/>
      <c r="N1694" s="234"/>
      <c r="O1694" s="234"/>
      <c r="P1694" s="234"/>
      <c r="Q1694" s="234"/>
      <c r="R1694" s="234"/>
    </row>
    <row r="1695" spans="8:18" ht="15" customHeight="1" x14ac:dyDescent="0.3">
      <c r="H1695" s="234" t="s">
        <v>3576</v>
      </c>
      <c r="I1695" s="306" t="s">
        <v>3577</v>
      </c>
      <c r="J1695" s="234">
        <f t="shared" si="56"/>
        <v>1.0085736476331688</v>
      </c>
      <c r="K1695" s="315">
        <f t="shared" si="57"/>
        <v>8.5371026502755569E-3</v>
      </c>
      <c r="L1695" s="234"/>
      <c r="M1695" s="234"/>
      <c r="N1695" s="234"/>
      <c r="O1695" s="234"/>
      <c r="P1695" s="234"/>
      <c r="Q1695" s="234"/>
      <c r="R1695" s="234"/>
    </row>
    <row r="1696" spans="8:18" ht="15" customHeight="1" x14ac:dyDescent="0.3">
      <c r="H1696" s="234" t="s">
        <v>3578</v>
      </c>
      <c r="I1696" s="306" t="s">
        <v>3579</v>
      </c>
      <c r="J1696" s="234">
        <f t="shared" si="56"/>
        <v>1.0054358298260737</v>
      </c>
      <c r="K1696" s="315">
        <f t="shared" si="57"/>
        <v>5.4211090255403644E-3</v>
      </c>
      <c r="L1696" s="234"/>
      <c r="M1696" s="234"/>
      <c r="N1696" s="234"/>
      <c r="O1696" s="234"/>
      <c r="P1696" s="234"/>
      <c r="Q1696" s="234"/>
      <c r="R1696" s="234"/>
    </row>
    <row r="1697" spans="8:18" ht="15" customHeight="1" x14ac:dyDescent="0.3">
      <c r="H1697" s="234" t="s">
        <v>3580</v>
      </c>
      <c r="I1697" s="306" t="s">
        <v>3581</v>
      </c>
      <c r="J1697" s="234">
        <f t="shared" si="56"/>
        <v>0.9969667863100955</v>
      </c>
      <c r="K1697" s="315">
        <f t="shared" si="57"/>
        <v>-3.0378232060069366E-3</v>
      </c>
      <c r="L1697" s="234"/>
      <c r="M1697" s="234"/>
      <c r="N1697" s="234"/>
      <c r="O1697" s="234"/>
      <c r="P1697" s="234"/>
      <c r="Q1697" s="234"/>
      <c r="R1697" s="234"/>
    </row>
    <row r="1698" spans="8:18" ht="15" customHeight="1" x14ac:dyDescent="0.3">
      <c r="H1698" s="234" t="s">
        <v>3582</v>
      </c>
      <c r="I1698" s="306" t="s">
        <v>3583</v>
      </c>
      <c r="J1698" s="234">
        <f t="shared" si="56"/>
        <v>1.0109781153213193</v>
      </c>
      <c r="K1698" s="315">
        <f t="shared" si="57"/>
        <v>1.0918293237594325E-2</v>
      </c>
      <c r="L1698" s="234"/>
      <c r="M1698" s="234"/>
      <c r="N1698" s="234"/>
      <c r="O1698" s="234"/>
      <c r="P1698" s="234"/>
      <c r="Q1698" s="234"/>
      <c r="R1698" s="234"/>
    </row>
    <row r="1699" spans="8:18" ht="15" customHeight="1" x14ac:dyDescent="0.3">
      <c r="H1699" s="234" t="s">
        <v>3584</v>
      </c>
      <c r="I1699" s="306" t="s">
        <v>3585</v>
      </c>
      <c r="J1699" s="234">
        <f t="shared" si="56"/>
        <v>0.99788857381831531</v>
      </c>
      <c r="K1699" s="315">
        <f t="shared" si="57"/>
        <v>-2.1136583845862934E-3</v>
      </c>
      <c r="L1699" s="234"/>
      <c r="M1699" s="234"/>
      <c r="N1699" s="234"/>
      <c r="O1699" s="234"/>
      <c r="P1699" s="234"/>
      <c r="Q1699" s="234"/>
      <c r="R1699" s="234"/>
    </row>
    <row r="1700" spans="8:18" ht="15" customHeight="1" x14ac:dyDescent="0.3">
      <c r="H1700" s="234" t="s">
        <v>3586</v>
      </c>
      <c r="I1700" s="306" t="s">
        <v>3454</v>
      </c>
      <c r="J1700" s="234">
        <f t="shared" si="56"/>
        <v>1.0278243730604713</v>
      </c>
      <c r="K1700" s="315">
        <f t="shared" si="57"/>
        <v>2.7444309111200074E-2</v>
      </c>
      <c r="L1700" s="234"/>
      <c r="M1700" s="234"/>
      <c r="N1700" s="234"/>
      <c r="O1700" s="234"/>
      <c r="P1700" s="234"/>
      <c r="Q1700" s="234"/>
      <c r="R1700" s="234"/>
    </row>
    <row r="1701" spans="8:18" ht="15" customHeight="1" x14ac:dyDescent="0.3">
      <c r="H1701" s="234" t="s">
        <v>3587</v>
      </c>
      <c r="I1701" s="306" t="s">
        <v>3588</v>
      </c>
      <c r="J1701" s="234">
        <f t="shared" si="56"/>
        <v>1.0110663557345771</v>
      </c>
      <c r="K1701" s="315">
        <f t="shared" si="57"/>
        <v>1.1005571647715316E-2</v>
      </c>
      <c r="L1701" s="234"/>
      <c r="M1701" s="234"/>
      <c r="N1701" s="234"/>
      <c r="O1701" s="234"/>
      <c r="P1701" s="234"/>
      <c r="Q1701" s="234"/>
      <c r="R1701" s="234"/>
    </row>
    <row r="1702" spans="8:18" ht="15" customHeight="1" x14ac:dyDescent="0.3">
      <c r="H1702" s="234" t="s">
        <v>3589</v>
      </c>
      <c r="I1702" s="306" t="s">
        <v>3590</v>
      </c>
      <c r="J1702" s="234">
        <f t="shared" si="56"/>
        <v>1.0013161246497411</v>
      </c>
      <c r="K1702" s="315">
        <f t="shared" si="57"/>
        <v>1.3152593168683083E-3</v>
      </c>
      <c r="L1702" s="234"/>
      <c r="M1702" s="234"/>
      <c r="N1702" s="234"/>
      <c r="O1702" s="234"/>
      <c r="P1702" s="234"/>
      <c r="Q1702" s="234"/>
      <c r="R1702" s="234"/>
    </row>
    <row r="1703" spans="8:18" ht="15" customHeight="1" x14ac:dyDescent="0.3">
      <c r="H1703" s="234" t="s">
        <v>3591</v>
      </c>
      <c r="I1703" s="306" t="s">
        <v>3592</v>
      </c>
      <c r="J1703" s="234">
        <f t="shared" si="56"/>
        <v>0.99589869350133187</v>
      </c>
      <c r="K1703" s="315">
        <f t="shared" si="57"/>
        <v>-4.109739922769042E-3</v>
      </c>
      <c r="L1703" s="234"/>
      <c r="M1703" s="234"/>
      <c r="N1703" s="234"/>
      <c r="O1703" s="234"/>
      <c r="P1703" s="234"/>
      <c r="Q1703" s="234"/>
      <c r="R1703" s="234"/>
    </row>
    <row r="1704" spans="8:18" ht="15" customHeight="1" x14ac:dyDescent="0.3">
      <c r="H1704" s="234" t="s">
        <v>3593</v>
      </c>
      <c r="I1704" s="306" t="s">
        <v>2816</v>
      </c>
      <c r="J1704" s="234">
        <f t="shared" si="56"/>
        <v>0.98974723803146969</v>
      </c>
      <c r="K1704" s="315">
        <f t="shared" si="57"/>
        <v>-1.0305683571682912E-2</v>
      </c>
      <c r="L1704" s="234"/>
      <c r="M1704" s="234"/>
      <c r="N1704" s="234"/>
      <c r="O1704" s="234"/>
      <c r="P1704" s="234"/>
      <c r="Q1704" s="234"/>
      <c r="R1704" s="234"/>
    </row>
    <row r="1705" spans="8:18" ht="15" customHeight="1" x14ac:dyDescent="0.3">
      <c r="H1705" s="234" t="s">
        <v>3594</v>
      </c>
      <c r="I1705" s="306" t="s">
        <v>3595</v>
      </c>
      <c r="J1705" s="234">
        <f t="shared" si="56"/>
        <v>0.98229315465485523</v>
      </c>
      <c r="K1705" s="315">
        <f t="shared" si="57"/>
        <v>-1.7865487016569617E-2</v>
      </c>
      <c r="L1705" s="234"/>
      <c r="M1705" s="234"/>
      <c r="N1705" s="234"/>
      <c r="O1705" s="234"/>
      <c r="P1705" s="234"/>
      <c r="Q1705" s="234"/>
      <c r="R1705" s="234"/>
    </row>
    <row r="1706" spans="8:18" ht="15" customHeight="1" x14ac:dyDescent="0.3">
      <c r="H1706" s="234" t="s">
        <v>3596</v>
      </c>
      <c r="I1706" s="306" t="s">
        <v>3597</v>
      </c>
      <c r="J1706" s="234">
        <f t="shared" si="56"/>
        <v>0.99697752095243952</v>
      </c>
      <c r="K1706" s="315">
        <f t="shared" si="57"/>
        <v>-3.0270559621024518E-3</v>
      </c>
      <c r="L1706" s="234"/>
      <c r="M1706" s="234"/>
      <c r="N1706" s="234"/>
      <c r="O1706" s="234"/>
      <c r="P1706" s="234"/>
      <c r="Q1706" s="234"/>
      <c r="R1706" s="234"/>
    </row>
    <row r="1707" spans="8:18" ht="15" customHeight="1" x14ac:dyDescent="0.3">
      <c r="H1707" s="234" t="s">
        <v>3598</v>
      </c>
      <c r="I1707" s="306" t="s">
        <v>3599</v>
      </c>
      <c r="J1707" s="234">
        <f t="shared" si="56"/>
        <v>1.0037021040291232</v>
      </c>
      <c r="K1707" s="315">
        <f t="shared" si="57"/>
        <v>3.6952681083338009E-3</v>
      </c>
      <c r="L1707" s="234"/>
      <c r="M1707" s="234"/>
      <c r="N1707" s="234"/>
      <c r="O1707" s="234"/>
      <c r="P1707" s="234"/>
      <c r="Q1707" s="234"/>
      <c r="R1707" s="234"/>
    </row>
    <row r="1708" spans="8:18" ht="15" customHeight="1" x14ac:dyDescent="0.3">
      <c r="H1708" s="234" t="s">
        <v>3600</v>
      </c>
      <c r="I1708" s="306" t="s">
        <v>3601</v>
      </c>
      <c r="J1708" s="234">
        <f t="shared" si="56"/>
        <v>0.99347166457228675</v>
      </c>
      <c r="K1708" s="315">
        <f t="shared" si="57"/>
        <v>-6.549738209989369E-3</v>
      </c>
      <c r="L1708" s="234"/>
      <c r="M1708" s="234"/>
      <c r="N1708" s="234"/>
      <c r="O1708" s="234"/>
      <c r="P1708" s="234"/>
      <c r="Q1708" s="234"/>
      <c r="R1708" s="234"/>
    </row>
    <row r="1709" spans="8:18" ht="15" customHeight="1" x14ac:dyDescent="0.3">
      <c r="H1709" s="234" t="s">
        <v>3602</v>
      </c>
      <c r="I1709" s="306" t="s">
        <v>3603</v>
      </c>
      <c r="J1709" s="234">
        <f t="shared" si="56"/>
        <v>1.0098216220119882</v>
      </c>
      <c r="K1709" s="315">
        <f t="shared" si="57"/>
        <v>9.7737033861367735E-3</v>
      </c>
      <c r="L1709" s="234"/>
      <c r="M1709" s="234"/>
      <c r="N1709" s="234"/>
      <c r="O1709" s="234"/>
      <c r="P1709" s="234"/>
      <c r="Q1709" s="234"/>
      <c r="R1709" s="234"/>
    </row>
    <row r="1710" spans="8:18" ht="15" customHeight="1" x14ac:dyDescent="0.3">
      <c r="H1710" s="234" t="s">
        <v>3604</v>
      </c>
      <c r="I1710" s="306" t="s">
        <v>3605</v>
      </c>
      <c r="J1710" s="234">
        <f t="shared" si="56"/>
        <v>1.0039670209019536</v>
      </c>
      <c r="K1710" s="315">
        <f t="shared" si="57"/>
        <v>3.9591730228221295E-3</v>
      </c>
      <c r="L1710" s="234"/>
      <c r="M1710" s="234"/>
      <c r="N1710" s="234"/>
      <c r="O1710" s="234"/>
      <c r="P1710" s="234"/>
      <c r="Q1710" s="234"/>
      <c r="R1710" s="234"/>
    </row>
    <row r="1711" spans="8:18" ht="15" customHeight="1" x14ac:dyDescent="0.3">
      <c r="H1711" s="234" t="s">
        <v>3606</v>
      </c>
      <c r="I1711" s="306" t="s">
        <v>3607</v>
      </c>
      <c r="J1711" s="234">
        <f t="shared" si="56"/>
        <v>0.98858295532505303</v>
      </c>
      <c r="K1711" s="315">
        <f t="shared" si="57"/>
        <v>-1.1482719482820716E-2</v>
      </c>
      <c r="L1711" s="234"/>
      <c r="M1711" s="234"/>
      <c r="N1711" s="234"/>
      <c r="O1711" s="234"/>
      <c r="P1711" s="234"/>
      <c r="Q1711" s="234"/>
      <c r="R1711" s="234"/>
    </row>
    <row r="1712" spans="8:18" ht="15" customHeight="1" x14ac:dyDescent="0.3">
      <c r="H1712" s="234" t="s">
        <v>3608</v>
      </c>
      <c r="I1712" s="306" t="s">
        <v>3609</v>
      </c>
      <c r="J1712" s="234">
        <f t="shared" si="56"/>
        <v>1.0118947706526582</v>
      </c>
      <c r="K1712" s="315">
        <f t="shared" si="57"/>
        <v>1.1824583890296159E-2</v>
      </c>
      <c r="L1712" s="234"/>
      <c r="M1712" s="234"/>
      <c r="N1712" s="234"/>
      <c r="O1712" s="234"/>
      <c r="P1712" s="234"/>
      <c r="Q1712" s="234"/>
      <c r="R1712" s="234"/>
    </row>
    <row r="1713" spans="8:18" ht="15" customHeight="1" x14ac:dyDescent="0.3">
      <c r="H1713" s="234" t="s">
        <v>3610</v>
      </c>
      <c r="I1713" s="306" t="s">
        <v>3611</v>
      </c>
      <c r="J1713" s="234">
        <f t="shared" si="56"/>
        <v>0.98960287920268231</v>
      </c>
      <c r="K1713" s="315">
        <f t="shared" si="57"/>
        <v>-1.045154844701387E-2</v>
      </c>
      <c r="L1713" s="234"/>
      <c r="M1713" s="234"/>
      <c r="N1713" s="234"/>
      <c r="O1713" s="234"/>
      <c r="P1713" s="234"/>
      <c r="Q1713" s="234"/>
      <c r="R1713" s="234"/>
    </row>
    <row r="1714" spans="8:18" ht="15" customHeight="1" x14ac:dyDescent="0.3">
      <c r="H1714" s="234" t="s">
        <v>3612</v>
      </c>
      <c r="I1714" s="306" t="s">
        <v>3613</v>
      </c>
      <c r="J1714" s="234">
        <f t="shared" si="56"/>
        <v>0.99502117022904657</v>
      </c>
      <c r="K1714" s="315">
        <f t="shared" si="57"/>
        <v>-4.9912654377810778E-3</v>
      </c>
      <c r="L1714" s="234"/>
      <c r="M1714" s="234"/>
      <c r="N1714" s="234"/>
      <c r="O1714" s="234"/>
      <c r="P1714" s="234"/>
      <c r="Q1714" s="234"/>
      <c r="R1714" s="234"/>
    </row>
    <row r="1715" spans="8:18" ht="15" customHeight="1" x14ac:dyDescent="0.3">
      <c r="H1715" s="234" t="s">
        <v>3614</v>
      </c>
      <c r="I1715" s="306" t="s">
        <v>3615</v>
      </c>
      <c r="J1715" s="234">
        <f t="shared" si="56"/>
        <v>1.0226620619137547</v>
      </c>
      <c r="K1715" s="315">
        <f t="shared" si="57"/>
        <v>2.2409092134867296E-2</v>
      </c>
      <c r="L1715" s="234"/>
      <c r="M1715" s="234"/>
      <c r="N1715" s="234"/>
      <c r="O1715" s="234"/>
      <c r="P1715" s="234"/>
      <c r="Q1715" s="234"/>
      <c r="R1715" s="234"/>
    </row>
    <row r="1716" spans="8:18" ht="15" customHeight="1" x14ac:dyDescent="0.3">
      <c r="H1716" s="234" t="s">
        <v>3616</v>
      </c>
      <c r="I1716" s="306" t="s">
        <v>3617</v>
      </c>
      <c r="J1716" s="234">
        <f t="shared" si="56"/>
        <v>0.99661013424284328</v>
      </c>
      <c r="K1716" s="315">
        <f t="shared" si="57"/>
        <v>-3.3956243697144581E-3</v>
      </c>
      <c r="L1716" s="234"/>
      <c r="M1716" s="234"/>
      <c r="N1716" s="234"/>
      <c r="O1716" s="234"/>
      <c r="P1716" s="234"/>
      <c r="Q1716" s="234"/>
      <c r="R1716" s="234"/>
    </row>
    <row r="1717" spans="8:18" ht="15" customHeight="1" x14ac:dyDescent="0.3">
      <c r="H1717" s="234" t="s">
        <v>3618</v>
      </c>
      <c r="I1717" s="306" t="s">
        <v>3619</v>
      </c>
      <c r="J1717" s="234">
        <f t="shared" si="56"/>
        <v>1.0185236178775683</v>
      </c>
      <c r="K1717" s="315">
        <f t="shared" si="57"/>
        <v>1.8354145299094019E-2</v>
      </c>
      <c r="L1717" s="234"/>
      <c r="M1717" s="234"/>
      <c r="N1717" s="234"/>
      <c r="O1717" s="234"/>
      <c r="P1717" s="234"/>
      <c r="Q1717" s="234"/>
      <c r="R1717" s="234"/>
    </row>
    <row r="1718" spans="8:18" ht="15" customHeight="1" x14ac:dyDescent="0.3">
      <c r="H1718" s="234" t="s">
        <v>3620</v>
      </c>
      <c r="I1718" s="306" t="s">
        <v>3621</v>
      </c>
      <c r="J1718" s="234">
        <f t="shared" si="56"/>
        <v>0.99023607513292988</v>
      </c>
      <c r="K1718" s="315">
        <f t="shared" si="57"/>
        <v>-9.8119045502716665E-3</v>
      </c>
      <c r="L1718" s="234"/>
      <c r="M1718" s="234"/>
      <c r="N1718" s="234"/>
      <c r="O1718" s="234"/>
      <c r="P1718" s="234"/>
      <c r="Q1718" s="234"/>
      <c r="R1718" s="234"/>
    </row>
    <row r="1719" spans="8:18" ht="15" customHeight="1" x14ac:dyDescent="0.3">
      <c r="H1719" s="234" t="s">
        <v>3622</v>
      </c>
      <c r="I1719" s="306" t="s">
        <v>3623</v>
      </c>
      <c r="J1719" s="234">
        <f t="shared" si="56"/>
        <v>1.010063452717662</v>
      </c>
      <c r="K1719" s="315">
        <f t="shared" si="57"/>
        <v>1.0013153352726165E-2</v>
      </c>
      <c r="L1719" s="234"/>
      <c r="M1719" s="234"/>
      <c r="N1719" s="234"/>
      <c r="O1719" s="234"/>
      <c r="P1719" s="234"/>
      <c r="Q1719" s="234"/>
      <c r="R1719" s="234"/>
    </row>
    <row r="1720" spans="8:18" ht="15" customHeight="1" x14ac:dyDescent="0.3">
      <c r="H1720" s="234" t="s">
        <v>3624</v>
      </c>
      <c r="I1720" s="306" t="s">
        <v>3625</v>
      </c>
      <c r="J1720" s="234">
        <f t="shared" si="56"/>
        <v>0.99732710714813955</v>
      </c>
      <c r="K1720" s="315">
        <f t="shared" si="57"/>
        <v>-2.6764714081132235E-3</v>
      </c>
      <c r="L1720" s="234"/>
      <c r="M1720" s="234"/>
      <c r="N1720" s="234"/>
      <c r="O1720" s="234"/>
      <c r="P1720" s="234"/>
      <c r="Q1720" s="234"/>
      <c r="R1720" s="234"/>
    </row>
    <row r="1721" spans="8:18" ht="15" customHeight="1" x14ac:dyDescent="0.3">
      <c r="H1721" s="234" t="s">
        <v>3626</v>
      </c>
      <c r="I1721" s="306" t="s">
        <v>3627</v>
      </c>
      <c r="J1721" s="234">
        <f t="shared" si="56"/>
        <v>0.96283110225007118</v>
      </c>
      <c r="K1721" s="315">
        <f t="shared" si="57"/>
        <v>-3.7877269637699683E-2</v>
      </c>
      <c r="L1721" s="234"/>
      <c r="M1721" s="234"/>
      <c r="N1721" s="234"/>
      <c r="O1721" s="234"/>
      <c r="P1721" s="234"/>
      <c r="Q1721" s="234"/>
      <c r="R1721" s="234"/>
    </row>
    <row r="1722" spans="8:18" ht="15" customHeight="1" x14ac:dyDescent="0.3">
      <c r="H1722" s="234" t="s">
        <v>3628</v>
      </c>
      <c r="I1722" s="306" t="s">
        <v>3629</v>
      </c>
      <c r="J1722" s="234">
        <f t="shared" si="56"/>
        <v>0.9971700122734235</v>
      </c>
      <c r="K1722" s="315">
        <f t="shared" si="57"/>
        <v>-2.8339997128785546E-3</v>
      </c>
      <c r="L1722" s="234"/>
      <c r="M1722" s="234"/>
      <c r="N1722" s="234"/>
      <c r="O1722" s="234"/>
      <c r="P1722" s="234"/>
      <c r="Q1722" s="234"/>
      <c r="R1722" s="234"/>
    </row>
    <row r="1723" spans="8:18" ht="15" customHeight="1" x14ac:dyDescent="0.3">
      <c r="H1723" s="234" t="s">
        <v>3630</v>
      </c>
      <c r="I1723" s="306" t="s">
        <v>3631</v>
      </c>
      <c r="J1723" s="234">
        <f t="shared" si="56"/>
        <v>1.0074186856868415</v>
      </c>
      <c r="K1723" s="315">
        <f t="shared" si="57"/>
        <v>7.3913025858638815E-3</v>
      </c>
      <c r="L1723" s="234"/>
      <c r="M1723" s="234"/>
      <c r="N1723" s="234"/>
      <c r="O1723" s="234"/>
      <c r="P1723" s="234"/>
      <c r="Q1723" s="234"/>
      <c r="R1723" s="234"/>
    </row>
    <row r="1724" spans="8:18" ht="15" customHeight="1" x14ac:dyDescent="0.3">
      <c r="H1724" s="234" t="s">
        <v>3632</v>
      </c>
      <c r="I1724" s="306" t="s">
        <v>3633</v>
      </c>
      <c r="J1724" s="234">
        <f t="shared" si="56"/>
        <v>1.0047846398685765</v>
      </c>
      <c r="K1724" s="315">
        <f t="shared" si="57"/>
        <v>4.7732298599540137E-3</v>
      </c>
      <c r="L1724" s="234"/>
      <c r="M1724" s="234"/>
      <c r="N1724" s="234"/>
      <c r="O1724" s="234"/>
      <c r="P1724" s="234"/>
      <c r="Q1724" s="234"/>
      <c r="R1724" s="234"/>
    </row>
    <row r="1725" spans="8:18" ht="15" customHeight="1" x14ac:dyDescent="0.3">
      <c r="H1725" s="234" t="s">
        <v>3634</v>
      </c>
      <c r="I1725" s="306" t="s">
        <v>3635</v>
      </c>
      <c r="J1725" s="234">
        <f t="shared" si="56"/>
        <v>1.004113571693678</v>
      </c>
      <c r="K1725" s="315">
        <f t="shared" si="57"/>
        <v>4.1051340888520393E-3</v>
      </c>
      <c r="L1725" s="234"/>
      <c r="M1725" s="234"/>
      <c r="N1725" s="234"/>
      <c r="O1725" s="234"/>
      <c r="P1725" s="234"/>
      <c r="Q1725" s="234"/>
      <c r="R1725" s="234"/>
    </row>
    <row r="1726" spans="8:18" ht="15" customHeight="1" x14ac:dyDescent="0.3">
      <c r="H1726" s="234" t="s">
        <v>3636</v>
      </c>
      <c r="I1726" s="306" t="s">
        <v>3637</v>
      </c>
      <c r="J1726" s="234">
        <f t="shared" si="56"/>
        <v>1.0141463567642168</v>
      </c>
      <c r="K1726" s="315">
        <f t="shared" si="57"/>
        <v>1.4047230812930037E-2</v>
      </c>
      <c r="L1726" s="234"/>
      <c r="M1726" s="234"/>
      <c r="N1726" s="234"/>
      <c r="O1726" s="234"/>
      <c r="P1726" s="234"/>
      <c r="Q1726" s="234"/>
      <c r="R1726" s="234"/>
    </row>
    <row r="1727" spans="8:18" ht="15" customHeight="1" x14ac:dyDescent="0.3">
      <c r="H1727" s="234" t="s">
        <v>3638</v>
      </c>
      <c r="I1727" s="306" t="s">
        <v>3639</v>
      </c>
      <c r="J1727" s="234">
        <f t="shared" si="56"/>
        <v>1.0014134941575574</v>
      </c>
      <c r="K1727" s="315">
        <f t="shared" si="57"/>
        <v>1.4124961150648264E-3</v>
      </c>
      <c r="L1727" s="234"/>
      <c r="M1727" s="234"/>
      <c r="N1727" s="234"/>
      <c r="O1727" s="234"/>
      <c r="P1727" s="234"/>
      <c r="Q1727" s="234"/>
      <c r="R1727" s="234"/>
    </row>
    <row r="1728" spans="8:18" ht="15" customHeight="1" x14ac:dyDescent="0.3">
      <c r="H1728" s="234" t="s">
        <v>3640</v>
      </c>
      <c r="I1728" s="306" t="s">
        <v>3641</v>
      </c>
      <c r="J1728" s="234">
        <f t="shared" si="56"/>
        <v>0.97782419067510284</v>
      </c>
      <c r="K1728" s="315">
        <f t="shared" si="57"/>
        <v>-2.2425389242715282E-2</v>
      </c>
      <c r="L1728" s="234"/>
      <c r="M1728" s="234"/>
      <c r="N1728" s="234"/>
      <c r="O1728" s="234"/>
      <c r="P1728" s="234"/>
      <c r="Q1728" s="234"/>
      <c r="R1728" s="234"/>
    </row>
    <row r="1729" spans="8:18" ht="15" customHeight="1" x14ac:dyDescent="0.3">
      <c r="H1729" s="234" t="s">
        <v>3642</v>
      </c>
      <c r="I1729" s="306" t="s">
        <v>3643</v>
      </c>
      <c r="J1729" s="234">
        <f t="shared" si="56"/>
        <v>1.0115578201702604</v>
      </c>
      <c r="K1729" s="315">
        <f t="shared" si="57"/>
        <v>1.1491538790015085E-2</v>
      </c>
      <c r="L1729" s="234"/>
      <c r="M1729" s="234"/>
      <c r="N1729" s="234"/>
      <c r="O1729" s="234"/>
      <c r="P1729" s="234"/>
      <c r="Q1729" s="234"/>
      <c r="R1729" s="234"/>
    </row>
    <row r="1730" spans="8:18" ht="15" customHeight="1" x14ac:dyDescent="0.3">
      <c r="H1730" s="234" t="s">
        <v>3644</v>
      </c>
      <c r="I1730" s="306" t="s">
        <v>3645</v>
      </c>
      <c r="J1730" s="234">
        <f t="shared" si="56"/>
        <v>1.01516043567854</v>
      </c>
      <c r="K1730" s="315">
        <f t="shared" si="57"/>
        <v>1.5046664710762096E-2</v>
      </c>
      <c r="L1730" s="234"/>
      <c r="M1730" s="234"/>
      <c r="N1730" s="234"/>
      <c r="O1730" s="234"/>
      <c r="P1730" s="234"/>
      <c r="Q1730" s="234"/>
      <c r="R1730" s="234"/>
    </row>
    <row r="1731" spans="8:18" ht="15" customHeight="1" x14ac:dyDescent="0.3">
      <c r="H1731" s="234" t="s">
        <v>3646</v>
      </c>
      <c r="I1731" s="306" t="s">
        <v>3647</v>
      </c>
      <c r="J1731" s="234">
        <f t="shared" si="56"/>
        <v>0.99070910757436881</v>
      </c>
      <c r="K1731" s="315">
        <f t="shared" si="57"/>
        <v>-9.334321975489444E-3</v>
      </c>
      <c r="L1731" s="234"/>
      <c r="M1731" s="234"/>
      <c r="N1731" s="234"/>
      <c r="O1731" s="234"/>
      <c r="P1731" s="234"/>
      <c r="Q1731" s="234"/>
      <c r="R1731" s="234"/>
    </row>
    <row r="1732" spans="8:18" ht="15" customHeight="1" x14ac:dyDescent="0.3">
      <c r="H1732" s="234" t="s">
        <v>3648</v>
      </c>
      <c r="I1732" s="306" t="s">
        <v>3649</v>
      </c>
      <c r="J1732" s="234">
        <f t="shared" si="56"/>
        <v>0.99911544025059063</v>
      </c>
      <c r="K1732" s="315">
        <f t="shared" si="57"/>
        <v>-8.8495120324440745E-4</v>
      </c>
      <c r="L1732" s="234"/>
      <c r="M1732" s="234"/>
      <c r="N1732" s="234"/>
      <c r="O1732" s="234"/>
      <c r="P1732" s="234"/>
      <c r="Q1732" s="234"/>
      <c r="R1732" s="234"/>
    </row>
    <row r="1733" spans="8:18" ht="15" customHeight="1" x14ac:dyDescent="0.3">
      <c r="H1733" s="234" t="s">
        <v>3650</v>
      </c>
      <c r="I1733" s="306" t="s">
        <v>3651</v>
      </c>
      <c r="J1733" s="234">
        <f t="shared" ref="J1733:J1796" si="58">I1733/I1734</f>
        <v>1.0074119891808022</v>
      </c>
      <c r="K1733" s="315">
        <f t="shared" ref="K1733:K1796" si="59">LN(J1733)</f>
        <v>7.3846553711646081E-3</v>
      </c>
      <c r="L1733" s="234"/>
      <c r="M1733" s="234"/>
      <c r="N1733" s="234"/>
      <c r="O1733" s="234"/>
      <c r="P1733" s="234"/>
      <c r="Q1733" s="234"/>
      <c r="R1733" s="234"/>
    </row>
    <row r="1734" spans="8:18" ht="15" customHeight="1" x14ac:dyDescent="0.3">
      <c r="H1734" s="234" t="s">
        <v>3652</v>
      </c>
      <c r="I1734" s="306" t="s">
        <v>3653</v>
      </c>
      <c r="J1734" s="234">
        <f t="shared" si="58"/>
        <v>1.0105198478700752</v>
      </c>
      <c r="K1734" s="315">
        <f t="shared" si="59"/>
        <v>1.0464899301573748E-2</v>
      </c>
      <c r="L1734" s="234"/>
      <c r="M1734" s="234"/>
      <c r="N1734" s="234"/>
      <c r="O1734" s="234"/>
      <c r="P1734" s="234"/>
      <c r="Q1734" s="234"/>
      <c r="R1734" s="234"/>
    </row>
    <row r="1735" spans="8:18" ht="15" customHeight="1" x14ac:dyDescent="0.3">
      <c r="H1735" s="234" t="s">
        <v>3654</v>
      </c>
      <c r="I1735" s="306" t="s">
        <v>3655</v>
      </c>
      <c r="J1735" s="234">
        <f t="shared" si="58"/>
        <v>1.0035723019020382</v>
      </c>
      <c r="K1735" s="315">
        <f t="shared" si="59"/>
        <v>3.5659363867889962E-3</v>
      </c>
      <c r="L1735" s="234"/>
      <c r="M1735" s="234"/>
      <c r="N1735" s="234"/>
      <c r="O1735" s="234"/>
      <c r="P1735" s="234"/>
      <c r="Q1735" s="234"/>
      <c r="R1735" s="234"/>
    </row>
    <row r="1736" spans="8:18" ht="15" customHeight="1" x14ac:dyDescent="0.3">
      <c r="H1736" s="234" t="s">
        <v>3656</v>
      </c>
      <c r="I1736" s="306" t="s">
        <v>3657</v>
      </c>
      <c r="J1736" s="234">
        <f t="shared" si="58"/>
        <v>0.99558608717742447</v>
      </c>
      <c r="K1736" s="315">
        <f t="shared" si="59"/>
        <v>-4.423682895879179E-3</v>
      </c>
      <c r="L1736" s="234"/>
      <c r="M1736" s="234"/>
      <c r="N1736" s="234"/>
      <c r="O1736" s="234"/>
      <c r="P1736" s="234"/>
      <c r="Q1736" s="234"/>
      <c r="R1736" s="234"/>
    </row>
    <row r="1737" spans="8:18" ht="15" customHeight="1" x14ac:dyDescent="0.3">
      <c r="H1737" s="234" t="s">
        <v>3658</v>
      </c>
      <c r="I1737" s="306" t="s">
        <v>3659</v>
      </c>
      <c r="J1737" s="234">
        <f t="shared" si="58"/>
        <v>1.0088525815580116</v>
      </c>
      <c r="K1737" s="315">
        <f t="shared" si="59"/>
        <v>8.8136271869194895E-3</v>
      </c>
      <c r="L1737" s="234"/>
      <c r="M1737" s="234"/>
      <c r="N1737" s="234"/>
      <c r="O1737" s="234"/>
      <c r="P1737" s="234"/>
      <c r="Q1737" s="234"/>
      <c r="R1737" s="234"/>
    </row>
    <row r="1738" spans="8:18" ht="15" customHeight="1" x14ac:dyDescent="0.3">
      <c r="H1738" s="234" t="s">
        <v>3660</v>
      </c>
      <c r="I1738" s="306" t="s">
        <v>3661</v>
      </c>
      <c r="J1738" s="234">
        <f t="shared" si="58"/>
        <v>0.99828369187472021</v>
      </c>
      <c r="K1738" s="315">
        <f t="shared" si="59"/>
        <v>-1.7177826694932449E-3</v>
      </c>
      <c r="L1738" s="234"/>
      <c r="M1738" s="234"/>
      <c r="N1738" s="234"/>
      <c r="O1738" s="234"/>
      <c r="P1738" s="234"/>
      <c r="Q1738" s="234"/>
      <c r="R1738" s="234"/>
    </row>
    <row r="1739" spans="8:18" ht="15" customHeight="1" x14ac:dyDescent="0.3">
      <c r="H1739" s="234" t="s">
        <v>3662</v>
      </c>
      <c r="I1739" s="306" t="s">
        <v>3663</v>
      </c>
      <c r="J1739" s="234">
        <f t="shared" si="58"/>
        <v>1.0022115620893386</v>
      </c>
      <c r="K1739" s="315">
        <f t="shared" si="59"/>
        <v>2.2091201855196281E-3</v>
      </c>
      <c r="L1739" s="234"/>
      <c r="M1739" s="234"/>
      <c r="N1739" s="234"/>
      <c r="O1739" s="234"/>
      <c r="P1739" s="234"/>
      <c r="Q1739" s="234"/>
      <c r="R1739" s="234"/>
    </row>
    <row r="1740" spans="8:18" ht="15" customHeight="1" x14ac:dyDescent="0.3">
      <c r="H1740" s="234" t="s">
        <v>3664</v>
      </c>
      <c r="I1740" s="306" t="s">
        <v>3665</v>
      </c>
      <c r="J1740" s="234">
        <f t="shared" si="58"/>
        <v>1.0170156356958917</v>
      </c>
      <c r="K1740" s="315">
        <f t="shared" si="59"/>
        <v>1.687249128048263E-2</v>
      </c>
      <c r="L1740" s="234"/>
      <c r="M1740" s="234"/>
      <c r="N1740" s="234"/>
      <c r="O1740" s="234"/>
      <c r="P1740" s="234"/>
      <c r="Q1740" s="234"/>
      <c r="R1740" s="234"/>
    </row>
    <row r="1741" spans="8:18" ht="15" customHeight="1" x14ac:dyDescent="0.3">
      <c r="H1741" s="234" t="s">
        <v>3666</v>
      </c>
      <c r="I1741" s="306" t="s">
        <v>3667</v>
      </c>
      <c r="J1741" s="234">
        <f t="shared" si="58"/>
        <v>1.0036423516068878</v>
      </c>
      <c r="K1741" s="315">
        <f t="shared" si="59"/>
        <v>3.6357343077592966E-3</v>
      </c>
      <c r="L1741" s="234"/>
      <c r="M1741" s="234"/>
      <c r="N1741" s="234"/>
      <c r="O1741" s="234"/>
      <c r="P1741" s="234"/>
      <c r="Q1741" s="234"/>
      <c r="R1741" s="234"/>
    </row>
    <row r="1742" spans="8:18" ht="15" customHeight="1" x14ac:dyDescent="0.3">
      <c r="H1742" s="234" t="s">
        <v>3668</v>
      </c>
      <c r="I1742" s="306" t="s">
        <v>3669</v>
      </c>
      <c r="J1742" s="234">
        <f t="shared" si="58"/>
        <v>0.99841036528934624</v>
      </c>
      <c r="K1742" s="315">
        <f t="shared" si="59"/>
        <v>-1.5908995204785335E-3</v>
      </c>
      <c r="L1742" s="234"/>
      <c r="M1742" s="234"/>
      <c r="N1742" s="234"/>
      <c r="O1742" s="234"/>
      <c r="P1742" s="234"/>
      <c r="Q1742" s="234"/>
      <c r="R1742" s="234"/>
    </row>
    <row r="1743" spans="8:18" ht="15" customHeight="1" x14ac:dyDescent="0.3">
      <c r="H1743" s="234" t="s">
        <v>3670</v>
      </c>
      <c r="I1743" s="306" t="s">
        <v>3671</v>
      </c>
      <c r="J1743" s="234">
        <f t="shared" si="58"/>
        <v>1.0029264990117606</v>
      </c>
      <c r="K1743" s="315">
        <f t="shared" si="59"/>
        <v>2.9222251497991823E-3</v>
      </c>
      <c r="L1743" s="234"/>
      <c r="M1743" s="234"/>
      <c r="N1743" s="234"/>
      <c r="O1743" s="234"/>
      <c r="P1743" s="234"/>
      <c r="Q1743" s="234"/>
      <c r="R1743" s="234"/>
    </row>
    <row r="1744" spans="8:18" ht="15" customHeight="1" x14ac:dyDescent="0.3">
      <c r="H1744" s="234" t="s">
        <v>3672</v>
      </c>
      <c r="I1744" s="306" t="s">
        <v>3673</v>
      </c>
      <c r="J1744" s="234">
        <f t="shared" si="58"/>
        <v>1.0062190284690862</v>
      </c>
      <c r="K1744" s="315">
        <f t="shared" si="59"/>
        <v>6.1997701157913768E-3</v>
      </c>
      <c r="L1744" s="234"/>
      <c r="M1744" s="234"/>
      <c r="N1744" s="234"/>
      <c r="O1744" s="234"/>
      <c r="P1744" s="234"/>
      <c r="Q1744" s="234"/>
      <c r="R1744" s="234"/>
    </row>
    <row r="1745" spans="8:18" ht="15" customHeight="1" x14ac:dyDescent="0.3">
      <c r="H1745" s="234" t="s">
        <v>3674</v>
      </c>
      <c r="I1745" s="306" t="s">
        <v>3675</v>
      </c>
      <c r="J1745" s="234">
        <f t="shared" si="58"/>
        <v>1.0355456438381103</v>
      </c>
      <c r="K1745" s="315">
        <f t="shared" si="59"/>
        <v>3.492847991450785E-2</v>
      </c>
      <c r="L1745" s="234"/>
      <c r="M1745" s="234"/>
      <c r="N1745" s="234"/>
      <c r="O1745" s="234"/>
      <c r="P1745" s="234"/>
      <c r="Q1745" s="234"/>
      <c r="R1745" s="234"/>
    </row>
    <row r="1746" spans="8:18" ht="15" customHeight="1" x14ac:dyDescent="0.3">
      <c r="H1746" s="234" t="s">
        <v>3676</v>
      </c>
      <c r="I1746" s="306" t="s">
        <v>3677</v>
      </c>
      <c r="J1746" s="234">
        <f t="shared" si="58"/>
        <v>1.028290959295183</v>
      </c>
      <c r="K1746" s="315">
        <f t="shared" si="59"/>
        <v>2.7898161320148107E-2</v>
      </c>
      <c r="L1746" s="234"/>
      <c r="M1746" s="234"/>
      <c r="N1746" s="234"/>
      <c r="O1746" s="234"/>
      <c r="P1746" s="234"/>
      <c r="Q1746" s="234"/>
      <c r="R1746" s="234"/>
    </row>
    <row r="1747" spans="8:18" ht="15" customHeight="1" x14ac:dyDescent="0.3">
      <c r="H1747" s="234" t="s">
        <v>3678</v>
      </c>
      <c r="I1747" s="306" t="s">
        <v>3679</v>
      </c>
      <c r="J1747" s="234">
        <f t="shared" si="58"/>
        <v>1.003852433022868</v>
      </c>
      <c r="K1747" s="315">
        <f t="shared" si="59"/>
        <v>3.8450314061683056E-3</v>
      </c>
      <c r="L1747" s="234"/>
      <c r="M1747" s="234"/>
      <c r="N1747" s="234"/>
      <c r="O1747" s="234"/>
      <c r="P1747" s="234"/>
      <c r="Q1747" s="234"/>
      <c r="R1747" s="234"/>
    </row>
    <row r="1748" spans="8:18" ht="15" customHeight="1" x14ac:dyDescent="0.3">
      <c r="H1748" s="234" t="s">
        <v>3680</v>
      </c>
      <c r="I1748" s="306" t="s">
        <v>3681</v>
      </c>
      <c r="J1748" s="234">
        <f t="shared" si="58"/>
        <v>0.99366276084216421</v>
      </c>
      <c r="K1748" s="315">
        <f t="shared" si="59"/>
        <v>-6.3574046989570811E-3</v>
      </c>
      <c r="L1748" s="234"/>
      <c r="M1748" s="234"/>
      <c r="N1748" s="234"/>
      <c r="O1748" s="234"/>
      <c r="P1748" s="234"/>
      <c r="Q1748" s="234"/>
      <c r="R1748" s="234"/>
    </row>
    <row r="1749" spans="8:18" ht="15" customHeight="1" x14ac:dyDescent="0.3">
      <c r="H1749" s="234" t="s">
        <v>3682</v>
      </c>
      <c r="I1749" s="306" t="s">
        <v>3683</v>
      </c>
      <c r="J1749" s="234">
        <f t="shared" si="58"/>
        <v>1.004866950474381</v>
      </c>
      <c r="K1749" s="315">
        <f t="shared" si="59"/>
        <v>4.8551451593483001E-3</v>
      </c>
      <c r="L1749" s="234"/>
      <c r="M1749" s="234"/>
      <c r="N1749" s="234"/>
      <c r="O1749" s="234"/>
      <c r="P1749" s="234"/>
      <c r="Q1749" s="234"/>
      <c r="R1749" s="234"/>
    </row>
    <row r="1750" spans="8:18" ht="15" customHeight="1" x14ac:dyDescent="0.3">
      <c r="H1750" s="234" t="s">
        <v>3684</v>
      </c>
      <c r="I1750" s="306" t="s">
        <v>3685</v>
      </c>
      <c r="J1750" s="234">
        <f t="shared" si="58"/>
        <v>0.99522631247227988</v>
      </c>
      <c r="K1750" s="315">
        <f t="shared" si="59"/>
        <v>-4.7851179654261637E-3</v>
      </c>
      <c r="L1750" s="234"/>
      <c r="M1750" s="234"/>
      <c r="N1750" s="234"/>
      <c r="O1750" s="234"/>
      <c r="P1750" s="234"/>
      <c r="Q1750" s="234"/>
      <c r="R1750" s="234"/>
    </row>
    <row r="1751" spans="8:18" ht="15" customHeight="1" x14ac:dyDescent="0.3">
      <c r="H1751" s="234" t="s">
        <v>3686</v>
      </c>
      <c r="I1751" s="306" t="s">
        <v>3687</v>
      </c>
      <c r="J1751" s="234">
        <f t="shared" si="58"/>
        <v>0.9891591719870233</v>
      </c>
      <c r="K1751" s="315">
        <f t="shared" si="59"/>
        <v>-1.0900017956350727E-2</v>
      </c>
      <c r="L1751" s="234"/>
      <c r="M1751" s="234"/>
      <c r="N1751" s="234"/>
      <c r="O1751" s="234"/>
      <c r="P1751" s="234"/>
      <c r="Q1751" s="234"/>
      <c r="R1751" s="234"/>
    </row>
    <row r="1752" spans="8:18" ht="15" customHeight="1" x14ac:dyDescent="0.3">
      <c r="H1752" s="234" t="s">
        <v>3688</v>
      </c>
      <c r="I1752" s="306" t="s">
        <v>3689</v>
      </c>
      <c r="J1752" s="234">
        <f t="shared" si="58"/>
        <v>1.002511574074074</v>
      </c>
      <c r="K1752" s="315">
        <f t="shared" si="59"/>
        <v>2.5084253429881326E-3</v>
      </c>
      <c r="L1752" s="234"/>
      <c r="M1752" s="234"/>
      <c r="N1752" s="234"/>
      <c r="O1752" s="234"/>
      <c r="P1752" s="234"/>
      <c r="Q1752" s="234"/>
      <c r="R1752" s="234"/>
    </row>
    <row r="1753" spans="8:18" ht="15" customHeight="1" x14ac:dyDescent="0.3">
      <c r="H1753" s="234" t="s">
        <v>3690</v>
      </c>
      <c r="I1753" s="306" t="s">
        <v>3691</v>
      </c>
      <c r="J1753" s="234">
        <f t="shared" si="58"/>
        <v>0.98801573506541029</v>
      </c>
      <c r="K1753" s="315">
        <f t="shared" si="59"/>
        <v>-1.2056655181524413E-2</v>
      </c>
      <c r="L1753" s="234"/>
      <c r="M1753" s="234"/>
      <c r="N1753" s="234"/>
      <c r="O1753" s="234"/>
      <c r="P1753" s="234"/>
      <c r="Q1753" s="234"/>
      <c r="R1753" s="234"/>
    </row>
    <row r="1754" spans="8:18" ht="15" customHeight="1" x14ac:dyDescent="0.3">
      <c r="H1754" s="234" t="s">
        <v>3692</v>
      </c>
      <c r="I1754" s="306" t="s">
        <v>3693</v>
      </c>
      <c r="J1754" s="234">
        <f t="shared" si="58"/>
        <v>0.99556000819690793</v>
      </c>
      <c r="K1754" s="315">
        <f t="shared" si="59"/>
        <v>-4.4498778401664083E-3</v>
      </c>
      <c r="L1754" s="234"/>
      <c r="M1754" s="234"/>
      <c r="N1754" s="234"/>
      <c r="O1754" s="234"/>
      <c r="P1754" s="234"/>
      <c r="Q1754" s="234"/>
      <c r="R1754" s="234"/>
    </row>
    <row r="1755" spans="8:18" ht="15" customHeight="1" x14ac:dyDescent="0.3">
      <c r="H1755" s="234" t="s">
        <v>3694</v>
      </c>
      <c r="I1755" s="306" t="s">
        <v>3695</v>
      </c>
      <c r="J1755" s="234">
        <f t="shared" si="58"/>
        <v>1.009875947067683</v>
      </c>
      <c r="K1755" s="315">
        <f t="shared" si="59"/>
        <v>9.8274986241363507E-3</v>
      </c>
      <c r="L1755" s="234"/>
      <c r="M1755" s="234"/>
      <c r="N1755" s="234"/>
      <c r="O1755" s="234"/>
      <c r="P1755" s="234"/>
      <c r="Q1755" s="234"/>
      <c r="R1755" s="234"/>
    </row>
    <row r="1756" spans="8:18" ht="15" customHeight="1" x14ac:dyDescent="0.3">
      <c r="H1756" s="234" t="s">
        <v>3696</v>
      </c>
      <c r="I1756" s="306" t="s">
        <v>3697</v>
      </c>
      <c r="J1756" s="234">
        <f t="shared" si="58"/>
        <v>1.0064684100902568</v>
      </c>
      <c r="K1756" s="315">
        <f t="shared" si="59"/>
        <v>6.4475797037771929E-3</v>
      </c>
      <c r="L1756" s="234"/>
      <c r="M1756" s="234"/>
      <c r="N1756" s="234"/>
      <c r="O1756" s="234"/>
      <c r="P1756" s="234"/>
      <c r="Q1756" s="234"/>
      <c r="R1756" s="234"/>
    </row>
    <row r="1757" spans="8:18" ht="15" customHeight="1" x14ac:dyDescent="0.3">
      <c r="H1757" s="234" t="s">
        <v>3698</v>
      </c>
      <c r="I1757" s="306" t="s">
        <v>3699</v>
      </c>
      <c r="J1757" s="234">
        <f t="shared" si="58"/>
        <v>1.0058427803254266</v>
      </c>
      <c r="K1757" s="315">
        <f t="shared" si="59"/>
        <v>5.8257774815685991E-3</v>
      </c>
      <c r="L1757" s="234"/>
      <c r="M1757" s="234"/>
      <c r="N1757" s="234"/>
      <c r="O1757" s="234"/>
      <c r="P1757" s="234"/>
      <c r="Q1757" s="234"/>
      <c r="R1757" s="234"/>
    </row>
    <row r="1758" spans="8:18" ht="15" customHeight="1" x14ac:dyDescent="0.3">
      <c r="H1758" s="234" t="s">
        <v>3700</v>
      </c>
      <c r="I1758" s="306" t="s">
        <v>3701</v>
      </c>
      <c r="J1758" s="234">
        <f t="shared" si="58"/>
        <v>0.97506667423253701</v>
      </c>
      <c r="K1758" s="315">
        <f t="shared" si="59"/>
        <v>-2.5249426494114179E-2</v>
      </c>
      <c r="L1758" s="234"/>
      <c r="M1758" s="234"/>
      <c r="N1758" s="234"/>
      <c r="O1758" s="234"/>
      <c r="P1758" s="234"/>
      <c r="Q1758" s="234"/>
      <c r="R1758" s="234"/>
    </row>
    <row r="1759" spans="8:18" ht="15" customHeight="1" x14ac:dyDescent="0.3">
      <c r="H1759" s="234" t="s">
        <v>3702</v>
      </c>
      <c r="I1759" s="306" t="s">
        <v>3703</v>
      </c>
      <c r="J1759" s="234">
        <f t="shared" si="58"/>
        <v>0.99173879278326149</v>
      </c>
      <c r="K1759" s="315">
        <f t="shared" si="59"/>
        <v>-8.295520096961214E-3</v>
      </c>
      <c r="L1759" s="234"/>
      <c r="M1759" s="234"/>
      <c r="N1759" s="234"/>
      <c r="O1759" s="234"/>
      <c r="P1759" s="234"/>
      <c r="Q1759" s="234"/>
      <c r="R1759" s="234"/>
    </row>
    <row r="1760" spans="8:18" ht="15" customHeight="1" x14ac:dyDescent="0.3">
      <c r="H1760" s="234" t="s">
        <v>3704</v>
      </c>
      <c r="I1760" s="306" t="s">
        <v>3705</v>
      </c>
      <c r="J1760" s="234">
        <f t="shared" si="58"/>
        <v>0.99905546872364592</v>
      </c>
      <c r="K1760" s="315">
        <f t="shared" si="59"/>
        <v>-9.4497762710371179E-4</v>
      </c>
      <c r="L1760" s="234"/>
      <c r="M1760" s="234"/>
      <c r="N1760" s="234"/>
      <c r="O1760" s="234"/>
      <c r="P1760" s="234"/>
      <c r="Q1760" s="234"/>
      <c r="R1760" s="234"/>
    </row>
    <row r="1761" spans="8:18" ht="15" customHeight="1" x14ac:dyDescent="0.3">
      <c r="H1761" s="234" t="s">
        <v>3706</v>
      </c>
      <c r="I1761" s="306" t="s">
        <v>3707</v>
      </c>
      <c r="J1761" s="234">
        <f t="shared" si="58"/>
        <v>1.0032602319389918</v>
      </c>
      <c r="K1761" s="315">
        <f t="shared" si="59"/>
        <v>3.2549289057965769E-3</v>
      </c>
      <c r="L1761" s="234"/>
      <c r="M1761" s="234"/>
      <c r="N1761" s="234"/>
      <c r="O1761" s="234"/>
      <c r="P1761" s="234"/>
      <c r="Q1761" s="234"/>
      <c r="R1761" s="234"/>
    </row>
    <row r="1762" spans="8:18" ht="15" customHeight="1" x14ac:dyDescent="0.3">
      <c r="H1762" s="234" t="s">
        <v>3708</v>
      </c>
      <c r="I1762" s="306" t="s">
        <v>3709</v>
      </c>
      <c r="J1762" s="234">
        <f t="shared" si="58"/>
        <v>0.98690714762859055</v>
      </c>
      <c r="K1762" s="315">
        <f t="shared" si="59"/>
        <v>-1.317931932499093E-2</v>
      </c>
      <c r="L1762" s="234"/>
      <c r="M1762" s="234"/>
      <c r="N1762" s="234"/>
      <c r="O1762" s="234"/>
      <c r="P1762" s="234"/>
      <c r="Q1762" s="234"/>
      <c r="R1762" s="234"/>
    </row>
    <row r="1763" spans="8:18" ht="15" customHeight="1" x14ac:dyDescent="0.3">
      <c r="H1763" s="234" t="s">
        <v>3710</v>
      </c>
      <c r="I1763" s="306" t="s">
        <v>3711</v>
      </c>
      <c r="J1763" s="234">
        <f t="shared" si="58"/>
        <v>1.0034520896873009</v>
      </c>
      <c r="K1763" s="315">
        <f t="shared" si="59"/>
        <v>3.4461449030534193E-3</v>
      </c>
      <c r="L1763" s="234"/>
      <c r="M1763" s="234"/>
      <c r="N1763" s="234"/>
      <c r="O1763" s="234"/>
      <c r="P1763" s="234"/>
      <c r="Q1763" s="234"/>
      <c r="R1763" s="234"/>
    </row>
    <row r="1764" spans="8:18" ht="15" customHeight="1" x14ac:dyDescent="0.3">
      <c r="H1764" s="234" t="s">
        <v>3712</v>
      </c>
      <c r="I1764" s="306" t="s">
        <v>3713</v>
      </c>
      <c r="J1764" s="234">
        <f t="shared" si="58"/>
        <v>0.9977928635922817</v>
      </c>
      <c r="K1764" s="315">
        <f t="shared" si="59"/>
        <v>-2.2095757232084038E-3</v>
      </c>
      <c r="L1764" s="234"/>
      <c r="M1764" s="234"/>
      <c r="N1764" s="234"/>
      <c r="O1764" s="234"/>
      <c r="P1764" s="234"/>
      <c r="Q1764" s="234"/>
      <c r="R1764" s="234"/>
    </row>
    <row r="1765" spans="8:18" ht="15" customHeight="1" x14ac:dyDescent="0.3">
      <c r="H1765" s="234" t="s">
        <v>3714</v>
      </c>
      <c r="I1765" s="306" t="s">
        <v>3715</v>
      </c>
      <c r="J1765" s="234">
        <f t="shared" si="58"/>
        <v>1.0051541193738864</v>
      </c>
      <c r="K1765" s="315">
        <f t="shared" si="59"/>
        <v>5.1408823645617161E-3</v>
      </c>
      <c r="L1765" s="234"/>
      <c r="M1765" s="234"/>
      <c r="N1765" s="234"/>
      <c r="O1765" s="234"/>
      <c r="P1765" s="234"/>
      <c r="Q1765" s="234"/>
      <c r="R1765" s="234"/>
    </row>
    <row r="1766" spans="8:18" ht="15" customHeight="1" x14ac:dyDescent="0.3">
      <c r="H1766" s="234" t="s">
        <v>3716</v>
      </c>
      <c r="I1766" s="306" t="s">
        <v>3717</v>
      </c>
      <c r="J1766" s="234">
        <f t="shared" si="58"/>
        <v>1.015450956298142</v>
      </c>
      <c r="K1766" s="315">
        <f t="shared" si="59"/>
        <v>1.5332805744671526E-2</v>
      </c>
      <c r="L1766" s="234"/>
      <c r="M1766" s="234"/>
      <c r="N1766" s="234"/>
      <c r="O1766" s="234"/>
      <c r="P1766" s="234"/>
      <c r="Q1766" s="234"/>
      <c r="R1766" s="234"/>
    </row>
    <row r="1767" spans="8:18" ht="15" customHeight="1" x14ac:dyDescent="0.3">
      <c r="H1767" s="234" t="s">
        <v>3718</v>
      </c>
      <c r="I1767" s="306" t="s">
        <v>3719</v>
      </c>
      <c r="J1767" s="234">
        <f t="shared" si="58"/>
        <v>1.0274001426116637</v>
      </c>
      <c r="K1767" s="315">
        <f t="shared" si="59"/>
        <v>2.7031477859336621E-2</v>
      </c>
      <c r="L1767" s="234"/>
      <c r="M1767" s="234"/>
      <c r="N1767" s="234"/>
      <c r="O1767" s="234"/>
      <c r="P1767" s="234"/>
      <c r="Q1767" s="234"/>
      <c r="R1767" s="234"/>
    </row>
    <row r="1768" spans="8:18" ht="15" customHeight="1" x14ac:dyDescent="0.3">
      <c r="H1768" s="234" t="s">
        <v>3720</v>
      </c>
      <c r="I1768" s="306" t="s">
        <v>3721</v>
      </c>
      <c r="J1768" s="234">
        <f t="shared" si="58"/>
        <v>0.99199879402112778</v>
      </c>
      <c r="K1768" s="315">
        <f t="shared" si="59"/>
        <v>-8.0333874025115114E-3</v>
      </c>
      <c r="L1768" s="234"/>
      <c r="M1768" s="234"/>
      <c r="N1768" s="234"/>
      <c r="O1768" s="234"/>
      <c r="P1768" s="234"/>
      <c r="Q1768" s="234"/>
      <c r="R1768" s="234"/>
    </row>
    <row r="1769" spans="8:18" ht="15" customHeight="1" x14ac:dyDescent="0.3">
      <c r="H1769" s="234" t="s">
        <v>3722</v>
      </c>
      <c r="I1769" s="306" t="s">
        <v>3723</v>
      </c>
      <c r="J1769" s="234">
        <f t="shared" si="58"/>
        <v>0.98580230683935577</v>
      </c>
      <c r="K1769" s="315">
        <f t="shared" si="59"/>
        <v>-1.4299444645271614E-2</v>
      </c>
      <c r="L1769" s="234"/>
      <c r="M1769" s="234"/>
      <c r="N1769" s="234"/>
      <c r="O1769" s="234"/>
      <c r="P1769" s="234"/>
      <c r="Q1769" s="234"/>
      <c r="R1769" s="234"/>
    </row>
    <row r="1770" spans="8:18" ht="15" customHeight="1" x14ac:dyDescent="0.3">
      <c r="H1770" s="234" t="s">
        <v>3724</v>
      </c>
      <c r="I1770" s="306" t="s">
        <v>3725</v>
      </c>
      <c r="J1770" s="234">
        <f t="shared" si="58"/>
        <v>1.0024063527713163</v>
      </c>
      <c r="K1770" s="315">
        <f t="shared" si="59"/>
        <v>2.40346214080872E-3</v>
      </c>
      <c r="L1770" s="234"/>
      <c r="M1770" s="234"/>
      <c r="N1770" s="234"/>
      <c r="O1770" s="234"/>
      <c r="P1770" s="234"/>
      <c r="Q1770" s="234"/>
      <c r="R1770" s="234"/>
    </row>
    <row r="1771" spans="8:18" ht="15" customHeight="1" x14ac:dyDescent="0.3">
      <c r="H1771" s="234" t="s">
        <v>3726</v>
      </c>
      <c r="I1771" s="306" t="s">
        <v>3727</v>
      </c>
      <c r="J1771" s="234">
        <f t="shared" si="58"/>
        <v>0.99286656958223352</v>
      </c>
      <c r="K1771" s="315">
        <f t="shared" si="59"/>
        <v>-7.1589949804286533E-3</v>
      </c>
      <c r="L1771" s="234"/>
      <c r="M1771" s="234"/>
      <c r="N1771" s="234"/>
      <c r="O1771" s="234"/>
      <c r="P1771" s="234"/>
      <c r="Q1771" s="234"/>
      <c r="R1771" s="234"/>
    </row>
    <row r="1772" spans="8:18" ht="15" customHeight="1" x14ac:dyDescent="0.3">
      <c r="H1772" s="234" t="s">
        <v>3728</v>
      </c>
      <c r="I1772" s="306" t="s">
        <v>3729</v>
      </c>
      <c r="J1772" s="234">
        <f t="shared" si="58"/>
        <v>0.99348946559363416</v>
      </c>
      <c r="K1772" s="315">
        <f t="shared" si="59"/>
        <v>-6.5318203744790205E-3</v>
      </c>
      <c r="L1772" s="234"/>
      <c r="M1772" s="234"/>
      <c r="N1772" s="234"/>
      <c r="O1772" s="234"/>
      <c r="P1772" s="234"/>
      <c r="Q1772" s="234"/>
      <c r="R1772" s="234"/>
    </row>
    <row r="1773" spans="8:18" ht="15" customHeight="1" x14ac:dyDescent="0.3">
      <c r="H1773" s="234" t="s">
        <v>3730</v>
      </c>
      <c r="I1773" s="306" t="s">
        <v>3731</v>
      </c>
      <c r="J1773" s="234">
        <f t="shared" si="58"/>
        <v>1.0290433265484151</v>
      </c>
      <c r="K1773" s="315">
        <f t="shared" si="59"/>
        <v>2.8629561454728853E-2</v>
      </c>
      <c r="L1773" s="234"/>
      <c r="M1773" s="234"/>
      <c r="N1773" s="234"/>
      <c r="O1773" s="234"/>
      <c r="P1773" s="234"/>
      <c r="Q1773" s="234"/>
      <c r="R1773" s="234"/>
    </row>
    <row r="1774" spans="8:18" ht="15" customHeight="1" x14ac:dyDescent="0.3">
      <c r="H1774" s="234" t="s">
        <v>3732</v>
      </c>
      <c r="I1774" s="306" t="s">
        <v>3733</v>
      </c>
      <c r="J1774" s="234">
        <f t="shared" si="58"/>
        <v>1.0126858112087447</v>
      </c>
      <c r="K1774" s="315">
        <f t="shared" si="59"/>
        <v>1.2606020404532415E-2</v>
      </c>
      <c r="L1774" s="234"/>
      <c r="M1774" s="234"/>
      <c r="N1774" s="234"/>
      <c r="O1774" s="234"/>
      <c r="P1774" s="234"/>
      <c r="Q1774" s="234"/>
      <c r="R1774" s="234"/>
    </row>
    <row r="1775" spans="8:18" ht="15" customHeight="1" x14ac:dyDescent="0.3">
      <c r="H1775" s="234" t="s">
        <v>3734</v>
      </c>
      <c r="I1775" s="306" t="s">
        <v>3735</v>
      </c>
      <c r="J1775" s="234">
        <f t="shared" si="58"/>
        <v>0.99259917456828517</v>
      </c>
      <c r="K1775" s="315">
        <f t="shared" si="59"/>
        <v>-7.4283474145895286E-3</v>
      </c>
      <c r="L1775" s="234"/>
      <c r="M1775" s="234"/>
      <c r="N1775" s="234"/>
      <c r="O1775" s="234"/>
      <c r="P1775" s="234"/>
      <c r="Q1775" s="234"/>
      <c r="R1775" s="234"/>
    </row>
    <row r="1776" spans="8:18" ht="15" customHeight="1" x14ac:dyDescent="0.3">
      <c r="H1776" s="234" t="s">
        <v>3736</v>
      </c>
      <c r="I1776" s="306" t="s">
        <v>3737</v>
      </c>
      <c r="J1776" s="234">
        <f t="shared" si="58"/>
        <v>0.99868058474615851</v>
      </c>
      <c r="K1776" s="315">
        <f t="shared" si="59"/>
        <v>-1.3202864485435642E-3</v>
      </c>
      <c r="L1776" s="234"/>
      <c r="M1776" s="234"/>
      <c r="N1776" s="234"/>
      <c r="O1776" s="234"/>
      <c r="P1776" s="234"/>
      <c r="Q1776" s="234"/>
      <c r="R1776" s="234"/>
    </row>
    <row r="1777" spans="8:18" ht="15" customHeight="1" x14ac:dyDescent="0.3">
      <c r="H1777" s="234" t="s">
        <v>3738</v>
      </c>
      <c r="I1777" s="306" t="s">
        <v>3739</v>
      </c>
      <c r="J1777" s="234">
        <f t="shared" si="58"/>
        <v>1.0002803083391731</v>
      </c>
      <c r="K1777" s="315">
        <f t="shared" si="59"/>
        <v>2.8026906013062659E-4</v>
      </c>
      <c r="L1777" s="234"/>
      <c r="M1777" s="234"/>
      <c r="N1777" s="234"/>
      <c r="O1777" s="234"/>
      <c r="P1777" s="234"/>
      <c r="Q1777" s="234"/>
      <c r="R1777" s="234"/>
    </row>
    <row r="1778" spans="8:18" ht="15" customHeight="1" x14ac:dyDescent="0.3">
      <c r="H1778" s="234" t="s">
        <v>3740</v>
      </c>
      <c r="I1778" s="306" t="s">
        <v>3741</v>
      </c>
      <c r="J1778" s="234">
        <f t="shared" si="58"/>
        <v>0.97607131864248342</v>
      </c>
      <c r="K1778" s="315">
        <f t="shared" si="59"/>
        <v>-2.4219622859107174E-2</v>
      </c>
      <c r="L1778" s="234"/>
      <c r="M1778" s="234"/>
      <c r="N1778" s="234"/>
      <c r="O1778" s="234"/>
      <c r="P1778" s="234"/>
      <c r="Q1778" s="234"/>
      <c r="R1778" s="234"/>
    </row>
    <row r="1779" spans="8:18" ht="15" customHeight="1" x14ac:dyDescent="0.3">
      <c r="H1779" s="234" t="s">
        <v>3742</v>
      </c>
      <c r="I1779" s="306" t="s">
        <v>3743</v>
      </c>
      <c r="J1779" s="234">
        <f t="shared" si="58"/>
        <v>0.98920790292751137</v>
      </c>
      <c r="K1779" s="315">
        <f t="shared" si="59"/>
        <v>-1.0850754155799423E-2</v>
      </c>
      <c r="L1779" s="234"/>
      <c r="M1779" s="234"/>
      <c r="N1779" s="234"/>
      <c r="O1779" s="234"/>
      <c r="P1779" s="234"/>
      <c r="Q1779" s="234"/>
      <c r="R1779" s="234"/>
    </row>
    <row r="1780" spans="8:18" ht="15" customHeight="1" x14ac:dyDescent="0.3">
      <c r="H1780" s="234" t="s">
        <v>3744</v>
      </c>
      <c r="I1780" s="306" t="s">
        <v>3745</v>
      </c>
      <c r="J1780" s="234">
        <f t="shared" si="58"/>
        <v>0.98983111388929201</v>
      </c>
      <c r="K1780" s="315">
        <f t="shared" si="59"/>
        <v>-1.022094243699518E-2</v>
      </c>
      <c r="L1780" s="234"/>
      <c r="M1780" s="234"/>
      <c r="N1780" s="234"/>
      <c r="O1780" s="234"/>
      <c r="P1780" s="234"/>
      <c r="Q1780" s="234"/>
      <c r="R1780" s="234"/>
    </row>
    <row r="1781" spans="8:18" ht="15" customHeight="1" x14ac:dyDescent="0.3">
      <c r="H1781" s="234" t="s">
        <v>3746</v>
      </c>
      <c r="I1781" s="306" t="s">
        <v>3747</v>
      </c>
      <c r="J1781" s="234">
        <f t="shared" si="58"/>
        <v>1.0132212897826234</v>
      </c>
      <c r="K1781" s="315">
        <f t="shared" si="59"/>
        <v>1.3134651343321911E-2</v>
      </c>
      <c r="L1781" s="234"/>
      <c r="M1781" s="234"/>
      <c r="N1781" s="234"/>
      <c r="O1781" s="234"/>
      <c r="P1781" s="234"/>
      <c r="Q1781" s="234"/>
      <c r="R1781" s="234"/>
    </row>
    <row r="1782" spans="8:18" ht="15" customHeight="1" x14ac:dyDescent="0.3">
      <c r="H1782" s="234" t="s">
        <v>3748</v>
      </c>
      <c r="I1782" s="306" t="s">
        <v>3749</v>
      </c>
      <c r="J1782" s="234">
        <f t="shared" si="58"/>
        <v>1.0113236034222446</v>
      </c>
      <c r="K1782" s="315">
        <f t="shared" si="59"/>
        <v>1.1259971337438949E-2</v>
      </c>
      <c r="L1782" s="234"/>
      <c r="M1782" s="234"/>
      <c r="N1782" s="234"/>
      <c r="O1782" s="234"/>
      <c r="P1782" s="234"/>
      <c r="Q1782" s="234"/>
      <c r="R1782" s="234"/>
    </row>
    <row r="1783" spans="8:18" ht="15" customHeight="1" x14ac:dyDescent="0.3">
      <c r="H1783" s="234" t="s">
        <v>3750</v>
      </c>
      <c r="I1783" s="306" t="s">
        <v>3751</v>
      </c>
      <c r="J1783" s="234">
        <f t="shared" si="58"/>
        <v>1.006203316875554</v>
      </c>
      <c r="K1783" s="315">
        <f t="shared" si="59"/>
        <v>6.1841555072884823E-3</v>
      </c>
      <c r="L1783" s="234"/>
      <c r="M1783" s="234"/>
      <c r="N1783" s="234"/>
      <c r="O1783" s="234"/>
      <c r="P1783" s="234"/>
      <c r="Q1783" s="234"/>
      <c r="R1783" s="234"/>
    </row>
    <row r="1784" spans="8:18" ht="15" customHeight="1" x14ac:dyDescent="0.3">
      <c r="H1784" s="234" t="s">
        <v>3752</v>
      </c>
      <c r="I1784" s="306" t="s">
        <v>3753</v>
      </c>
      <c r="J1784" s="234">
        <f t="shared" si="58"/>
        <v>1.0368368296699362</v>
      </c>
      <c r="K1784" s="315">
        <f t="shared" si="59"/>
        <v>3.6174568428963209E-2</v>
      </c>
      <c r="L1784" s="234"/>
      <c r="M1784" s="234"/>
      <c r="N1784" s="234"/>
      <c r="O1784" s="234"/>
      <c r="P1784" s="234"/>
      <c r="Q1784" s="234"/>
      <c r="R1784" s="234"/>
    </row>
    <row r="1785" spans="8:18" ht="15" customHeight="1" x14ac:dyDescent="0.3">
      <c r="H1785" s="234" t="s">
        <v>3754</v>
      </c>
      <c r="I1785" s="306" t="s">
        <v>3755</v>
      </c>
      <c r="J1785" s="234">
        <f t="shared" si="58"/>
        <v>0.97753359462486</v>
      </c>
      <c r="K1785" s="315">
        <f t="shared" si="59"/>
        <v>-2.2722619810508972E-2</v>
      </c>
      <c r="L1785" s="234"/>
      <c r="M1785" s="234"/>
      <c r="N1785" s="234"/>
      <c r="O1785" s="234"/>
      <c r="P1785" s="234"/>
      <c r="Q1785" s="234"/>
      <c r="R1785" s="234"/>
    </row>
    <row r="1786" spans="8:18" ht="15" customHeight="1" x14ac:dyDescent="0.3">
      <c r="H1786" s="234" t="s">
        <v>3756</v>
      </c>
      <c r="I1786" s="306" t="s">
        <v>3757</v>
      </c>
      <c r="J1786" s="234">
        <f t="shared" si="58"/>
        <v>1.0195518766947338</v>
      </c>
      <c r="K1786" s="315">
        <f t="shared" si="59"/>
        <v>1.9363194185801041E-2</v>
      </c>
      <c r="L1786" s="234"/>
      <c r="M1786" s="234"/>
      <c r="N1786" s="234"/>
      <c r="O1786" s="234"/>
      <c r="P1786" s="234"/>
      <c r="Q1786" s="234"/>
      <c r="R1786" s="234"/>
    </row>
    <row r="1787" spans="8:18" ht="15" customHeight="1" x14ac:dyDescent="0.3">
      <c r="H1787" s="234" t="s">
        <v>3758</v>
      </c>
      <c r="I1787" s="306" t="s">
        <v>3759</v>
      </c>
      <c r="J1787" s="234">
        <f t="shared" si="58"/>
        <v>1.0115490111159231</v>
      </c>
      <c r="K1787" s="315">
        <f t="shared" si="59"/>
        <v>1.1482830347928746E-2</v>
      </c>
      <c r="L1787" s="234"/>
      <c r="M1787" s="234"/>
      <c r="N1787" s="234"/>
      <c r="O1787" s="234"/>
      <c r="P1787" s="234"/>
      <c r="Q1787" s="234"/>
      <c r="R1787" s="234"/>
    </row>
    <row r="1788" spans="8:18" ht="15" customHeight="1" x14ac:dyDescent="0.3">
      <c r="H1788" s="234" t="s">
        <v>3760</v>
      </c>
      <c r="I1788" s="306" t="s">
        <v>3761</v>
      </c>
      <c r="J1788" s="234">
        <f t="shared" si="58"/>
        <v>0.97446718717028913</v>
      </c>
      <c r="K1788" s="315">
        <f t="shared" si="59"/>
        <v>-2.5864432053147594E-2</v>
      </c>
      <c r="L1788" s="234"/>
      <c r="M1788" s="234"/>
      <c r="N1788" s="234"/>
      <c r="O1788" s="234"/>
      <c r="P1788" s="234"/>
      <c r="Q1788" s="234"/>
      <c r="R1788" s="234"/>
    </row>
    <row r="1789" spans="8:18" ht="15" customHeight="1" x14ac:dyDescent="0.3">
      <c r="H1789" s="234" t="s">
        <v>3762</v>
      </c>
      <c r="I1789" s="306" t="s">
        <v>3763</v>
      </c>
      <c r="J1789" s="234">
        <f t="shared" si="58"/>
        <v>0.99657690285647527</v>
      </c>
      <c r="K1789" s="315">
        <f t="shared" si="59"/>
        <v>-3.4289693451257535E-3</v>
      </c>
      <c r="L1789" s="234"/>
      <c r="M1789" s="234"/>
      <c r="N1789" s="234"/>
      <c r="O1789" s="234"/>
      <c r="P1789" s="234"/>
      <c r="Q1789" s="234"/>
      <c r="R1789" s="234"/>
    </row>
    <row r="1790" spans="8:18" ht="15" customHeight="1" x14ac:dyDescent="0.3">
      <c r="H1790" s="234" t="s">
        <v>3764</v>
      </c>
      <c r="I1790" s="306" t="s">
        <v>3765</v>
      </c>
      <c r="J1790" s="234">
        <f t="shared" si="58"/>
        <v>1.0163021538315404</v>
      </c>
      <c r="K1790" s="315">
        <f t="shared" si="59"/>
        <v>1.6170700446497752E-2</v>
      </c>
      <c r="L1790" s="234"/>
      <c r="M1790" s="234"/>
      <c r="N1790" s="234"/>
      <c r="O1790" s="234"/>
      <c r="P1790" s="234"/>
      <c r="Q1790" s="234"/>
      <c r="R1790" s="234"/>
    </row>
    <row r="1791" spans="8:18" ht="15" customHeight="1" x14ac:dyDescent="0.3">
      <c r="H1791" s="234" t="s">
        <v>3766</v>
      </c>
      <c r="I1791" s="306" t="s">
        <v>3767</v>
      </c>
      <c r="J1791" s="234">
        <f t="shared" si="58"/>
        <v>1.0044963921521857</v>
      </c>
      <c r="K1791" s="315">
        <f t="shared" si="59"/>
        <v>4.4863135811711429E-3</v>
      </c>
      <c r="L1791" s="234"/>
      <c r="M1791" s="234"/>
      <c r="N1791" s="234"/>
      <c r="O1791" s="234"/>
      <c r="P1791" s="234"/>
      <c r="Q1791" s="234"/>
      <c r="R1791" s="234"/>
    </row>
    <row r="1792" spans="8:18" ht="15" customHeight="1" x14ac:dyDescent="0.3">
      <c r="H1792" s="234" t="s">
        <v>3768</v>
      </c>
      <c r="I1792" s="306" t="s">
        <v>3769</v>
      </c>
      <c r="J1792" s="234">
        <f t="shared" si="58"/>
        <v>0.97767024253731338</v>
      </c>
      <c r="K1792" s="315">
        <f t="shared" si="59"/>
        <v>-2.2582841123419035E-2</v>
      </c>
      <c r="L1792" s="234"/>
      <c r="M1792" s="234"/>
      <c r="N1792" s="234"/>
      <c r="O1792" s="234"/>
      <c r="P1792" s="234"/>
      <c r="Q1792" s="234"/>
      <c r="R1792" s="234"/>
    </row>
    <row r="1793" spans="8:18" ht="15" customHeight="1" x14ac:dyDescent="0.3">
      <c r="H1793" s="234" t="s">
        <v>3770</v>
      </c>
      <c r="I1793" s="306" t="s">
        <v>3771</v>
      </c>
      <c r="J1793" s="234">
        <f t="shared" si="58"/>
        <v>1.0005366684555614</v>
      </c>
      <c r="K1793" s="315">
        <f t="shared" si="59"/>
        <v>5.3652450054761641E-4</v>
      </c>
      <c r="L1793" s="234"/>
      <c r="M1793" s="234"/>
      <c r="N1793" s="234"/>
      <c r="O1793" s="234"/>
      <c r="P1793" s="234"/>
      <c r="Q1793" s="234"/>
      <c r="R1793" s="234"/>
    </row>
    <row r="1794" spans="8:18" ht="15" customHeight="1" x14ac:dyDescent="0.3">
      <c r="H1794" s="234" t="s">
        <v>3772</v>
      </c>
      <c r="I1794" s="306" t="s">
        <v>3773</v>
      </c>
      <c r="J1794" s="234">
        <f t="shared" si="58"/>
        <v>1.0274994006233518</v>
      </c>
      <c r="K1794" s="315">
        <f t="shared" si="59"/>
        <v>2.7128084053145027E-2</v>
      </c>
      <c r="L1794" s="234"/>
      <c r="M1794" s="234"/>
      <c r="N1794" s="234"/>
      <c r="O1794" s="234"/>
      <c r="P1794" s="234"/>
      <c r="Q1794" s="234"/>
      <c r="R1794" s="234"/>
    </row>
    <row r="1795" spans="8:18" ht="15" customHeight="1" x14ac:dyDescent="0.3">
      <c r="H1795" s="234" t="s">
        <v>3774</v>
      </c>
      <c r="I1795" s="306" t="s">
        <v>3775</v>
      </c>
      <c r="J1795" s="234">
        <f t="shared" si="58"/>
        <v>1.0060056438580836</v>
      </c>
      <c r="K1795" s="315">
        <f t="shared" si="59"/>
        <v>5.987681858712509E-3</v>
      </c>
      <c r="L1795" s="234"/>
      <c r="M1795" s="234"/>
      <c r="N1795" s="234"/>
      <c r="O1795" s="234"/>
      <c r="P1795" s="234"/>
      <c r="Q1795" s="234"/>
      <c r="R1795" s="234"/>
    </row>
    <row r="1796" spans="8:18" ht="15" customHeight="1" x14ac:dyDescent="0.3">
      <c r="H1796" s="234" t="s">
        <v>3776</v>
      </c>
      <c r="I1796" s="306" t="s">
        <v>3777</v>
      </c>
      <c r="J1796" s="234">
        <f t="shared" si="58"/>
        <v>0.99070489844683396</v>
      </c>
      <c r="K1796" s="315">
        <f t="shared" si="59"/>
        <v>-9.3385705853428758E-3</v>
      </c>
      <c r="L1796" s="234"/>
      <c r="M1796" s="234"/>
      <c r="N1796" s="234"/>
      <c r="O1796" s="234"/>
      <c r="P1796" s="234"/>
      <c r="Q1796" s="234"/>
      <c r="R1796" s="234"/>
    </row>
    <row r="1797" spans="8:18" ht="15" customHeight="1" x14ac:dyDescent="0.3">
      <c r="H1797" s="234" t="s">
        <v>3778</v>
      </c>
      <c r="I1797" s="306" t="s">
        <v>3779</v>
      </c>
      <c r="J1797" s="234">
        <f t="shared" ref="J1797:J1860" si="60">I1797/I1798</f>
        <v>0.97230611960410762</v>
      </c>
      <c r="K1797" s="315">
        <f t="shared" ref="K1797:K1860" si="61">LN(J1797)</f>
        <v>-2.808458623990891E-2</v>
      </c>
      <c r="L1797" s="234"/>
      <c r="M1797" s="234"/>
      <c r="N1797" s="234"/>
      <c r="O1797" s="234"/>
      <c r="P1797" s="234"/>
      <c r="Q1797" s="234"/>
      <c r="R1797" s="234"/>
    </row>
    <row r="1798" spans="8:18" ht="15" customHeight="1" x14ac:dyDescent="0.3">
      <c r="H1798" s="234" t="s">
        <v>3780</v>
      </c>
      <c r="I1798" s="306" t="s">
        <v>3781</v>
      </c>
      <c r="J1798" s="234">
        <f t="shared" si="60"/>
        <v>1.0003602431059928</v>
      </c>
      <c r="K1798" s="315">
        <f t="shared" si="61"/>
        <v>3.6017823402441894E-4</v>
      </c>
      <c r="L1798" s="234"/>
      <c r="M1798" s="234"/>
      <c r="N1798" s="234"/>
      <c r="O1798" s="234"/>
      <c r="P1798" s="234"/>
      <c r="Q1798" s="234"/>
      <c r="R1798" s="234"/>
    </row>
    <row r="1799" spans="8:18" ht="15" customHeight="1" x14ac:dyDescent="0.3">
      <c r="H1799" s="234" t="s">
        <v>3782</v>
      </c>
      <c r="I1799" s="306" t="s">
        <v>3783</v>
      </c>
      <c r="J1799" s="234">
        <f t="shared" si="60"/>
        <v>1.0452966328166755</v>
      </c>
      <c r="K1799" s="315">
        <f t="shared" si="61"/>
        <v>4.4300704291100335E-2</v>
      </c>
      <c r="L1799" s="234"/>
      <c r="M1799" s="234"/>
      <c r="N1799" s="234"/>
      <c r="O1799" s="234"/>
      <c r="P1799" s="234"/>
      <c r="Q1799" s="234"/>
      <c r="R1799" s="234"/>
    </row>
    <row r="1800" spans="8:18" ht="15" customHeight="1" x14ac:dyDescent="0.3">
      <c r="H1800" s="234" t="s">
        <v>3784</v>
      </c>
      <c r="I1800" s="306" t="s">
        <v>3785</v>
      </c>
      <c r="J1800" s="234">
        <f t="shared" si="60"/>
        <v>0.99219013643156728</v>
      </c>
      <c r="K1800" s="315">
        <f t="shared" si="61"/>
        <v>-7.8405202736852569E-3</v>
      </c>
      <c r="L1800" s="234"/>
      <c r="M1800" s="234"/>
      <c r="N1800" s="234"/>
      <c r="O1800" s="234"/>
      <c r="P1800" s="234"/>
      <c r="Q1800" s="234"/>
      <c r="R1800" s="234"/>
    </row>
    <row r="1801" spans="8:18" ht="15" customHeight="1" x14ac:dyDescent="0.3">
      <c r="H1801" s="234" t="s">
        <v>3786</v>
      </c>
      <c r="I1801" s="306" t="s">
        <v>3787</v>
      </c>
      <c r="J1801" s="234">
        <f t="shared" si="60"/>
        <v>0.99636145301711199</v>
      </c>
      <c r="K1801" s="315">
        <f t="shared" si="61"/>
        <v>-3.645182595844352E-3</v>
      </c>
      <c r="L1801" s="234"/>
      <c r="M1801" s="234"/>
      <c r="N1801" s="234"/>
      <c r="O1801" s="234"/>
      <c r="P1801" s="234"/>
      <c r="Q1801" s="234"/>
      <c r="R1801" s="234"/>
    </row>
    <row r="1802" spans="8:18" ht="15" customHeight="1" x14ac:dyDescent="0.3">
      <c r="H1802" s="234" t="s">
        <v>3788</v>
      </c>
      <c r="I1802" s="306" t="s">
        <v>3789</v>
      </c>
      <c r="J1802" s="234">
        <f t="shared" si="60"/>
        <v>1.0202268940507693</v>
      </c>
      <c r="K1802" s="315">
        <f t="shared" si="61"/>
        <v>2.002504770673922E-2</v>
      </c>
      <c r="L1802" s="234"/>
      <c r="M1802" s="234"/>
      <c r="N1802" s="234"/>
      <c r="O1802" s="234"/>
      <c r="P1802" s="234"/>
      <c r="Q1802" s="234"/>
      <c r="R1802" s="234"/>
    </row>
    <row r="1803" spans="8:18" ht="15" customHeight="1" x14ac:dyDescent="0.3">
      <c r="H1803" s="234" t="s">
        <v>3790</v>
      </c>
      <c r="I1803" s="306" t="s">
        <v>3791</v>
      </c>
      <c r="J1803" s="234">
        <f t="shared" si="60"/>
        <v>1.0381430842607313</v>
      </c>
      <c r="K1803" s="315">
        <f t="shared" si="61"/>
        <v>3.7433621352399429E-2</v>
      </c>
      <c r="L1803" s="234"/>
      <c r="M1803" s="234"/>
      <c r="N1803" s="234"/>
      <c r="O1803" s="234"/>
      <c r="P1803" s="234"/>
      <c r="Q1803" s="234"/>
      <c r="R1803" s="234"/>
    </row>
    <row r="1804" spans="8:18" ht="15" customHeight="1" x14ac:dyDescent="0.3">
      <c r="H1804" s="234" t="s">
        <v>3792</v>
      </c>
      <c r="I1804" s="306" t="s">
        <v>3793</v>
      </c>
      <c r="J1804" s="234">
        <f t="shared" si="60"/>
        <v>0.99086326402016378</v>
      </c>
      <c r="K1804" s="315">
        <f t="shared" si="61"/>
        <v>-9.1787319518135332E-3</v>
      </c>
      <c r="L1804" s="234"/>
      <c r="M1804" s="234"/>
      <c r="N1804" s="234"/>
      <c r="O1804" s="234"/>
      <c r="P1804" s="234"/>
      <c r="Q1804" s="234"/>
      <c r="R1804" s="234"/>
    </row>
    <row r="1805" spans="8:18" ht="15" customHeight="1" x14ac:dyDescent="0.3">
      <c r="H1805" s="234" t="s">
        <v>3794</v>
      </c>
      <c r="I1805" s="306" t="s">
        <v>3795</v>
      </c>
      <c r="J1805" s="234">
        <f t="shared" si="60"/>
        <v>0.99187499999999995</v>
      </c>
      <c r="K1805" s="315">
        <f t="shared" si="61"/>
        <v>-8.1581877014635824E-3</v>
      </c>
      <c r="L1805" s="234"/>
      <c r="M1805" s="234"/>
      <c r="N1805" s="234"/>
      <c r="O1805" s="234"/>
      <c r="P1805" s="234"/>
      <c r="Q1805" s="234"/>
      <c r="R1805" s="234"/>
    </row>
    <row r="1806" spans="8:18" ht="15" customHeight="1" x14ac:dyDescent="0.3">
      <c r="H1806" s="234" t="s">
        <v>3796</v>
      </c>
      <c r="I1806" s="306" t="s">
        <v>3797</v>
      </c>
      <c r="J1806" s="234">
        <f t="shared" si="60"/>
        <v>1.0168285118714728</v>
      </c>
      <c r="K1806" s="315">
        <f t="shared" si="61"/>
        <v>1.6688481286235346E-2</v>
      </c>
      <c r="L1806" s="234"/>
      <c r="M1806" s="234"/>
      <c r="N1806" s="234"/>
      <c r="O1806" s="234"/>
      <c r="P1806" s="234"/>
      <c r="Q1806" s="234"/>
      <c r="R1806" s="234"/>
    </row>
    <row r="1807" spans="8:18" ht="15" customHeight="1" x14ac:dyDescent="0.3">
      <c r="H1807" s="234" t="s">
        <v>3798</v>
      </c>
      <c r="I1807" s="306" t="s">
        <v>3799</v>
      </c>
      <c r="J1807" s="234">
        <f t="shared" si="60"/>
        <v>1.0005341201007198</v>
      </c>
      <c r="K1807" s="315">
        <f t="shared" si="61"/>
        <v>5.3397750935053672E-4</v>
      </c>
      <c r="L1807" s="234"/>
      <c r="M1807" s="234"/>
      <c r="N1807" s="234"/>
      <c r="O1807" s="234"/>
      <c r="P1807" s="234"/>
      <c r="Q1807" s="234"/>
      <c r="R1807" s="234"/>
    </row>
    <row r="1808" spans="8:18" ht="15" customHeight="1" x14ac:dyDescent="0.3">
      <c r="H1808" s="234" t="s">
        <v>3800</v>
      </c>
      <c r="I1808" s="306" t="s">
        <v>3801</v>
      </c>
      <c r="J1808" s="234">
        <f t="shared" si="60"/>
        <v>1.0083867658373942</v>
      </c>
      <c r="K1808" s="315">
        <f t="shared" si="61"/>
        <v>8.3517923238444428E-3</v>
      </c>
      <c r="L1808" s="234"/>
      <c r="M1808" s="234"/>
      <c r="N1808" s="234"/>
      <c r="O1808" s="234"/>
      <c r="P1808" s="234"/>
      <c r="Q1808" s="234"/>
      <c r="R1808" s="234"/>
    </row>
    <row r="1809" spans="8:18" ht="15" customHeight="1" x14ac:dyDescent="0.3">
      <c r="H1809" s="234" t="s">
        <v>3802</v>
      </c>
      <c r="I1809" s="306" t="s">
        <v>3803</v>
      </c>
      <c r="J1809" s="234">
        <f t="shared" si="60"/>
        <v>0.9815348597177993</v>
      </c>
      <c r="K1809" s="315">
        <f t="shared" si="61"/>
        <v>-1.8637749118131205E-2</v>
      </c>
      <c r="L1809" s="234"/>
      <c r="M1809" s="234"/>
      <c r="N1809" s="234"/>
      <c r="O1809" s="234"/>
      <c r="P1809" s="234"/>
      <c r="Q1809" s="234"/>
      <c r="R1809" s="234"/>
    </row>
    <row r="1810" spans="8:18" ht="15" customHeight="1" x14ac:dyDescent="0.3">
      <c r="H1810" s="234" t="s">
        <v>3804</v>
      </c>
      <c r="I1810" s="306" t="s">
        <v>3805</v>
      </c>
      <c r="J1810" s="234">
        <f t="shared" si="60"/>
        <v>1.017038762865482</v>
      </c>
      <c r="K1810" s="315">
        <f t="shared" si="61"/>
        <v>1.6895231252046471E-2</v>
      </c>
      <c r="L1810" s="234"/>
      <c r="M1810" s="234"/>
      <c r="N1810" s="234"/>
      <c r="O1810" s="234"/>
      <c r="P1810" s="234"/>
      <c r="Q1810" s="234"/>
      <c r="R1810" s="234"/>
    </row>
    <row r="1811" spans="8:18" ht="15" customHeight="1" x14ac:dyDescent="0.3">
      <c r="H1811" s="234" t="s">
        <v>3806</v>
      </c>
      <c r="I1811" s="306" t="s">
        <v>3807</v>
      </c>
      <c r="J1811" s="234">
        <f t="shared" si="60"/>
        <v>0.99932198185981658</v>
      </c>
      <c r="K1811" s="315">
        <f t="shared" si="61"/>
        <v>-6.7824809843241641E-4</v>
      </c>
      <c r="L1811" s="234"/>
      <c r="M1811" s="234"/>
      <c r="N1811" s="234"/>
      <c r="O1811" s="234"/>
      <c r="P1811" s="234"/>
      <c r="Q1811" s="234"/>
      <c r="R1811" s="234"/>
    </row>
    <row r="1812" spans="8:18" ht="15" customHeight="1" x14ac:dyDescent="0.3">
      <c r="H1812" s="234" t="s">
        <v>3808</v>
      </c>
      <c r="I1812" s="306" t="s">
        <v>3809</v>
      </c>
      <c r="J1812" s="234">
        <f t="shared" si="60"/>
        <v>0.99873511524505543</v>
      </c>
      <c r="K1812" s="315">
        <f t="shared" si="61"/>
        <v>-1.265685396883954E-3</v>
      </c>
      <c r="L1812" s="234"/>
      <c r="M1812" s="234"/>
      <c r="N1812" s="234"/>
      <c r="O1812" s="234"/>
      <c r="P1812" s="234"/>
      <c r="Q1812" s="234"/>
      <c r="R1812" s="234"/>
    </row>
    <row r="1813" spans="8:18" ht="15" customHeight="1" x14ac:dyDescent="0.3">
      <c r="H1813" s="234" t="s">
        <v>3810</v>
      </c>
      <c r="I1813" s="306" t="s">
        <v>3811</v>
      </c>
      <c r="J1813" s="234">
        <f t="shared" si="60"/>
        <v>1.0193667704249749</v>
      </c>
      <c r="K1813" s="315">
        <f t="shared" si="61"/>
        <v>1.9181621202956509E-2</v>
      </c>
      <c r="L1813" s="234"/>
      <c r="M1813" s="234"/>
      <c r="N1813" s="234"/>
      <c r="O1813" s="234"/>
      <c r="P1813" s="234"/>
      <c r="Q1813" s="234"/>
      <c r="R1813" s="234"/>
    </row>
    <row r="1814" spans="8:18" ht="15" customHeight="1" x14ac:dyDescent="0.3">
      <c r="H1814" s="234" t="s">
        <v>3812</v>
      </c>
      <c r="I1814" s="306" t="s">
        <v>3813</v>
      </c>
      <c r="J1814" s="234">
        <f t="shared" si="60"/>
        <v>1.0179376358911809</v>
      </c>
      <c r="K1814" s="315">
        <f t="shared" si="61"/>
        <v>1.7778654848219482E-2</v>
      </c>
      <c r="L1814" s="234"/>
      <c r="M1814" s="234"/>
      <c r="N1814" s="234"/>
      <c r="O1814" s="234"/>
      <c r="P1814" s="234"/>
      <c r="Q1814" s="234"/>
      <c r="R1814" s="234"/>
    </row>
    <row r="1815" spans="8:18" ht="15" customHeight="1" x14ac:dyDescent="0.3">
      <c r="H1815" s="234" t="s">
        <v>3814</v>
      </c>
      <c r="I1815" s="306" t="s">
        <v>3815</v>
      </c>
      <c r="J1815" s="234">
        <f t="shared" si="60"/>
        <v>1.0099214053315837</v>
      </c>
      <c r="K1815" s="315">
        <f t="shared" si="61"/>
        <v>9.8725113219244286E-3</v>
      </c>
      <c r="L1815" s="234"/>
      <c r="M1815" s="234"/>
      <c r="N1815" s="234"/>
      <c r="O1815" s="234"/>
      <c r="P1815" s="234"/>
      <c r="Q1815" s="234"/>
      <c r="R1815" s="234"/>
    </row>
    <row r="1816" spans="8:18" ht="15" customHeight="1" x14ac:dyDescent="0.3">
      <c r="H1816" s="234" t="s">
        <v>3816</v>
      </c>
      <c r="I1816" s="306" t="s">
        <v>3817</v>
      </c>
      <c r="J1816" s="234">
        <f t="shared" si="60"/>
        <v>0.99415648377392651</v>
      </c>
      <c r="K1816" s="315">
        <f t="shared" si="61"/>
        <v>-5.8606563721139079E-3</v>
      </c>
      <c r="L1816" s="234"/>
      <c r="M1816" s="234"/>
      <c r="N1816" s="234"/>
      <c r="O1816" s="234"/>
      <c r="P1816" s="234"/>
      <c r="Q1816" s="234"/>
      <c r="R1816" s="234"/>
    </row>
    <row r="1817" spans="8:18" ht="15" customHeight="1" x14ac:dyDescent="0.3">
      <c r="H1817" s="234" t="s">
        <v>3818</v>
      </c>
      <c r="I1817" s="306" t="s">
        <v>3819</v>
      </c>
      <c r="J1817" s="234">
        <f t="shared" si="60"/>
        <v>1.0059721478307444</v>
      </c>
      <c r="K1817" s="315">
        <f t="shared" si="61"/>
        <v>5.9543852413436547E-3</v>
      </c>
      <c r="L1817" s="234"/>
      <c r="M1817" s="234"/>
      <c r="N1817" s="234"/>
      <c r="O1817" s="234"/>
      <c r="P1817" s="234"/>
      <c r="Q1817" s="234"/>
      <c r="R1817" s="234"/>
    </row>
    <row r="1818" spans="8:18" ht="15" customHeight="1" x14ac:dyDescent="0.3">
      <c r="H1818" s="234" t="s">
        <v>3820</v>
      </c>
      <c r="I1818" s="306" t="s">
        <v>3821</v>
      </c>
      <c r="J1818" s="234">
        <f t="shared" si="60"/>
        <v>0.97701374988552669</v>
      </c>
      <c r="K1818" s="315">
        <f t="shared" si="61"/>
        <v>-2.3254553460569705E-2</v>
      </c>
      <c r="L1818" s="234"/>
      <c r="M1818" s="234"/>
      <c r="N1818" s="234"/>
      <c r="O1818" s="234"/>
      <c r="P1818" s="234"/>
      <c r="Q1818" s="234"/>
      <c r="R1818" s="234"/>
    </row>
    <row r="1819" spans="8:18" ht="15" customHeight="1" x14ac:dyDescent="0.3">
      <c r="H1819" s="234" t="s">
        <v>3822</v>
      </c>
      <c r="I1819" s="306" t="s">
        <v>3823</v>
      </c>
      <c r="J1819" s="234">
        <f t="shared" si="60"/>
        <v>1.0002748115577889</v>
      </c>
      <c r="K1819" s="315">
        <f t="shared" si="61"/>
        <v>2.7477380400933434E-4</v>
      </c>
      <c r="L1819" s="234"/>
      <c r="M1819" s="234"/>
      <c r="N1819" s="234"/>
      <c r="O1819" s="234"/>
      <c r="P1819" s="234"/>
      <c r="Q1819" s="234"/>
      <c r="R1819" s="234"/>
    </row>
    <row r="1820" spans="8:18" ht="15" customHeight="1" x14ac:dyDescent="0.3">
      <c r="H1820" s="234" t="s">
        <v>3824</v>
      </c>
      <c r="I1820" s="306" t="s">
        <v>3825</v>
      </c>
      <c r="J1820" s="234">
        <f t="shared" si="60"/>
        <v>1.0175504008096088</v>
      </c>
      <c r="K1820" s="315">
        <f t="shared" si="61"/>
        <v>1.7398171073064142E-2</v>
      </c>
      <c r="L1820" s="234"/>
      <c r="M1820" s="234"/>
      <c r="N1820" s="234"/>
      <c r="O1820" s="234"/>
      <c r="P1820" s="234"/>
      <c r="Q1820" s="234"/>
      <c r="R1820" s="234"/>
    </row>
    <row r="1821" spans="8:18" ht="15" customHeight="1" x14ac:dyDescent="0.3">
      <c r="H1821" s="234" t="s">
        <v>3826</v>
      </c>
      <c r="I1821" s="306" t="s">
        <v>3827</v>
      </c>
      <c r="J1821" s="234">
        <f t="shared" si="60"/>
        <v>1.0051665060498982</v>
      </c>
      <c r="K1821" s="315">
        <f t="shared" si="61"/>
        <v>5.1532054496012713E-3</v>
      </c>
      <c r="L1821" s="234"/>
      <c r="M1821" s="234"/>
      <c r="N1821" s="234"/>
      <c r="O1821" s="234"/>
      <c r="P1821" s="234"/>
      <c r="Q1821" s="234"/>
      <c r="R1821" s="234"/>
    </row>
    <row r="1822" spans="8:18" ht="15" customHeight="1" x14ac:dyDescent="0.3">
      <c r="H1822" s="234" t="s">
        <v>3828</v>
      </c>
      <c r="I1822" s="306" t="s">
        <v>3829</v>
      </c>
      <c r="J1822" s="234">
        <f t="shared" si="60"/>
        <v>0.98057538849223014</v>
      </c>
      <c r="K1822" s="315">
        <f t="shared" si="61"/>
        <v>-1.9615748497035557E-2</v>
      </c>
      <c r="L1822" s="234"/>
      <c r="M1822" s="234"/>
      <c r="N1822" s="234"/>
      <c r="O1822" s="234"/>
      <c r="P1822" s="234"/>
      <c r="Q1822" s="234"/>
      <c r="R1822" s="234"/>
    </row>
    <row r="1823" spans="8:18" ht="15" customHeight="1" x14ac:dyDescent="0.3">
      <c r="H1823" s="234" t="s">
        <v>3830</v>
      </c>
      <c r="I1823" s="306" t="s">
        <v>3831</v>
      </c>
      <c r="J1823" s="234">
        <f t="shared" si="60"/>
        <v>0.99370068470818385</v>
      </c>
      <c r="K1823" s="315">
        <f t="shared" si="61"/>
        <v>-6.3192396958630034E-3</v>
      </c>
      <c r="L1823" s="234"/>
      <c r="M1823" s="234"/>
      <c r="N1823" s="234"/>
      <c r="O1823" s="234"/>
      <c r="P1823" s="234"/>
      <c r="Q1823" s="234"/>
      <c r="R1823" s="234"/>
    </row>
    <row r="1824" spans="8:18" ht="15" customHeight="1" x14ac:dyDescent="0.3">
      <c r="H1824" s="234" t="s">
        <v>3832</v>
      </c>
      <c r="I1824" s="306" t="s">
        <v>3833</v>
      </c>
      <c r="J1824" s="234">
        <f t="shared" si="60"/>
        <v>1.0037834158091796</v>
      </c>
      <c r="K1824" s="315">
        <f t="shared" si="61"/>
        <v>3.7762766927518375E-3</v>
      </c>
      <c r="L1824" s="234"/>
      <c r="M1824" s="234"/>
      <c r="N1824" s="234"/>
      <c r="O1824" s="234"/>
      <c r="P1824" s="234"/>
      <c r="Q1824" s="234"/>
      <c r="R1824" s="234"/>
    </row>
    <row r="1825" spans="8:18" ht="15" customHeight="1" x14ac:dyDescent="0.3">
      <c r="H1825" s="234" t="s">
        <v>3834</v>
      </c>
      <c r="I1825" s="306" t="s">
        <v>3835</v>
      </c>
      <c r="J1825" s="234">
        <f t="shared" si="60"/>
        <v>0.97444794550255776</v>
      </c>
      <c r="K1825" s="315">
        <f t="shared" si="61"/>
        <v>-2.5884178082525085E-2</v>
      </c>
      <c r="L1825" s="234"/>
      <c r="M1825" s="234"/>
      <c r="N1825" s="234"/>
      <c r="O1825" s="234"/>
      <c r="P1825" s="234"/>
      <c r="Q1825" s="234"/>
      <c r="R1825" s="234"/>
    </row>
    <row r="1826" spans="8:18" ht="15" customHeight="1" x14ac:dyDescent="0.3">
      <c r="H1826" s="234" t="s">
        <v>3836</v>
      </c>
      <c r="I1826" s="306" t="s">
        <v>3837</v>
      </c>
      <c r="J1826" s="234">
        <f t="shared" si="60"/>
        <v>1.0118365344898803</v>
      </c>
      <c r="K1826" s="315">
        <f t="shared" si="61"/>
        <v>1.1767030634440522E-2</v>
      </c>
      <c r="L1826" s="234"/>
      <c r="M1826" s="234"/>
      <c r="N1826" s="234"/>
      <c r="O1826" s="234"/>
      <c r="P1826" s="234"/>
      <c r="Q1826" s="234"/>
      <c r="R1826" s="234"/>
    </row>
    <row r="1827" spans="8:18" ht="15" customHeight="1" x14ac:dyDescent="0.3">
      <c r="H1827" s="234" t="s">
        <v>3838</v>
      </c>
      <c r="I1827" s="306" t="s">
        <v>3839</v>
      </c>
      <c r="J1827" s="234">
        <f t="shared" si="60"/>
        <v>0.99414844471820141</v>
      </c>
      <c r="K1827" s="315">
        <f t="shared" si="61"/>
        <v>-5.8687427130065459E-3</v>
      </c>
      <c r="L1827" s="234"/>
      <c r="M1827" s="234"/>
      <c r="N1827" s="234"/>
      <c r="O1827" s="234"/>
      <c r="P1827" s="234"/>
      <c r="Q1827" s="234"/>
      <c r="R1827" s="234"/>
    </row>
    <row r="1828" spans="8:18" ht="15" customHeight="1" x14ac:dyDescent="0.3">
      <c r="H1828" s="234" t="s">
        <v>3840</v>
      </c>
      <c r="I1828" s="306" t="s">
        <v>3841</v>
      </c>
      <c r="J1828" s="234">
        <f t="shared" si="60"/>
        <v>1.0218189447183468</v>
      </c>
      <c r="K1828" s="315">
        <f t="shared" si="61"/>
        <v>2.158431827737748E-2</v>
      </c>
      <c r="L1828" s="234"/>
      <c r="M1828" s="234"/>
      <c r="N1828" s="234"/>
      <c r="O1828" s="234"/>
      <c r="P1828" s="234"/>
      <c r="Q1828" s="234"/>
      <c r="R1828" s="234"/>
    </row>
    <row r="1829" spans="8:18" ht="15" customHeight="1" x14ac:dyDescent="0.3">
      <c r="H1829" s="234" t="s">
        <v>3842</v>
      </c>
      <c r="I1829" s="306" t="s">
        <v>3843</v>
      </c>
      <c r="J1829" s="234">
        <f t="shared" si="60"/>
        <v>1.0081563049426943</v>
      </c>
      <c r="K1829" s="315">
        <f t="shared" si="61"/>
        <v>8.1232220552073173E-3</v>
      </c>
      <c r="L1829" s="234"/>
      <c r="M1829" s="234"/>
      <c r="N1829" s="234"/>
      <c r="O1829" s="234"/>
      <c r="P1829" s="234"/>
      <c r="Q1829" s="234"/>
      <c r="R1829" s="234"/>
    </row>
    <row r="1830" spans="8:18" ht="15" customHeight="1" x14ac:dyDescent="0.3">
      <c r="H1830" s="234" t="s">
        <v>3844</v>
      </c>
      <c r="I1830" s="306" t="s">
        <v>3845</v>
      </c>
      <c r="J1830" s="234">
        <f t="shared" si="60"/>
        <v>0.9837316965330698</v>
      </c>
      <c r="K1830" s="315">
        <f t="shared" si="61"/>
        <v>-1.6402085234979203E-2</v>
      </c>
      <c r="L1830" s="234"/>
      <c r="M1830" s="234"/>
      <c r="N1830" s="234"/>
      <c r="O1830" s="234"/>
      <c r="P1830" s="234"/>
      <c r="Q1830" s="234"/>
      <c r="R1830" s="234"/>
    </row>
    <row r="1831" spans="8:18" ht="15" customHeight="1" x14ac:dyDescent="0.3">
      <c r="H1831" s="234" t="s">
        <v>3846</v>
      </c>
      <c r="I1831" s="306" t="s">
        <v>3847</v>
      </c>
      <c r="J1831" s="234">
        <f t="shared" si="60"/>
        <v>1.0229742852961914</v>
      </c>
      <c r="K1831" s="315">
        <f t="shared" si="61"/>
        <v>2.2714350090697971E-2</v>
      </c>
      <c r="L1831" s="234"/>
      <c r="M1831" s="234"/>
      <c r="N1831" s="234"/>
      <c r="O1831" s="234"/>
      <c r="P1831" s="234"/>
      <c r="Q1831" s="234"/>
      <c r="R1831" s="234"/>
    </row>
    <row r="1832" spans="8:18" ht="15" customHeight="1" x14ac:dyDescent="0.3">
      <c r="H1832" s="234" t="s">
        <v>3848</v>
      </c>
      <c r="I1832" s="306" t="s">
        <v>3849</v>
      </c>
      <c r="J1832" s="234">
        <f t="shared" si="60"/>
        <v>0.98485463859446853</v>
      </c>
      <c r="K1832" s="315">
        <f t="shared" si="61"/>
        <v>-1.5261223731310903E-2</v>
      </c>
      <c r="L1832" s="234"/>
      <c r="M1832" s="234"/>
      <c r="N1832" s="234"/>
      <c r="O1832" s="234"/>
      <c r="P1832" s="234"/>
      <c r="Q1832" s="234"/>
      <c r="R1832" s="234"/>
    </row>
    <row r="1833" spans="8:18" ht="15" customHeight="1" x14ac:dyDescent="0.3">
      <c r="H1833" s="234" t="s">
        <v>3850</v>
      </c>
      <c r="I1833" s="306" t="s">
        <v>3851</v>
      </c>
      <c r="J1833" s="234">
        <f t="shared" si="60"/>
        <v>1.0039195570111406</v>
      </c>
      <c r="K1833" s="315">
        <f t="shared" si="61"/>
        <v>3.9118955606945857E-3</v>
      </c>
      <c r="L1833" s="234"/>
      <c r="M1833" s="234"/>
      <c r="N1833" s="234"/>
      <c r="O1833" s="234"/>
      <c r="P1833" s="234"/>
      <c r="Q1833" s="234"/>
      <c r="R1833" s="234"/>
    </row>
    <row r="1834" spans="8:18" ht="15" customHeight="1" x14ac:dyDescent="0.3">
      <c r="H1834" s="234" t="s">
        <v>3852</v>
      </c>
      <c r="I1834" s="306" t="s">
        <v>3853</v>
      </c>
      <c r="J1834" s="234">
        <f t="shared" si="60"/>
        <v>0.98974185401668902</v>
      </c>
      <c r="K1834" s="315">
        <f t="shared" si="61"/>
        <v>-1.0311123374106997E-2</v>
      </c>
      <c r="L1834" s="234"/>
      <c r="M1834" s="234"/>
      <c r="N1834" s="234"/>
      <c r="O1834" s="234"/>
      <c r="P1834" s="234"/>
      <c r="Q1834" s="234"/>
      <c r="R1834" s="234"/>
    </row>
    <row r="1835" spans="8:18" ht="15" customHeight="1" x14ac:dyDescent="0.3">
      <c r="H1835" s="234" t="s">
        <v>3854</v>
      </c>
      <c r="I1835" s="306" t="s">
        <v>3855</v>
      </c>
      <c r="J1835" s="234">
        <f t="shared" si="60"/>
        <v>0.99652331841473696</v>
      </c>
      <c r="K1835" s="315">
        <f t="shared" si="61"/>
        <v>-3.4827392872283556E-3</v>
      </c>
      <c r="L1835" s="234"/>
      <c r="M1835" s="234"/>
      <c r="N1835" s="234"/>
      <c r="O1835" s="234"/>
      <c r="P1835" s="234"/>
      <c r="Q1835" s="234"/>
      <c r="R1835" s="234"/>
    </row>
    <row r="1836" spans="8:18" ht="15" customHeight="1" x14ac:dyDescent="0.3">
      <c r="H1836" s="234" t="s">
        <v>3856</v>
      </c>
      <c r="I1836" s="306" t="s">
        <v>3857</v>
      </c>
      <c r="J1836" s="234">
        <f t="shared" si="60"/>
        <v>0.98055053807209913</v>
      </c>
      <c r="K1836" s="315">
        <f t="shared" si="61"/>
        <v>-1.9641091510246209E-2</v>
      </c>
      <c r="L1836" s="234"/>
      <c r="M1836" s="234"/>
      <c r="N1836" s="234"/>
      <c r="O1836" s="234"/>
      <c r="P1836" s="234"/>
      <c r="Q1836" s="234"/>
      <c r="R1836" s="234"/>
    </row>
    <row r="1837" spans="8:18" ht="15" customHeight="1" x14ac:dyDescent="0.3">
      <c r="H1837" s="234" t="s">
        <v>3858</v>
      </c>
      <c r="I1837" s="306" t="s">
        <v>3859</v>
      </c>
      <c r="J1837" s="234">
        <f t="shared" si="60"/>
        <v>1.0143872824165474</v>
      </c>
      <c r="K1837" s="315">
        <f t="shared" si="61"/>
        <v>1.428476757230141E-2</v>
      </c>
      <c r="L1837" s="234"/>
      <c r="M1837" s="234"/>
      <c r="N1837" s="234"/>
      <c r="O1837" s="234"/>
      <c r="P1837" s="234"/>
      <c r="Q1837" s="234"/>
      <c r="R1837" s="234"/>
    </row>
    <row r="1838" spans="8:18" ht="15" customHeight="1" x14ac:dyDescent="0.3">
      <c r="H1838" s="234" t="s">
        <v>3860</v>
      </c>
      <c r="I1838" s="306" t="s">
        <v>3861</v>
      </c>
      <c r="J1838" s="234">
        <f t="shared" si="60"/>
        <v>1.0128866989923282</v>
      </c>
      <c r="K1838" s="315">
        <f t="shared" si="61"/>
        <v>1.2804372014490042E-2</v>
      </c>
      <c r="L1838" s="234"/>
      <c r="M1838" s="234"/>
      <c r="N1838" s="234"/>
      <c r="O1838" s="234"/>
      <c r="P1838" s="234"/>
      <c r="Q1838" s="234"/>
      <c r="R1838" s="234"/>
    </row>
    <row r="1839" spans="8:18" ht="15" customHeight="1" x14ac:dyDescent="0.3">
      <c r="H1839" s="234" t="s">
        <v>3862</v>
      </c>
      <c r="I1839" s="306" t="s">
        <v>3863</v>
      </c>
      <c r="J1839" s="234">
        <f t="shared" si="60"/>
        <v>0.97139628773836428</v>
      </c>
      <c r="K1839" s="315">
        <f t="shared" si="61"/>
        <v>-2.9020770635995022E-2</v>
      </c>
      <c r="L1839" s="234"/>
      <c r="M1839" s="234"/>
      <c r="N1839" s="234"/>
      <c r="O1839" s="234"/>
      <c r="P1839" s="234"/>
      <c r="Q1839" s="234"/>
      <c r="R1839" s="234"/>
    </row>
    <row r="1840" spans="8:18" ht="15" customHeight="1" x14ac:dyDescent="0.3">
      <c r="H1840" s="234" t="s">
        <v>3864</v>
      </c>
      <c r="I1840" s="306" t="s">
        <v>3865</v>
      </c>
      <c r="J1840" s="234">
        <f t="shared" si="60"/>
        <v>0.99488449053314976</v>
      </c>
      <c r="K1840" s="315">
        <f t="shared" si="61"/>
        <v>-5.1286384789325911E-3</v>
      </c>
      <c r="L1840" s="234"/>
      <c r="M1840" s="234"/>
      <c r="N1840" s="234"/>
      <c r="O1840" s="234"/>
      <c r="P1840" s="234"/>
      <c r="Q1840" s="234"/>
      <c r="R1840" s="234"/>
    </row>
    <row r="1841" spans="8:18" ht="15" customHeight="1" x14ac:dyDescent="0.3">
      <c r="H1841" s="234" t="s">
        <v>3866</v>
      </c>
      <c r="I1841" s="306" t="s">
        <v>3867</v>
      </c>
      <c r="J1841" s="234">
        <f t="shared" si="60"/>
        <v>0.98536348587999556</v>
      </c>
      <c r="K1841" s="315">
        <f t="shared" si="61"/>
        <v>-1.4744684683659354E-2</v>
      </c>
      <c r="L1841" s="234"/>
      <c r="M1841" s="234"/>
      <c r="N1841" s="234"/>
      <c r="O1841" s="234"/>
      <c r="P1841" s="234"/>
      <c r="Q1841" s="234"/>
      <c r="R1841" s="234"/>
    </row>
    <row r="1842" spans="8:18" ht="15" customHeight="1" x14ac:dyDescent="0.3">
      <c r="H1842" s="234" t="s">
        <v>3868</v>
      </c>
      <c r="I1842" s="306" t="s">
        <v>3869</v>
      </c>
      <c r="J1842" s="234">
        <f t="shared" si="60"/>
        <v>0.99080068563254531</v>
      </c>
      <c r="K1842" s="315">
        <f t="shared" si="61"/>
        <v>-9.2418893682364757E-3</v>
      </c>
      <c r="L1842" s="234"/>
      <c r="M1842" s="234"/>
      <c r="N1842" s="234"/>
      <c r="O1842" s="234"/>
      <c r="P1842" s="234"/>
      <c r="Q1842" s="234"/>
      <c r="R1842" s="234"/>
    </row>
    <row r="1843" spans="8:18" ht="15" customHeight="1" x14ac:dyDescent="0.3">
      <c r="H1843" s="234" t="s">
        <v>3870</v>
      </c>
      <c r="I1843" s="306" t="s">
        <v>3871</v>
      </c>
      <c r="J1843" s="234">
        <f t="shared" si="60"/>
        <v>0.995678064951808</v>
      </c>
      <c r="K1843" s="315">
        <f t="shared" si="61"/>
        <v>-4.3313016069873103E-3</v>
      </c>
      <c r="L1843" s="234"/>
      <c r="M1843" s="234"/>
      <c r="N1843" s="234"/>
      <c r="O1843" s="234"/>
      <c r="P1843" s="234"/>
      <c r="Q1843" s="234"/>
      <c r="R1843" s="234"/>
    </row>
    <row r="1844" spans="8:18" ht="15" customHeight="1" x14ac:dyDescent="0.3">
      <c r="H1844" s="234" t="s">
        <v>3872</v>
      </c>
      <c r="I1844" s="306" t="s">
        <v>3873</v>
      </c>
      <c r="J1844" s="234">
        <f t="shared" si="60"/>
        <v>1.0224590740182786</v>
      </c>
      <c r="K1844" s="315">
        <f t="shared" si="61"/>
        <v>2.2210582723785205E-2</v>
      </c>
      <c r="L1844" s="234"/>
      <c r="M1844" s="234"/>
      <c r="N1844" s="234"/>
      <c r="O1844" s="234"/>
      <c r="P1844" s="234"/>
      <c r="Q1844" s="234"/>
      <c r="R1844" s="234"/>
    </row>
    <row r="1845" spans="8:18" ht="15" customHeight="1" x14ac:dyDescent="0.3">
      <c r="H1845" s="234" t="s">
        <v>3874</v>
      </c>
      <c r="I1845" s="306" t="s">
        <v>3875</v>
      </c>
      <c r="J1845" s="234">
        <f t="shared" si="60"/>
        <v>1.0052879336673524</v>
      </c>
      <c r="K1845" s="315">
        <f t="shared" si="61"/>
        <v>5.2740016389631961E-3</v>
      </c>
      <c r="L1845" s="234"/>
      <c r="M1845" s="234"/>
      <c r="N1845" s="234"/>
      <c r="O1845" s="234"/>
      <c r="P1845" s="234"/>
      <c r="Q1845" s="234"/>
      <c r="R1845" s="234"/>
    </row>
    <row r="1846" spans="8:18" ht="15" customHeight="1" x14ac:dyDescent="0.3">
      <c r="H1846" s="234" t="s">
        <v>3876</v>
      </c>
      <c r="I1846" s="306" t="s">
        <v>3877</v>
      </c>
      <c r="J1846" s="234">
        <f t="shared" si="60"/>
        <v>1.0003029805713708</v>
      </c>
      <c r="K1846" s="315">
        <f t="shared" si="61"/>
        <v>3.029346820262974E-4</v>
      </c>
      <c r="L1846" s="234"/>
      <c r="M1846" s="234"/>
      <c r="N1846" s="234"/>
      <c r="O1846" s="234"/>
      <c r="P1846" s="234"/>
      <c r="Q1846" s="234"/>
      <c r="R1846" s="234"/>
    </row>
    <row r="1847" spans="8:18" ht="15" customHeight="1" x14ac:dyDescent="0.3">
      <c r="H1847" s="234" t="s">
        <v>3878</v>
      </c>
      <c r="I1847" s="306" t="s">
        <v>3879</v>
      </c>
      <c r="J1847" s="234">
        <f t="shared" si="60"/>
        <v>0.98672130943335123</v>
      </c>
      <c r="K1847" s="315">
        <f t="shared" si="61"/>
        <v>-1.3367640683171179E-2</v>
      </c>
      <c r="L1847" s="234"/>
      <c r="M1847" s="234"/>
      <c r="N1847" s="234"/>
      <c r="O1847" s="234"/>
      <c r="P1847" s="234"/>
      <c r="Q1847" s="234"/>
      <c r="R1847" s="234"/>
    </row>
    <row r="1848" spans="8:18" ht="15" customHeight="1" x14ac:dyDescent="0.3">
      <c r="H1848" s="234" t="s">
        <v>3880</v>
      </c>
      <c r="I1848" s="306" t="s">
        <v>3881</v>
      </c>
      <c r="J1848" s="234">
        <f t="shared" si="60"/>
        <v>1.0051711616958405</v>
      </c>
      <c r="K1848" s="315">
        <f t="shared" si="61"/>
        <v>5.1578371550277018E-3</v>
      </c>
      <c r="L1848" s="234"/>
      <c r="M1848" s="234"/>
      <c r="N1848" s="234"/>
      <c r="O1848" s="234"/>
      <c r="P1848" s="234"/>
      <c r="Q1848" s="234"/>
      <c r="R1848" s="234"/>
    </row>
    <row r="1849" spans="8:18" ht="15" customHeight="1" x14ac:dyDescent="0.3">
      <c r="H1849" s="234" t="s">
        <v>3882</v>
      </c>
      <c r="I1849" s="306" t="s">
        <v>3883</v>
      </c>
      <c r="J1849" s="234">
        <f t="shared" si="60"/>
        <v>1.0058056797430892</v>
      </c>
      <c r="K1849" s="315">
        <f t="shared" si="61"/>
        <v>5.7888917303271963E-3</v>
      </c>
      <c r="L1849" s="234"/>
      <c r="M1849" s="234"/>
      <c r="N1849" s="234"/>
      <c r="O1849" s="234"/>
      <c r="P1849" s="234"/>
      <c r="Q1849" s="234"/>
      <c r="R1849" s="234"/>
    </row>
    <row r="1850" spans="8:18" ht="15" customHeight="1" x14ac:dyDescent="0.3">
      <c r="H1850" s="234" t="s">
        <v>3884</v>
      </c>
      <c r="I1850" s="306" t="s">
        <v>3885</v>
      </c>
      <c r="J1850" s="234">
        <f t="shared" si="60"/>
        <v>0.98956905361282121</v>
      </c>
      <c r="K1850" s="315">
        <f t="shared" si="61"/>
        <v>-1.0485730004768951E-2</v>
      </c>
      <c r="L1850" s="234"/>
      <c r="M1850" s="234"/>
      <c r="N1850" s="234"/>
      <c r="O1850" s="234"/>
      <c r="P1850" s="234"/>
      <c r="Q1850" s="234"/>
      <c r="R1850" s="234"/>
    </row>
    <row r="1851" spans="8:18" ht="15" customHeight="1" x14ac:dyDescent="0.3">
      <c r="H1851" s="234" t="s">
        <v>3886</v>
      </c>
      <c r="I1851" s="306" t="s">
        <v>3887</v>
      </c>
      <c r="J1851" s="234">
        <f t="shared" si="60"/>
        <v>1.0137453571518811</v>
      </c>
      <c r="K1851" s="315">
        <f t="shared" si="61"/>
        <v>1.3651746562158092E-2</v>
      </c>
      <c r="L1851" s="234"/>
      <c r="M1851" s="234"/>
      <c r="N1851" s="234"/>
      <c r="O1851" s="234"/>
      <c r="P1851" s="234"/>
      <c r="Q1851" s="234"/>
      <c r="R1851" s="234"/>
    </row>
    <row r="1852" spans="8:18" ht="15" customHeight="1" x14ac:dyDescent="0.3">
      <c r="H1852" s="234" t="s">
        <v>3888</v>
      </c>
      <c r="I1852" s="306" t="s">
        <v>3889</v>
      </c>
      <c r="J1852" s="234">
        <f t="shared" si="60"/>
        <v>1.0147298250112173</v>
      </c>
      <c r="K1852" s="315">
        <f t="shared" si="61"/>
        <v>1.4622394806008078E-2</v>
      </c>
      <c r="L1852" s="234"/>
      <c r="M1852" s="234"/>
      <c r="N1852" s="234"/>
      <c r="O1852" s="234"/>
      <c r="P1852" s="234"/>
      <c r="Q1852" s="234"/>
      <c r="R1852" s="234"/>
    </row>
    <row r="1853" spans="8:18" ht="15" customHeight="1" x14ac:dyDescent="0.3">
      <c r="H1853" s="234" t="s">
        <v>3890</v>
      </c>
      <c r="I1853" s="306" t="s">
        <v>3891</v>
      </c>
      <c r="J1853" s="234">
        <f t="shared" si="60"/>
        <v>0.99279632434358733</v>
      </c>
      <c r="K1853" s="315">
        <f t="shared" si="61"/>
        <v>-7.2297474116599239E-3</v>
      </c>
      <c r="L1853" s="234"/>
      <c r="M1853" s="234"/>
      <c r="N1853" s="234"/>
      <c r="O1853" s="234"/>
      <c r="P1853" s="234"/>
      <c r="Q1853" s="234"/>
      <c r="R1853" s="234"/>
    </row>
    <row r="1854" spans="8:18" ht="15" customHeight="1" x14ac:dyDescent="0.3">
      <c r="H1854" s="234" t="s">
        <v>3892</v>
      </c>
      <c r="I1854" s="306" t="s">
        <v>3893</v>
      </c>
      <c r="J1854" s="234">
        <f t="shared" si="60"/>
        <v>1.0138193548387098</v>
      </c>
      <c r="K1854" s="315">
        <f t="shared" si="61"/>
        <v>1.372473825157145E-2</v>
      </c>
      <c r="L1854" s="234"/>
      <c r="M1854" s="234"/>
      <c r="N1854" s="234"/>
      <c r="O1854" s="234"/>
      <c r="P1854" s="234"/>
      <c r="Q1854" s="234"/>
      <c r="R1854" s="234"/>
    </row>
    <row r="1855" spans="8:18" ht="15" customHeight="1" x14ac:dyDescent="0.3">
      <c r="H1855" s="234" t="s">
        <v>3894</v>
      </c>
      <c r="I1855" s="306" t="s">
        <v>3895</v>
      </c>
      <c r="J1855" s="234">
        <f t="shared" si="60"/>
        <v>1.0018097207859358</v>
      </c>
      <c r="K1855" s="315">
        <f t="shared" si="61"/>
        <v>1.8080852142623167E-3</v>
      </c>
      <c r="L1855" s="234"/>
      <c r="M1855" s="234"/>
      <c r="N1855" s="234"/>
      <c r="O1855" s="234"/>
      <c r="P1855" s="234"/>
      <c r="Q1855" s="234"/>
      <c r="R1855" s="234"/>
    </row>
    <row r="1856" spans="8:18" ht="15" customHeight="1" x14ac:dyDescent="0.3">
      <c r="H1856" s="234" t="s">
        <v>3896</v>
      </c>
      <c r="I1856" s="306" t="s">
        <v>3897</v>
      </c>
      <c r="J1856" s="234">
        <f t="shared" si="60"/>
        <v>0.99022067482463771</v>
      </c>
      <c r="K1856" s="315">
        <f t="shared" si="61"/>
        <v>-9.8274568296060263E-3</v>
      </c>
      <c r="L1856" s="234"/>
      <c r="M1856" s="234"/>
      <c r="N1856" s="234"/>
      <c r="O1856" s="234"/>
      <c r="P1856" s="234"/>
      <c r="Q1856" s="234"/>
      <c r="R1856" s="234"/>
    </row>
    <row r="1857" spans="8:18" ht="15" customHeight="1" x14ac:dyDescent="0.3">
      <c r="H1857" s="234" t="s">
        <v>3898</v>
      </c>
      <c r="I1857" s="306" t="s">
        <v>3899</v>
      </c>
      <c r="J1857" s="234">
        <f t="shared" si="60"/>
        <v>1.0191903774151045</v>
      </c>
      <c r="K1857" s="315">
        <f t="shared" si="61"/>
        <v>1.9008564479481769E-2</v>
      </c>
      <c r="L1857" s="234"/>
      <c r="M1857" s="234"/>
      <c r="N1857" s="234"/>
      <c r="O1857" s="234"/>
      <c r="P1857" s="234"/>
      <c r="Q1857" s="234"/>
      <c r="R1857" s="234"/>
    </row>
    <row r="1858" spans="8:18" ht="15" customHeight="1" x14ac:dyDescent="0.3">
      <c r="H1858" s="234" t="s">
        <v>3900</v>
      </c>
      <c r="I1858" s="306" t="s">
        <v>3901</v>
      </c>
      <c r="J1858" s="234">
        <f t="shared" si="60"/>
        <v>1.0008617650515101</v>
      </c>
      <c r="K1858" s="315">
        <f t="shared" si="61"/>
        <v>8.6139394519713834E-4</v>
      </c>
      <c r="L1858" s="234"/>
      <c r="M1858" s="234"/>
      <c r="N1858" s="234"/>
      <c r="O1858" s="234"/>
      <c r="P1858" s="234"/>
      <c r="Q1858" s="234"/>
      <c r="R1858" s="234"/>
    </row>
    <row r="1859" spans="8:18" ht="15" customHeight="1" x14ac:dyDescent="0.3">
      <c r="H1859" s="234" t="s">
        <v>3902</v>
      </c>
      <c r="I1859" s="306" t="s">
        <v>3903</v>
      </c>
      <c r="J1859" s="234">
        <f t="shared" si="60"/>
        <v>1.0096366800253112</v>
      </c>
      <c r="K1859" s="315">
        <f t="shared" si="61"/>
        <v>9.5905433902036853E-3</v>
      </c>
      <c r="L1859" s="234"/>
      <c r="M1859" s="234"/>
      <c r="N1859" s="234"/>
      <c r="O1859" s="234"/>
      <c r="P1859" s="234"/>
      <c r="Q1859" s="234"/>
      <c r="R1859" s="234"/>
    </row>
    <row r="1860" spans="8:18" ht="15" customHeight="1" x14ac:dyDescent="0.3">
      <c r="H1860" s="234" t="s">
        <v>3904</v>
      </c>
      <c r="I1860" s="306" t="s">
        <v>3905</v>
      </c>
      <c r="J1860" s="234">
        <f t="shared" si="60"/>
        <v>1.0195287824415682</v>
      </c>
      <c r="K1860" s="315">
        <f t="shared" si="61"/>
        <v>1.9340542553004554E-2</v>
      </c>
      <c r="L1860" s="234"/>
      <c r="M1860" s="234"/>
      <c r="N1860" s="234"/>
      <c r="O1860" s="234"/>
      <c r="P1860" s="234"/>
      <c r="Q1860" s="234"/>
      <c r="R1860" s="234"/>
    </row>
    <row r="1861" spans="8:18" ht="15" customHeight="1" x14ac:dyDescent="0.3">
      <c r="H1861" s="234" t="s">
        <v>3906</v>
      </c>
      <c r="I1861" s="306" t="s">
        <v>3907</v>
      </c>
      <c r="J1861" s="234">
        <f t="shared" ref="J1861:J1924" si="62">I1861/I1862</f>
        <v>0.99386871844193314</v>
      </c>
      <c r="K1861" s="315">
        <f t="shared" ref="K1861:K1924" si="63">LN(J1861)</f>
        <v>-6.150155050181386E-3</v>
      </c>
      <c r="L1861" s="234"/>
      <c r="M1861" s="234"/>
      <c r="N1861" s="234"/>
      <c r="O1861" s="234"/>
      <c r="P1861" s="234"/>
      <c r="Q1861" s="234"/>
      <c r="R1861" s="234"/>
    </row>
    <row r="1862" spans="8:18" ht="15" customHeight="1" x14ac:dyDescent="0.3">
      <c r="H1862" s="234" t="s">
        <v>3908</v>
      </c>
      <c r="I1862" s="306" t="s">
        <v>3909</v>
      </c>
      <c r="J1862" s="234">
        <f t="shared" si="62"/>
        <v>0.99796040791841634</v>
      </c>
      <c r="K1862" s="315">
        <f t="shared" si="63"/>
        <v>-2.0416748820373766E-3</v>
      </c>
      <c r="L1862" s="234"/>
      <c r="M1862" s="234"/>
      <c r="N1862" s="234"/>
      <c r="O1862" s="234"/>
      <c r="P1862" s="234"/>
      <c r="Q1862" s="234"/>
      <c r="R1862" s="234"/>
    </row>
    <row r="1863" spans="8:18" ht="15" customHeight="1" x14ac:dyDescent="0.3">
      <c r="H1863" s="234" t="s">
        <v>3910</v>
      </c>
      <c r="I1863" s="306" t="s">
        <v>3911</v>
      </c>
      <c r="J1863" s="234">
        <f t="shared" si="62"/>
        <v>1.0061294562622387</v>
      </c>
      <c r="K1863" s="315">
        <f t="shared" si="63"/>
        <v>6.1107475557464841E-3</v>
      </c>
      <c r="L1863" s="234"/>
      <c r="M1863" s="234"/>
      <c r="N1863" s="234"/>
      <c r="O1863" s="234"/>
      <c r="P1863" s="234"/>
      <c r="Q1863" s="234"/>
      <c r="R1863" s="234"/>
    </row>
    <row r="1864" spans="8:18" ht="15" customHeight="1" x14ac:dyDescent="0.3">
      <c r="H1864" s="234" t="s">
        <v>3912</v>
      </c>
      <c r="I1864" s="306" t="s">
        <v>3913</v>
      </c>
      <c r="J1864" s="234">
        <f t="shared" si="62"/>
        <v>0.99741809474120746</v>
      </c>
      <c r="K1864" s="315">
        <f t="shared" si="63"/>
        <v>-2.5852441245034293E-3</v>
      </c>
      <c r="L1864" s="234"/>
      <c r="M1864" s="234"/>
      <c r="N1864" s="234"/>
      <c r="O1864" s="234"/>
      <c r="P1864" s="234"/>
      <c r="Q1864" s="234"/>
      <c r="R1864" s="234"/>
    </row>
    <row r="1865" spans="8:18" ht="15" customHeight="1" x14ac:dyDescent="0.3">
      <c r="H1865" s="234" t="s">
        <v>3914</v>
      </c>
      <c r="I1865" s="306" t="s">
        <v>3915</v>
      </c>
      <c r="J1865" s="234">
        <f t="shared" si="62"/>
        <v>1.0147148655435949</v>
      </c>
      <c r="K1865" s="315">
        <f t="shared" si="63"/>
        <v>1.4607652381449955E-2</v>
      </c>
      <c r="L1865" s="234"/>
      <c r="M1865" s="234"/>
      <c r="N1865" s="234"/>
      <c r="O1865" s="234"/>
      <c r="P1865" s="234"/>
      <c r="Q1865" s="234"/>
      <c r="R1865" s="234"/>
    </row>
    <row r="1866" spans="8:18" ht="15" customHeight="1" x14ac:dyDescent="0.3">
      <c r="H1866" s="234" t="s">
        <v>3916</v>
      </c>
      <c r="I1866" s="306" t="s">
        <v>3917</v>
      </c>
      <c r="J1866" s="234">
        <f t="shared" si="62"/>
        <v>1.0112425873050737</v>
      </c>
      <c r="K1866" s="315">
        <f t="shared" si="63"/>
        <v>1.1179859133857493E-2</v>
      </c>
      <c r="L1866" s="234"/>
      <c r="M1866" s="234"/>
      <c r="N1866" s="234"/>
      <c r="O1866" s="234"/>
      <c r="P1866" s="234"/>
      <c r="Q1866" s="234"/>
      <c r="R1866" s="234"/>
    </row>
    <row r="1867" spans="8:18" ht="15" customHeight="1" x14ac:dyDescent="0.3">
      <c r="H1867" s="234" t="s">
        <v>3918</v>
      </c>
      <c r="I1867" s="306" t="s">
        <v>3919</v>
      </c>
      <c r="J1867" s="234">
        <f t="shared" si="62"/>
        <v>1.0011681761334745</v>
      </c>
      <c r="K1867" s="315">
        <f t="shared" si="63"/>
        <v>1.1674943466481965E-3</v>
      </c>
      <c r="L1867" s="234"/>
      <c r="M1867" s="234"/>
      <c r="N1867" s="234"/>
      <c r="O1867" s="234"/>
      <c r="P1867" s="234"/>
      <c r="Q1867" s="234"/>
      <c r="R1867" s="234"/>
    </row>
    <row r="1868" spans="8:18" ht="15" customHeight="1" x14ac:dyDescent="0.3">
      <c r="H1868" s="234" t="s">
        <v>3920</v>
      </c>
      <c r="I1868" s="306" t="s">
        <v>3921</v>
      </c>
      <c r="J1868" s="234">
        <f t="shared" si="62"/>
        <v>1.0137087448975326</v>
      </c>
      <c r="K1868" s="315">
        <f t="shared" si="63"/>
        <v>1.3615630080590939E-2</v>
      </c>
      <c r="L1868" s="234"/>
      <c r="M1868" s="234"/>
      <c r="N1868" s="234"/>
      <c r="O1868" s="234"/>
      <c r="P1868" s="234"/>
      <c r="Q1868" s="234"/>
      <c r="R1868" s="234"/>
    </row>
    <row r="1869" spans="8:18" ht="15" customHeight="1" x14ac:dyDescent="0.3">
      <c r="H1869" s="234" t="s">
        <v>3922</v>
      </c>
      <c r="I1869" s="306" t="s">
        <v>3923</v>
      </c>
      <c r="J1869" s="234">
        <f t="shared" si="62"/>
        <v>1.0165701256213797</v>
      </c>
      <c r="K1869" s="315">
        <f t="shared" si="63"/>
        <v>1.6434339037175488E-2</v>
      </c>
      <c r="L1869" s="234"/>
      <c r="M1869" s="234"/>
      <c r="N1869" s="234"/>
      <c r="O1869" s="234"/>
      <c r="P1869" s="234"/>
      <c r="Q1869" s="234"/>
      <c r="R1869" s="234"/>
    </row>
    <row r="1870" spans="8:18" ht="15" customHeight="1" x14ac:dyDescent="0.3">
      <c r="H1870" s="234" t="s">
        <v>3924</v>
      </c>
      <c r="I1870" s="306" t="s">
        <v>3925</v>
      </c>
      <c r="J1870" s="234">
        <f t="shared" si="62"/>
        <v>0.98885232126601774</v>
      </c>
      <c r="K1870" s="315">
        <f t="shared" si="63"/>
        <v>-1.1210279776884871E-2</v>
      </c>
      <c r="L1870" s="234"/>
      <c r="M1870" s="234"/>
      <c r="N1870" s="234"/>
      <c r="O1870" s="234"/>
      <c r="P1870" s="234"/>
      <c r="Q1870" s="234"/>
      <c r="R1870" s="234"/>
    </row>
    <row r="1871" spans="8:18" ht="15" customHeight="1" x14ac:dyDescent="0.3">
      <c r="H1871" s="234" t="s">
        <v>3926</v>
      </c>
      <c r="I1871" s="306" t="s">
        <v>3927</v>
      </c>
      <c r="J1871" s="234">
        <f t="shared" si="62"/>
        <v>1.0061577048810733</v>
      </c>
      <c r="K1871" s="315">
        <f t="shared" si="63"/>
        <v>6.1388236866107828E-3</v>
      </c>
      <c r="L1871" s="234"/>
      <c r="M1871" s="234"/>
      <c r="N1871" s="234"/>
      <c r="O1871" s="234"/>
      <c r="P1871" s="234"/>
      <c r="Q1871" s="234"/>
      <c r="R1871" s="234"/>
    </row>
    <row r="1872" spans="8:18" ht="15" customHeight="1" x14ac:dyDescent="0.3">
      <c r="H1872" s="234" t="s">
        <v>3928</v>
      </c>
      <c r="I1872" s="306" t="s">
        <v>3929</v>
      </c>
      <c r="J1872" s="234">
        <f t="shared" si="62"/>
        <v>1.0046148183800006</v>
      </c>
      <c r="K1872" s="315">
        <f t="shared" si="63"/>
        <v>4.6042027525930364E-3</v>
      </c>
      <c r="L1872" s="234"/>
      <c r="M1872" s="234"/>
      <c r="N1872" s="234"/>
      <c r="O1872" s="234"/>
      <c r="P1872" s="234"/>
      <c r="Q1872" s="234"/>
      <c r="R1872" s="234"/>
    </row>
    <row r="1873" spans="8:18" ht="15" customHeight="1" x14ac:dyDescent="0.3">
      <c r="H1873" s="234" t="s">
        <v>3930</v>
      </c>
      <c r="I1873" s="306" t="s">
        <v>3931</v>
      </c>
      <c r="J1873" s="234">
        <f t="shared" si="62"/>
        <v>1.0080625597556974</v>
      </c>
      <c r="K1873" s="315">
        <f t="shared" si="63"/>
        <v>8.0302309730328394E-3</v>
      </c>
      <c r="L1873" s="234"/>
      <c r="M1873" s="234"/>
      <c r="N1873" s="234"/>
      <c r="O1873" s="234"/>
      <c r="P1873" s="234"/>
      <c r="Q1873" s="234"/>
      <c r="R1873" s="234"/>
    </row>
    <row r="1874" spans="8:18" ht="15" customHeight="1" x14ac:dyDescent="0.3">
      <c r="H1874" s="234" t="s">
        <v>3932</v>
      </c>
      <c r="I1874" s="306" t="s">
        <v>3933</v>
      </c>
      <c r="J1874" s="234">
        <f t="shared" si="62"/>
        <v>0.97171263363700655</v>
      </c>
      <c r="K1874" s="315">
        <f t="shared" si="63"/>
        <v>-2.8695162639492917E-2</v>
      </c>
      <c r="L1874" s="234"/>
      <c r="M1874" s="234"/>
      <c r="N1874" s="234"/>
      <c r="O1874" s="234"/>
      <c r="P1874" s="234"/>
      <c r="Q1874" s="234"/>
      <c r="R1874" s="234"/>
    </row>
    <row r="1875" spans="8:18" ht="15" customHeight="1" x14ac:dyDescent="0.3">
      <c r="H1875" s="234" t="s">
        <v>3934</v>
      </c>
      <c r="I1875" s="306" t="s">
        <v>3935</v>
      </c>
      <c r="J1875" s="234">
        <f t="shared" si="62"/>
        <v>1.01008445733014</v>
      </c>
      <c r="K1875" s="315">
        <f t="shared" si="63"/>
        <v>1.0033948476067667E-2</v>
      </c>
      <c r="L1875" s="234"/>
      <c r="M1875" s="234"/>
      <c r="N1875" s="234"/>
      <c r="O1875" s="234"/>
      <c r="P1875" s="234"/>
      <c r="Q1875" s="234"/>
      <c r="R1875" s="234"/>
    </row>
    <row r="1876" spans="8:18" ht="15" customHeight="1" x14ac:dyDescent="0.3">
      <c r="H1876" s="234" t="s">
        <v>3936</v>
      </c>
      <c r="I1876" s="306" t="s">
        <v>3937</v>
      </c>
      <c r="J1876" s="234">
        <f t="shared" si="62"/>
        <v>1.0227184827605964</v>
      </c>
      <c r="K1876" s="315">
        <f t="shared" si="63"/>
        <v>2.2464261181040997E-2</v>
      </c>
      <c r="L1876" s="234"/>
      <c r="M1876" s="234"/>
      <c r="N1876" s="234"/>
      <c r="O1876" s="234"/>
      <c r="P1876" s="234"/>
      <c r="Q1876" s="234"/>
      <c r="R1876" s="234"/>
    </row>
    <row r="1877" spans="8:18" ht="15" customHeight="1" x14ac:dyDescent="0.3">
      <c r="H1877" s="234" t="s">
        <v>3938</v>
      </c>
      <c r="I1877" s="306" t="s">
        <v>3939</v>
      </c>
      <c r="J1877" s="234">
        <f t="shared" si="62"/>
        <v>0.98663029806238256</v>
      </c>
      <c r="K1877" s="315">
        <f t="shared" si="63"/>
        <v>-1.3459881083399398E-2</v>
      </c>
      <c r="L1877" s="234"/>
      <c r="M1877" s="234"/>
      <c r="N1877" s="234"/>
      <c r="O1877" s="234"/>
      <c r="P1877" s="234"/>
      <c r="Q1877" s="234"/>
      <c r="R1877" s="234"/>
    </row>
    <row r="1878" spans="8:18" ht="15" customHeight="1" x14ac:dyDescent="0.3">
      <c r="H1878" s="234" t="s">
        <v>3940</v>
      </c>
      <c r="I1878" s="306" t="s">
        <v>3941</v>
      </c>
      <c r="J1878" s="234">
        <f t="shared" si="62"/>
        <v>0.99070301451953902</v>
      </c>
      <c r="K1878" s="315">
        <f t="shared" si="63"/>
        <v>-9.340472190037816E-3</v>
      </c>
      <c r="L1878" s="234"/>
      <c r="M1878" s="234"/>
      <c r="N1878" s="234"/>
      <c r="O1878" s="234"/>
      <c r="P1878" s="234"/>
      <c r="Q1878" s="234"/>
      <c r="R1878" s="234"/>
    </row>
    <row r="1879" spans="8:18" ht="15" customHeight="1" x14ac:dyDescent="0.3">
      <c r="H1879" s="234" t="s">
        <v>3942</v>
      </c>
      <c r="I1879" s="306" t="s">
        <v>3943</v>
      </c>
      <c r="J1879" s="234">
        <f t="shared" si="62"/>
        <v>0.98988233011323479</v>
      </c>
      <c r="K1879" s="315">
        <f t="shared" si="63"/>
        <v>-1.0169201389209343E-2</v>
      </c>
      <c r="L1879" s="234"/>
      <c r="M1879" s="234"/>
      <c r="N1879" s="234"/>
      <c r="O1879" s="234"/>
      <c r="P1879" s="234"/>
      <c r="Q1879" s="234"/>
      <c r="R1879" s="234"/>
    </row>
    <row r="1880" spans="8:18" ht="15" customHeight="1" x14ac:dyDescent="0.3">
      <c r="H1880" s="234" t="s">
        <v>3944</v>
      </c>
      <c r="I1880" s="306" t="s">
        <v>3945</v>
      </c>
      <c r="J1880" s="234">
        <f t="shared" si="62"/>
        <v>0.9916709045177784</v>
      </c>
      <c r="K1880" s="315">
        <f t="shared" si="63"/>
        <v>-8.3639762163418823E-3</v>
      </c>
      <c r="L1880" s="234"/>
      <c r="M1880" s="234"/>
      <c r="N1880" s="234"/>
      <c r="O1880" s="234"/>
      <c r="P1880" s="234"/>
      <c r="Q1880" s="234"/>
      <c r="R1880" s="234"/>
    </row>
    <row r="1881" spans="8:18" ht="15" customHeight="1" x14ac:dyDescent="0.3">
      <c r="H1881" s="234" t="s">
        <v>3946</v>
      </c>
      <c r="I1881" s="306" t="s">
        <v>3947</v>
      </c>
      <c r="J1881" s="234">
        <f t="shared" si="62"/>
        <v>1.0062095480444764</v>
      </c>
      <c r="K1881" s="315">
        <f t="shared" si="63"/>
        <v>6.1903482414247422E-3</v>
      </c>
      <c r="L1881" s="234"/>
      <c r="M1881" s="234"/>
      <c r="N1881" s="234"/>
      <c r="O1881" s="234"/>
      <c r="P1881" s="234"/>
      <c r="Q1881" s="234"/>
      <c r="R1881" s="234"/>
    </row>
    <row r="1882" spans="8:18" ht="15" customHeight="1" x14ac:dyDescent="0.3">
      <c r="H1882" s="234" t="s">
        <v>3948</v>
      </c>
      <c r="I1882" s="306" t="s">
        <v>3949</v>
      </c>
      <c r="J1882" s="234">
        <f t="shared" si="62"/>
        <v>0.99129457247439778</v>
      </c>
      <c r="K1882" s="315">
        <f t="shared" si="63"/>
        <v>-8.7435411177637749E-3</v>
      </c>
      <c r="L1882" s="234"/>
      <c r="M1882" s="234"/>
      <c r="N1882" s="234"/>
      <c r="O1882" s="234"/>
      <c r="P1882" s="234"/>
      <c r="Q1882" s="234"/>
      <c r="R1882" s="234"/>
    </row>
    <row r="1883" spans="8:18" ht="15" customHeight="1" x14ac:dyDescent="0.3">
      <c r="H1883" s="234" t="s">
        <v>3950</v>
      </c>
      <c r="I1883" s="306" t="s">
        <v>3951</v>
      </c>
      <c r="J1883" s="234">
        <f t="shared" si="62"/>
        <v>0.98774509803921573</v>
      </c>
      <c r="K1883" s="315">
        <f t="shared" si="63"/>
        <v>-1.2330612457478674E-2</v>
      </c>
      <c r="L1883" s="234"/>
      <c r="M1883" s="234"/>
      <c r="N1883" s="234"/>
      <c r="O1883" s="234"/>
      <c r="P1883" s="234"/>
      <c r="Q1883" s="234"/>
      <c r="R1883" s="234"/>
    </row>
    <row r="1884" spans="8:18" ht="15" customHeight="1" x14ac:dyDescent="0.3">
      <c r="H1884" s="234" t="s">
        <v>3952</v>
      </c>
      <c r="I1884" s="306" t="s">
        <v>3953</v>
      </c>
      <c r="J1884" s="234">
        <f t="shared" si="62"/>
        <v>0.97019062758647867</v>
      </c>
      <c r="K1884" s="315">
        <f t="shared" si="63"/>
        <v>-3.0262703507850139E-2</v>
      </c>
      <c r="L1884" s="234"/>
      <c r="M1884" s="234"/>
      <c r="N1884" s="234"/>
      <c r="O1884" s="234"/>
      <c r="P1884" s="234"/>
      <c r="Q1884" s="234"/>
      <c r="R1884" s="234"/>
    </row>
    <row r="1885" spans="8:18" ht="15" customHeight="1" x14ac:dyDescent="0.3">
      <c r="H1885" s="234" t="s">
        <v>3954</v>
      </c>
      <c r="I1885" s="306" t="s">
        <v>3955</v>
      </c>
      <c r="J1885" s="234">
        <f t="shared" si="62"/>
        <v>0.99316292845865795</v>
      </c>
      <c r="K1885" s="315">
        <f t="shared" si="63"/>
        <v>-6.8605513984813966E-3</v>
      </c>
      <c r="L1885" s="234"/>
      <c r="M1885" s="234"/>
      <c r="N1885" s="234"/>
      <c r="O1885" s="234"/>
      <c r="P1885" s="234"/>
      <c r="Q1885" s="234"/>
      <c r="R1885" s="234"/>
    </row>
    <row r="1886" spans="8:18" ht="15" customHeight="1" x14ac:dyDescent="0.3">
      <c r="H1886" s="234" t="s">
        <v>3956</v>
      </c>
      <c r="I1886" s="306" t="s">
        <v>3957</v>
      </c>
      <c r="J1886" s="234">
        <f t="shared" si="62"/>
        <v>0.97513836758063488</v>
      </c>
      <c r="K1886" s="315">
        <f t="shared" si="63"/>
        <v>-2.5175902586019358E-2</v>
      </c>
      <c r="L1886" s="234"/>
      <c r="M1886" s="234"/>
      <c r="N1886" s="234"/>
      <c r="O1886" s="234"/>
      <c r="P1886" s="234"/>
      <c r="Q1886" s="234"/>
      <c r="R1886" s="234"/>
    </row>
    <row r="1887" spans="8:18" ht="15" customHeight="1" x14ac:dyDescent="0.3">
      <c r="H1887" s="234" t="s">
        <v>3958</v>
      </c>
      <c r="I1887" s="306" t="s">
        <v>3959</v>
      </c>
      <c r="J1887" s="234">
        <f t="shared" si="62"/>
        <v>1.0174900315882141</v>
      </c>
      <c r="K1887" s="315">
        <f t="shared" si="63"/>
        <v>1.7338841321722229E-2</v>
      </c>
      <c r="L1887" s="234"/>
      <c r="M1887" s="234"/>
      <c r="N1887" s="234"/>
      <c r="O1887" s="234"/>
      <c r="P1887" s="234"/>
      <c r="Q1887" s="234"/>
      <c r="R1887" s="234"/>
    </row>
    <row r="1888" spans="8:18" ht="15" customHeight="1" x14ac:dyDescent="0.3">
      <c r="H1888" s="234" t="s">
        <v>3960</v>
      </c>
      <c r="I1888" s="306" t="s">
        <v>3961</v>
      </c>
      <c r="J1888" s="234">
        <f t="shared" si="62"/>
        <v>1.0060563435314345</v>
      </c>
      <c r="K1888" s="315">
        <f t="shared" si="63"/>
        <v>6.0380775957021302E-3</v>
      </c>
      <c r="L1888" s="234"/>
      <c r="M1888" s="234"/>
      <c r="N1888" s="234"/>
      <c r="O1888" s="234"/>
      <c r="P1888" s="234"/>
      <c r="Q1888" s="234"/>
      <c r="R1888" s="234"/>
    </row>
    <row r="1889" spans="8:18" ht="15" customHeight="1" x14ac:dyDescent="0.3">
      <c r="H1889" s="234" t="s">
        <v>3962</v>
      </c>
      <c r="I1889" s="306" t="s">
        <v>3963</v>
      </c>
      <c r="J1889" s="234">
        <f t="shared" si="62"/>
        <v>1.0094796076678325</v>
      </c>
      <c r="K1889" s="315">
        <f t="shared" si="63"/>
        <v>9.4349581386232069E-3</v>
      </c>
      <c r="L1889" s="234"/>
      <c r="M1889" s="234"/>
      <c r="N1889" s="234"/>
      <c r="O1889" s="234"/>
      <c r="P1889" s="234"/>
      <c r="Q1889" s="234"/>
      <c r="R1889" s="234"/>
    </row>
    <row r="1890" spans="8:18" ht="15" customHeight="1" x14ac:dyDescent="0.3">
      <c r="H1890" s="234" t="s">
        <v>3964</v>
      </c>
      <c r="I1890" s="306" t="s">
        <v>3965</v>
      </c>
      <c r="J1890" s="234">
        <f t="shared" si="62"/>
        <v>1.0092488157004287</v>
      </c>
      <c r="K1890" s="315">
        <f t="shared" si="63"/>
        <v>9.2063073050214685E-3</v>
      </c>
      <c r="L1890" s="234"/>
      <c r="M1890" s="234"/>
      <c r="N1890" s="234"/>
      <c r="O1890" s="234"/>
      <c r="P1890" s="234"/>
      <c r="Q1890" s="234"/>
      <c r="R1890" s="234"/>
    </row>
    <row r="1891" spans="8:18" ht="15" customHeight="1" x14ac:dyDescent="0.3">
      <c r="H1891" s="234" t="s">
        <v>3966</v>
      </c>
      <c r="I1891" s="306" t="s">
        <v>3967</v>
      </c>
      <c r="J1891" s="234">
        <f t="shared" si="62"/>
        <v>0.95531526506604469</v>
      </c>
      <c r="K1891" s="315">
        <f t="shared" si="63"/>
        <v>-4.5713872491181029E-2</v>
      </c>
      <c r="L1891" s="234"/>
      <c r="M1891" s="234"/>
      <c r="N1891" s="234"/>
      <c r="O1891" s="234"/>
      <c r="P1891" s="234"/>
      <c r="Q1891" s="234"/>
      <c r="R1891" s="234"/>
    </row>
    <row r="1892" spans="8:18" ht="15" customHeight="1" x14ac:dyDescent="0.3">
      <c r="H1892" s="234" t="s">
        <v>3968</v>
      </c>
      <c r="I1892" s="306" t="s">
        <v>3969</v>
      </c>
      <c r="J1892" s="234">
        <f t="shared" si="62"/>
        <v>0.98456123709796184</v>
      </c>
      <c r="K1892" s="315">
        <f t="shared" si="63"/>
        <v>-1.5559181620549704E-2</v>
      </c>
      <c r="L1892" s="234"/>
      <c r="M1892" s="234"/>
      <c r="N1892" s="234"/>
      <c r="O1892" s="234"/>
      <c r="P1892" s="234"/>
      <c r="Q1892" s="234"/>
      <c r="R1892" s="234"/>
    </row>
    <row r="1893" spans="8:18" ht="15" customHeight="1" x14ac:dyDescent="0.3">
      <c r="H1893" s="234" t="s">
        <v>3970</v>
      </c>
      <c r="I1893" s="306" t="s">
        <v>3971</v>
      </c>
      <c r="J1893" s="234">
        <f t="shared" si="62"/>
        <v>0.99088548107840713</v>
      </c>
      <c r="K1893" s="315">
        <f t="shared" si="63"/>
        <v>-9.1563102817615403E-3</v>
      </c>
      <c r="L1893" s="234"/>
      <c r="M1893" s="234"/>
      <c r="N1893" s="234"/>
      <c r="O1893" s="234"/>
      <c r="P1893" s="234"/>
      <c r="Q1893" s="234"/>
      <c r="R1893" s="234"/>
    </row>
    <row r="1894" spans="8:18" ht="15" customHeight="1" x14ac:dyDescent="0.3">
      <c r="H1894" s="234" t="s">
        <v>3972</v>
      </c>
      <c r="I1894" s="306" t="s">
        <v>3973</v>
      </c>
      <c r="J1894" s="234">
        <f t="shared" si="62"/>
        <v>0.9772545986318919</v>
      </c>
      <c r="K1894" s="315">
        <f t="shared" si="63"/>
        <v>-2.3008068633890384E-2</v>
      </c>
      <c r="L1894" s="234"/>
      <c r="M1894" s="234"/>
      <c r="N1894" s="234"/>
      <c r="O1894" s="234"/>
      <c r="P1894" s="234"/>
      <c r="Q1894" s="234"/>
      <c r="R1894" s="234"/>
    </row>
    <row r="1895" spans="8:18" ht="15" customHeight="1" x14ac:dyDescent="0.3">
      <c r="H1895" s="234" t="s">
        <v>3974</v>
      </c>
      <c r="I1895" s="306" t="s">
        <v>3975</v>
      </c>
      <c r="J1895" s="234">
        <f t="shared" si="62"/>
        <v>1.0113057188603836</v>
      </c>
      <c r="K1895" s="315">
        <f t="shared" si="63"/>
        <v>1.1242286869341445E-2</v>
      </c>
      <c r="L1895" s="234"/>
      <c r="M1895" s="234"/>
      <c r="N1895" s="234"/>
      <c r="O1895" s="234"/>
      <c r="P1895" s="234"/>
      <c r="Q1895" s="234"/>
      <c r="R1895" s="234"/>
    </row>
    <row r="1896" spans="8:18" ht="15" customHeight="1" x14ac:dyDescent="0.3">
      <c r="H1896" s="234" t="s">
        <v>3976</v>
      </c>
      <c r="I1896" s="306" t="s">
        <v>3977</v>
      </c>
      <c r="J1896" s="234">
        <f t="shared" si="62"/>
        <v>0.9846200132378603</v>
      </c>
      <c r="K1896" s="315">
        <f t="shared" si="63"/>
        <v>-1.549948560231279E-2</v>
      </c>
      <c r="L1896" s="234"/>
      <c r="M1896" s="234"/>
      <c r="N1896" s="234"/>
      <c r="O1896" s="234"/>
      <c r="P1896" s="234"/>
      <c r="Q1896" s="234"/>
      <c r="R1896" s="234"/>
    </row>
    <row r="1897" spans="8:18" ht="15" customHeight="1" x14ac:dyDescent="0.3">
      <c r="H1897" s="234" t="s">
        <v>3978</v>
      </c>
      <c r="I1897" s="306" t="s">
        <v>3979</v>
      </c>
      <c r="J1897" s="234">
        <f t="shared" si="62"/>
        <v>0.99379290549429522</v>
      </c>
      <c r="K1897" s="315">
        <f t="shared" si="63"/>
        <v>-6.2264386054522777E-3</v>
      </c>
      <c r="L1897" s="234"/>
      <c r="M1897" s="234"/>
      <c r="N1897" s="234"/>
      <c r="O1897" s="234"/>
      <c r="P1897" s="234"/>
      <c r="Q1897" s="234"/>
      <c r="R1897" s="234"/>
    </row>
    <row r="1898" spans="8:18" ht="15" customHeight="1" x14ac:dyDescent="0.3">
      <c r="H1898" s="234" t="s">
        <v>3980</v>
      </c>
      <c r="I1898" s="306" t="s">
        <v>3981</v>
      </c>
      <c r="J1898" s="234">
        <f t="shared" si="62"/>
        <v>0.96622254064735313</v>
      </c>
      <c r="K1898" s="315">
        <f t="shared" si="63"/>
        <v>-3.436109796053715E-2</v>
      </c>
      <c r="L1898" s="234"/>
      <c r="M1898" s="234"/>
      <c r="N1898" s="234"/>
      <c r="O1898" s="234"/>
      <c r="P1898" s="234"/>
      <c r="Q1898" s="234"/>
      <c r="R1898" s="234"/>
    </row>
    <row r="1899" spans="8:18" ht="15" customHeight="1" x14ac:dyDescent="0.3">
      <c r="H1899" s="234" t="s">
        <v>3982</v>
      </c>
      <c r="I1899" s="306" t="s">
        <v>3983</v>
      </c>
      <c r="J1899" s="234">
        <f t="shared" si="62"/>
        <v>1.0166231996428656</v>
      </c>
      <c r="K1899" s="315">
        <f t="shared" si="63"/>
        <v>1.6486546587572662E-2</v>
      </c>
      <c r="L1899" s="234"/>
      <c r="M1899" s="234"/>
      <c r="N1899" s="234"/>
      <c r="O1899" s="234"/>
      <c r="P1899" s="234"/>
      <c r="Q1899" s="234"/>
      <c r="R1899" s="234"/>
    </row>
    <row r="1900" spans="8:18" ht="15" customHeight="1" x14ac:dyDescent="0.3">
      <c r="H1900" s="234" t="s">
        <v>3984</v>
      </c>
      <c r="I1900" s="306" t="s">
        <v>3985</v>
      </c>
      <c r="J1900" s="234">
        <f t="shared" si="62"/>
        <v>0.99879143443825169</v>
      </c>
      <c r="K1900" s="315">
        <f t="shared" si="63"/>
        <v>-1.209296466063369E-3</v>
      </c>
      <c r="L1900" s="234"/>
      <c r="M1900" s="234"/>
      <c r="N1900" s="234"/>
      <c r="O1900" s="234"/>
      <c r="P1900" s="234"/>
      <c r="Q1900" s="234"/>
      <c r="R1900" s="234"/>
    </row>
    <row r="1901" spans="8:18" ht="15" customHeight="1" x14ac:dyDescent="0.3">
      <c r="H1901" s="234" t="s">
        <v>3986</v>
      </c>
      <c r="I1901" s="306" t="s">
        <v>3987</v>
      </c>
      <c r="J1901" s="234">
        <f t="shared" si="62"/>
        <v>1.0000352021778414</v>
      </c>
      <c r="K1901" s="315">
        <f t="shared" si="63"/>
        <v>3.5201558259242697E-5</v>
      </c>
      <c r="L1901" s="234"/>
      <c r="M1901" s="234"/>
      <c r="N1901" s="234"/>
      <c r="O1901" s="234"/>
      <c r="P1901" s="234"/>
      <c r="Q1901" s="234"/>
      <c r="R1901" s="234"/>
    </row>
    <row r="1902" spans="8:18" ht="15" customHeight="1" x14ac:dyDescent="0.3">
      <c r="H1902" s="234" t="s">
        <v>3988</v>
      </c>
      <c r="I1902" s="306" t="s">
        <v>3989</v>
      </c>
      <c r="J1902" s="234">
        <f t="shared" si="62"/>
        <v>0.99255773867064212</v>
      </c>
      <c r="K1902" s="315">
        <f t="shared" si="63"/>
        <v>-7.4700931298755423E-3</v>
      </c>
      <c r="L1902" s="234"/>
      <c r="M1902" s="234"/>
      <c r="N1902" s="234"/>
      <c r="O1902" s="234"/>
      <c r="P1902" s="234"/>
      <c r="Q1902" s="234"/>
      <c r="R1902" s="234"/>
    </row>
    <row r="1903" spans="8:18" ht="15" customHeight="1" x14ac:dyDescent="0.3">
      <c r="H1903" s="234" t="s">
        <v>3990</v>
      </c>
      <c r="I1903" s="306" t="s">
        <v>3991</v>
      </c>
      <c r="J1903" s="234">
        <f t="shared" si="62"/>
        <v>1.0187105500450857</v>
      </c>
      <c r="K1903" s="315">
        <f t="shared" si="63"/>
        <v>1.853766094102207E-2</v>
      </c>
      <c r="L1903" s="234"/>
      <c r="M1903" s="234"/>
      <c r="N1903" s="234"/>
      <c r="O1903" s="234"/>
      <c r="P1903" s="234"/>
      <c r="Q1903" s="234"/>
      <c r="R1903" s="234"/>
    </row>
    <row r="1904" spans="8:18" ht="15" customHeight="1" x14ac:dyDescent="0.3">
      <c r="H1904" s="234" t="s">
        <v>3992</v>
      </c>
      <c r="I1904" s="306" t="s">
        <v>3993</v>
      </c>
      <c r="J1904" s="234">
        <f t="shared" si="62"/>
        <v>1.0157513527845066</v>
      </c>
      <c r="K1904" s="315">
        <f t="shared" si="63"/>
        <v>1.5628587693334559E-2</v>
      </c>
      <c r="L1904" s="234"/>
      <c r="M1904" s="234"/>
      <c r="N1904" s="234"/>
      <c r="O1904" s="234"/>
      <c r="P1904" s="234"/>
      <c r="Q1904" s="234"/>
      <c r="R1904" s="234"/>
    </row>
    <row r="1905" spans="8:18" ht="15" customHeight="1" x14ac:dyDescent="0.3">
      <c r="H1905" s="234" t="s">
        <v>3994</v>
      </c>
      <c r="I1905" s="306" t="s">
        <v>3995</v>
      </c>
      <c r="J1905" s="234">
        <f t="shared" si="62"/>
        <v>1.0031675028713052</v>
      </c>
      <c r="K1905" s="315">
        <f t="shared" si="63"/>
        <v>3.1624969022473084E-3</v>
      </c>
      <c r="L1905" s="234"/>
      <c r="M1905" s="234"/>
      <c r="N1905" s="234"/>
      <c r="O1905" s="234"/>
      <c r="P1905" s="234"/>
      <c r="Q1905" s="234"/>
      <c r="R1905" s="234"/>
    </row>
    <row r="1906" spans="8:18" ht="15" customHeight="1" x14ac:dyDescent="0.3">
      <c r="H1906" s="234" t="s">
        <v>3996</v>
      </c>
      <c r="I1906" s="306" t="s">
        <v>3997</v>
      </c>
      <c r="J1906" s="234">
        <f t="shared" si="62"/>
        <v>0.99510358268569088</v>
      </c>
      <c r="K1906" s="315">
        <f t="shared" si="63"/>
        <v>-4.9084440402071654E-3</v>
      </c>
      <c r="L1906" s="234"/>
      <c r="M1906" s="234"/>
      <c r="N1906" s="234"/>
      <c r="O1906" s="234"/>
      <c r="P1906" s="234"/>
      <c r="Q1906" s="234"/>
      <c r="R1906" s="234"/>
    </row>
    <row r="1907" spans="8:18" ht="15" customHeight="1" x14ac:dyDescent="0.3">
      <c r="H1907" s="234" t="s">
        <v>3998</v>
      </c>
      <c r="I1907" s="306" t="s">
        <v>3999</v>
      </c>
      <c r="J1907" s="234">
        <f t="shared" si="62"/>
        <v>0.99803088154071518</v>
      </c>
      <c r="K1907" s="315">
        <f t="shared" si="63"/>
        <v>-1.9710597218407402E-3</v>
      </c>
      <c r="L1907" s="234"/>
      <c r="M1907" s="234"/>
      <c r="N1907" s="234"/>
      <c r="O1907" s="234"/>
      <c r="P1907" s="234"/>
      <c r="Q1907" s="234"/>
      <c r="R1907" s="234"/>
    </row>
    <row r="1908" spans="8:18" ht="15" customHeight="1" x14ac:dyDescent="0.3">
      <c r="H1908" s="234" t="s">
        <v>4000</v>
      </c>
      <c r="I1908" s="306" t="s">
        <v>4001</v>
      </c>
      <c r="J1908" s="234">
        <f t="shared" si="62"/>
        <v>0.98508521887234324</v>
      </c>
      <c r="K1908" s="315">
        <f t="shared" si="63"/>
        <v>-1.5027124930726972E-2</v>
      </c>
      <c r="L1908" s="234"/>
      <c r="M1908" s="234"/>
      <c r="N1908" s="234"/>
      <c r="O1908" s="234"/>
      <c r="P1908" s="234"/>
      <c r="Q1908" s="234"/>
      <c r="R1908" s="234"/>
    </row>
    <row r="1909" spans="8:18" ht="15" customHeight="1" x14ac:dyDescent="0.3">
      <c r="H1909" s="234" t="s">
        <v>4002</v>
      </c>
      <c r="I1909" s="306" t="s">
        <v>4003</v>
      </c>
      <c r="J1909" s="234">
        <f t="shared" si="62"/>
        <v>0.98183739591922059</v>
      </c>
      <c r="K1909" s="315">
        <f t="shared" si="63"/>
        <v>-1.8329568941960202E-2</v>
      </c>
      <c r="L1909" s="234"/>
      <c r="M1909" s="234"/>
      <c r="N1909" s="234"/>
      <c r="O1909" s="234"/>
      <c r="P1909" s="234"/>
      <c r="Q1909" s="234"/>
      <c r="R1909" s="234"/>
    </row>
    <row r="1910" spans="8:18" ht="15" customHeight="1" x14ac:dyDescent="0.3">
      <c r="H1910" s="234" t="s">
        <v>4004</v>
      </c>
      <c r="I1910" s="306" t="s">
        <v>4005</v>
      </c>
      <c r="J1910" s="234">
        <f t="shared" si="62"/>
        <v>0.99615931885751308</v>
      </c>
      <c r="K1910" s="315">
        <f t="shared" si="63"/>
        <v>-3.8480754972841191E-3</v>
      </c>
      <c r="L1910" s="234"/>
      <c r="M1910" s="234"/>
      <c r="N1910" s="234"/>
      <c r="O1910" s="234"/>
      <c r="P1910" s="234"/>
      <c r="Q1910" s="234"/>
      <c r="R1910" s="234"/>
    </row>
    <row r="1911" spans="8:18" ht="15" customHeight="1" x14ac:dyDescent="0.3">
      <c r="H1911" s="234" t="s">
        <v>4006</v>
      </c>
      <c r="I1911" s="306" t="s">
        <v>4007</v>
      </c>
      <c r="J1911" s="234">
        <f t="shared" si="62"/>
        <v>1.000694581109709</v>
      </c>
      <c r="K1911" s="315">
        <f t="shared" si="63"/>
        <v>6.9433999989043291E-4</v>
      </c>
      <c r="L1911" s="234"/>
      <c r="M1911" s="234"/>
      <c r="N1911" s="234"/>
      <c r="O1911" s="234"/>
      <c r="P1911" s="234"/>
      <c r="Q1911" s="234"/>
      <c r="R1911" s="234"/>
    </row>
    <row r="1912" spans="8:18" ht="15" customHeight="1" x14ac:dyDescent="0.3">
      <c r="H1912" s="234" t="s">
        <v>4008</v>
      </c>
      <c r="I1912" s="306" t="s">
        <v>4009</v>
      </c>
      <c r="J1912" s="234">
        <f t="shared" si="62"/>
        <v>1.0156611915203819</v>
      </c>
      <c r="K1912" s="315">
        <f t="shared" si="63"/>
        <v>1.5539820628824088E-2</v>
      </c>
      <c r="L1912" s="234"/>
      <c r="M1912" s="234"/>
      <c r="N1912" s="234"/>
      <c r="O1912" s="234"/>
      <c r="P1912" s="234"/>
      <c r="Q1912" s="234"/>
      <c r="R1912" s="234"/>
    </row>
    <row r="1913" spans="8:18" ht="15" customHeight="1" x14ac:dyDescent="0.3">
      <c r="H1913" s="234" t="s">
        <v>4010</v>
      </c>
      <c r="I1913" s="306" t="s">
        <v>4011</v>
      </c>
      <c r="J1913" s="234">
        <f t="shared" si="62"/>
        <v>0.99514426789600541</v>
      </c>
      <c r="K1913" s="315">
        <f t="shared" si="63"/>
        <v>-4.8675594736861619E-3</v>
      </c>
      <c r="L1913" s="234"/>
      <c r="M1913" s="234"/>
      <c r="N1913" s="234"/>
      <c r="O1913" s="234"/>
      <c r="P1913" s="234"/>
      <c r="Q1913" s="234"/>
      <c r="R1913" s="234"/>
    </row>
    <row r="1914" spans="8:18" ht="15" customHeight="1" x14ac:dyDescent="0.3">
      <c r="H1914" s="234" t="s">
        <v>4012</v>
      </c>
      <c r="I1914" s="306" t="s">
        <v>4013</v>
      </c>
      <c r="J1914" s="234">
        <f t="shared" si="62"/>
        <v>0.998399588799458</v>
      </c>
      <c r="K1914" s="315">
        <f t="shared" si="63"/>
        <v>-1.6016932265758706E-3</v>
      </c>
      <c r="L1914" s="234"/>
      <c r="M1914" s="234"/>
      <c r="N1914" s="234"/>
      <c r="O1914" s="234"/>
      <c r="P1914" s="234"/>
      <c r="Q1914" s="234"/>
      <c r="R1914" s="234"/>
    </row>
    <row r="1915" spans="8:18" ht="15" customHeight="1" x14ac:dyDescent="0.3">
      <c r="H1915" s="234" t="s">
        <v>4014</v>
      </c>
      <c r="I1915" s="306" t="s">
        <v>4015</v>
      </c>
      <c r="J1915" s="234">
        <f t="shared" si="62"/>
        <v>1.0009705332086061</v>
      </c>
      <c r="K1915" s="315">
        <f t="shared" si="63"/>
        <v>9.7006254575623583E-4</v>
      </c>
      <c r="L1915" s="234"/>
      <c r="M1915" s="234"/>
      <c r="N1915" s="234"/>
      <c r="O1915" s="234"/>
      <c r="P1915" s="234"/>
      <c r="Q1915" s="234"/>
      <c r="R1915" s="234"/>
    </row>
    <row r="1916" spans="8:18" ht="15" customHeight="1" x14ac:dyDescent="0.3">
      <c r="H1916" s="234" t="s">
        <v>4016</v>
      </c>
      <c r="I1916" s="306" t="s">
        <v>4017</v>
      </c>
      <c r="J1916" s="234">
        <f t="shared" si="62"/>
        <v>0.99646947787889029</v>
      </c>
      <c r="K1916" s="315">
        <f t="shared" si="63"/>
        <v>-3.5367691221177716E-3</v>
      </c>
      <c r="L1916" s="234"/>
      <c r="M1916" s="234"/>
      <c r="N1916" s="234"/>
      <c r="O1916" s="234"/>
      <c r="P1916" s="234"/>
      <c r="Q1916" s="234"/>
      <c r="R1916" s="234"/>
    </row>
    <row r="1917" spans="8:18" ht="15" customHeight="1" x14ac:dyDescent="0.3">
      <c r="H1917" s="234" t="s">
        <v>4018</v>
      </c>
      <c r="I1917" s="306" t="s">
        <v>4019</v>
      </c>
      <c r="J1917" s="234">
        <f t="shared" si="62"/>
        <v>1.0005596036141067</v>
      </c>
      <c r="K1917" s="315">
        <f t="shared" si="63"/>
        <v>5.5944709439415571E-4</v>
      </c>
      <c r="L1917" s="234"/>
      <c r="M1917" s="234"/>
      <c r="N1917" s="234"/>
      <c r="O1917" s="234"/>
      <c r="P1917" s="234"/>
      <c r="Q1917" s="234"/>
      <c r="R1917" s="234"/>
    </row>
    <row r="1918" spans="8:18" ht="15" customHeight="1" x14ac:dyDescent="0.3">
      <c r="H1918" s="234" t="s">
        <v>4020</v>
      </c>
      <c r="I1918" s="306" t="s">
        <v>4021</v>
      </c>
      <c r="J1918" s="234">
        <f t="shared" si="62"/>
        <v>1.0200380544654537</v>
      </c>
      <c r="K1918" s="315">
        <f t="shared" si="63"/>
        <v>1.9839934899706833E-2</v>
      </c>
      <c r="L1918" s="234"/>
      <c r="M1918" s="234"/>
      <c r="N1918" s="234"/>
      <c r="O1918" s="234"/>
      <c r="P1918" s="234"/>
      <c r="Q1918" s="234"/>
      <c r="R1918" s="234"/>
    </row>
    <row r="1919" spans="8:18" ht="15" customHeight="1" x14ac:dyDescent="0.3">
      <c r="H1919" s="234" t="s">
        <v>4022</v>
      </c>
      <c r="I1919" s="306" t="s">
        <v>4023</v>
      </c>
      <c r="J1919" s="234">
        <f t="shared" si="62"/>
        <v>1.0148198209070503</v>
      </c>
      <c r="K1919" s="315">
        <f t="shared" si="63"/>
        <v>1.4711080388125174E-2</v>
      </c>
      <c r="L1919" s="234"/>
      <c r="M1919" s="234"/>
      <c r="N1919" s="234"/>
      <c r="O1919" s="234"/>
      <c r="P1919" s="234"/>
      <c r="Q1919" s="234"/>
      <c r="R1919" s="234"/>
    </row>
    <row r="1920" spans="8:18" ht="15" customHeight="1" x14ac:dyDescent="0.3">
      <c r="H1920" s="234" t="s">
        <v>4024</v>
      </c>
      <c r="I1920" s="306" t="s">
        <v>4025</v>
      </c>
      <c r="J1920" s="234">
        <f t="shared" si="62"/>
        <v>0.98261550137558107</v>
      </c>
      <c r="K1920" s="315">
        <f t="shared" si="63"/>
        <v>-1.7537383496206663E-2</v>
      </c>
      <c r="L1920" s="234"/>
      <c r="M1920" s="234"/>
      <c r="N1920" s="234"/>
      <c r="O1920" s="234"/>
      <c r="P1920" s="234"/>
      <c r="Q1920" s="234"/>
      <c r="R1920" s="234"/>
    </row>
    <row r="1921" spans="8:18" ht="15" customHeight="1" x14ac:dyDescent="0.3">
      <c r="H1921" s="234" t="s">
        <v>4026</v>
      </c>
      <c r="I1921" s="306" t="s">
        <v>4027</v>
      </c>
      <c r="J1921" s="234">
        <f t="shared" si="62"/>
        <v>0.98697346707084421</v>
      </c>
      <c r="K1921" s="315">
        <f t="shared" si="63"/>
        <v>-1.3112122310354142E-2</v>
      </c>
      <c r="L1921" s="234"/>
      <c r="M1921" s="234"/>
      <c r="N1921" s="234"/>
      <c r="O1921" s="234"/>
      <c r="P1921" s="234"/>
      <c r="Q1921" s="234"/>
      <c r="R1921" s="234"/>
    </row>
    <row r="1922" spans="8:18" ht="15" customHeight="1" x14ac:dyDescent="0.3">
      <c r="H1922" s="234" t="s">
        <v>4028</v>
      </c>
      <c r="I1922" s="306" t="s">
        <v>4029</v>
      </c>
      <c r="J1922" s="234">
        <f t="shared" si="62"/>
        <v>1.00228749736058</v>
      </c>
      <c r="K1922" s="315">
        <f t="shared" si="63"/>
        <v>2.2848850215465926E-3</v>
      </c>
      <c r="L1922" s="234"/>
      <c r="M1922" s="234"/>
      <c r="N1922" s="234"/>
      <c r="O1922" s="234"/>
      <c r="P1922" s="234"/>
      <c r="Q1922" s="234"/>
      <c r="R1922" s="234"/>
    </row>
    <row r="1923" spans="8:18" ht="15" customHeight="1" x14ac:dyDescent="0.3">
      <c r="H1923" s="234" t="s">
        <v>4030</v>
      </c>
      <c r="I1923" s="306" t="s">
        <v>4031</v>
      </c>
      <c r="J1923" s="234">
        <f t="shared" si="62"/>
        <v>1.0089000402395436</v>
      </c>
      <c r="K1923" s="315">
        <f t="shared" si="63"/>
        <v>8.8606683167666862E-3</v>
      </c>
      <c r="L1923" s="234"/>
      <c r="M1923" s="234"/>
      <c r="N1923" s="234"/>
      <c r="O1923" s="234"/>
      <c r="P1923" s="234"/>
      <c r="Q1923" s="234"/>
      <c r="R1923" s="234"/>
    </row>
    <row r="1924" spans="8:18" ht="15" customHeight="1" x14ac:dyDescent="0.3">
      <c r="H1924" s="234" t="s">
        <v>4032</v>
      </c>
      <c r="I1924" s="306" t="s">
        <v>4033</v>
      </c>
      <c r="J1924" s="234">
        <f t="shared" si="62"/>
        <v>1.0141876320338006</v>
      </c>
      <c r="K1924" s="315">
        <f t="shared" si="63"/>
        <v>1.4087929504385588E-2</v>
      </c>
      <c r="L1924" s="234"/>
      <c r="M1924" s="234"/>
      <c r="N1924" s="234"/>
      <c r="O1924" s="234"/>
      <c r="P1924" s="234"/>
      <c r="Q1924" s="234"/>
      <c r="R1924" s="234"/>
    </row>
    <row r="1925" spans="8:18" ht="15" customHeight="1" x14ac:dyDescent="0.3">
      <c r="H1925" s="234" t="s">
        <v>4034</v>
      </c>
      <c r="I1925" s="306" t="s">
        <v>4035</v>
      </c>
      <c r="J1925" s="234">
        <f t="shared" ref="J1925:J1988" si="64">I1925/I1926</f>
        <v>0.98208223311957754</v>
      </c>
      <c r="K1925" s="315">
        <f t="shared" ref="K1925:K1988" si="65">LN(J1925)</f>
        <v>-1.8080233686071749E-2</v>
      </c>
      <c r="L1925" s="234"/>
      <c r="M1925" s="234"/>
      <c r="N1925" s="234"/>
      <c r="O1925" s="234"/>
      <c r="P1925" s="234"/>
      <c r="Q1925" s="234"/>
      <c r="R1925" s="234"/>
    </row>
    <row r="1926" spans="8:18" ht="15" customHeight="1" x14ac:dyDescent="0.3">
      <c r="H1926" s="234" t="s">
        <v>4036</v>
      </c>
      <c r="I1926" s="306" t="s">
        <v>4037</v>
      </c>
      <c r="J1926" s="234">
        <f t="shared" si="64"/>
        <v>0.99556390095059266</v>
      </c>
      <c r="K1926" s="315">
        <f t="shared" si="65"/>
        <v>-4.4459677332495543E-3</v>
      </c>
      <c r="L1926" s="234"/>
      <c r="M1926" s="234"/>
      <c r="N1926" s="234"/>
      <c r="O1926" s="234"/>
      <c r="P1926" s="234"/>
      <c r="Q1926" s="234"/>
      <c r="R1926" s="234"/>
    </row>
    <row r="1927" spans="8:18" ht="15" customHeight="1" x14ac:dyDescent="0.3">
      <c r="H1927" s="234" t="s">
        <v>4038</v>
      </c>
      <c r="I1927" s="306" t="s">
        <v>4039</v>
      </c>
      <c r="J1927" s="234">
        <f t="shared" si="64"/>
        <v>1.0099082655794438</v>
      </c>
      <c r="K1927" s="315">
        <f t="shared" si="65"/>
        <v>9.8595005692561997E-3</v>
      </c>
      <c r="L1927" s="234"/>
      <c r="M1927" s="234"/>
      <c r="N1927" s="234"/>
      <c r="O1927" s="234"/>
      <c r="P1927" s="234"/>
      <c r="Q1927" s="234"/>
      <c r="R1927" s="234"/>
    </row>
    <row r="1928" spans="8:18" ht="15" customHeight="1" x14ac:dyDescent="0.3">
      <c r="H1928" s="234" t="s">
        <v>4040</v>
      </c>
      <c r="I1928" s="306" t="s">
        <v>4041</v>
      </c>
      <c r="J1928" s="234">
        <f t="shared" si="64"/>
        <v>0.99721073159201035</v>
      </c>
      <c r="K1928" s="315">
        <f t="shared" si="65"/>
        <v>-2.7931656658012815E-3</v>
      </c>
      <c r="L1928" s="234"/>
      <c r="M1928" s="234"/>
      <c r="N1928" s="234"/>
      <c r="O1928" s="234"/>
      <c r="P1928" s="234"/>
      <c r="Q1928" s="234"/>
      <c r="R1928" s="234"/>
    </row>
    <row r="1929" spans="8:18" ht="15" customHeight="1" x14ac:dyDescent="0.3">
      <c r="H1929" s="234" t="s">
        <v>4042</v>
      </c>
      <c r="I1929" s="306" t="s">
        <v>4043</v>
      </c>
      <c r="J1929" s="234">
        <f t="shared" si="64"/>
        <v>0.99930316881030834</v>
      </c>
      <c r="K1929" s="315">
        <f t="shared" si="65"/>
        <v>-6.9707408939173664E-4</v>
      </c>
      <c r="L1929" s="234"/>
      <c r="M1929" s="234"/>
      <c r="N1929" s="234"/>
      <c r="O1929" s="234"/>
      <c r="P1929" s="234"/>
      <c r="Q1929" s="234"/>
      <c r="R1929" s="234"/>
    </row>
    <row r="1930" spans="8:18" ht="15" customHeight="1" x14ac:dyDescent="0.3">
      <c r="H1930" s="234" t="s">
        <v>4044</v>
      </c>
      <c r="I1930" s="306" t="s">
        <v>4045</v>
      </c>
      <c r="J1930" s="234">
        <f t="shared" si="64"/>
        <v>0.9918467756106133</v>
      </c>
      <c r="K1930" s="315">
        <f t="shared" si="65"/>
        <v>-8.1866436973956451E-3</v>
      </c>
      <c r="L1930" s="234"/>
      <c r="M1930" s="234"/>
      <c r="N1930" s="234"/>
      <c r="O1930" s="234"/>
      <c r="P1930" s="234"/>
      <c r="Q1930" s="234"/>
      <c r="R1930" s="234"/>
    </row>
    <row r="1931" spans="8:18" ht="15" customHeight="1" x14ac:dyDescent="0.3">
      <c r="H1931" s="234" t="s">
        <v>4046</v>
      </c>
      <c r="I1931" s="306" t="s">
        <v>4047</v>
      </c>
      <c r="J1931" s="234">
        <f t="shared" si="64"/>
        <v>1.0177766649974962</v>
      </c>
      <c r="K1931" s="315">
        <f t="shared" si="65"/>
        <v>1.7620508006150393E-2</v>
      </c>
      <c r="L1931" s="234"/>
      <c r="M1931" s="234"/>
      <c r="N1931" s="234"/>
      <c r="O1931" s="234"/>
      <c r="P1931" s="234"/>
      <c r="Q1931" s="234"/>
      <c r="R1931" s="234"/>
    </row>
    <row r="1932" spans="8:18" ht="15" customHeight="1" x14ac:dyDescent="0.3">
      <c r="H1932" s="234" t="s">
        <v>4048</v>
      </c>
      <c r="I1932" s="306" t="s">
        <v>4049</v>
      </c>
      <c r="J1932" s="234">
        <f t="shared" si="64"/>
        <v>1.0008113977519508</v>
      </c>
      <c r="K1932" s="315">
        <f t="shared" si="65"/>
        <v>8.1106874675224822E-4</v>
      </c>
      <c r="L1932" s="234"/>
      <c r="M1932" s="234"/>
      <c r="N1932" s="234"/>
      <c r="O1932" s="234"/>
      <c r="P1932" s="234"/>
      <c r="Q1932" s="234"/>
      <c r="R1932" s="234"/>
    </row>
    <row r="1933" spans="8:18" ht="15" customHeight="1" x14ac:dyDescent="0.3">
      <c r="H1933" s="234" t="s">
        <v>4050</v>
      </c>
      <c r="I1933" s="306" t="s">
        <v>4051</v>
      </c>
      <c r="J1933" s="234">
        <f t="shared" si="64"/>
        <v>0.98475964419585682</v>
      </c>
      <c r="K1933" s="315">
        <f t="shared" si="65"/>
        <v>-1.5357683631622748E-2</v>
      </c>
      <c r="L1933" s="234"/>
      <c r="M1933" s="234"/>
      <c r="N1933" s="234"/>
      <c r="O1933" s="234"/>
      <c r="P1933" s="234"/>
      <c r="Q1933" s="234"/>
      <c r="R1933" s="234"/>
    </row>
    <row r="1934" spans="8:18" ht="15" customHeight="1" x14ac:dyDescent="0.3">
      <c r="H1934" s="234" t="s">
        <v>4052</v>
      </c>
      <c r="I1934" s="306" t="s">
        <v>3096</v>
      </c>
      <c r="J1934" s="234">
        <f t="shared" si="64"/>
        <v>1.0086042404920772</v>
      </c>
      <c r="K1934" s="315">
        <f t="shared" si="65"/>
        <v>8.5674349864476168E-3</v>
      </c>
      <c r="L1934" s="234"/>
      <c r="M1934" s="234"/>
      <c r="N1934" s="234"/>
      <c r="O1934" s="234"/>
      <c r="P1934" s="234"/>
      <c r="Q1934" s="234"/>
      <c r="R1934" s="234"/>
    </row>
    <row r="1935" spans="8:18" ht="15" customHeight="1" x14ac:dyDescent="0.3">
      <c r="H1935" s="234" t="s">
        <v>4053</v>
      </c>
      <c r="I1935" s="306" t="s">
        <v>4054</v>
      </c>
      <c r="J1935" s="234">
        <f t="shared" si="64"/>
        <v>0.99541089587806431</v>
      </c>
      <c r="K1935" s="315">
        <f t="shared" si="65"/>
        <v>-4.5996663868671473E-3</v>
      </c>
      <c r="L1935" s="234"/>
      <c r="M1935" s="234"/>
      <c r="N1935" s="234"/>
      <c r="O1935" s="234"/>
      <c r="P1935" s="234"/>
      <c r="Q1935" s="234"/>
      <c r="R1935" s="234"/>
    </row>
    <row r="1936" spans="8:18" ht="15" customHeight="1" x14ac:dyDescent="0.3">
      <c r="H1936" s="234" t="s">
        <v>4055</v>
      </c>
      <c r="I1936" s="306" t="s">
        <v>4056</v>
      </c>
      <c r="J1936" s="234">
        <f t="shared" si="64"/>
        <v>0.9974348112585899</v>
      </c>
      <c r="K1936" s="315">
        <f t="shared" si="65"/>
        <v>-2.5684844753758604E-3</v>
      </c>
      <c r="L1936" s="234"/>
      <c r="M1936" s="234"/>
      <c r="N1936" s="234"/>
      <c r="O1936" s="234"/>
      <c r="P1936" s="234"/>
      <c r="Q1936" s="234"/>
      <c r="R1936" s="234"/>
    </row>
    <row r="1937" spans="8:18" ht="15" customHeight="1" x14ac:dyDescent="0.3">
      <c r="H1937" s="234" t="s">
        <v>4057</v>
      </c>
      <c r="I1937" s="306" t="s">
        <v>4058</v>
      </c>
      <c r="J1937" s="234">
        <f t="shared" si="64"/>
        <v>1.009718888862486</v>
      </c>
      <c r="K1937" s="315">
        <f t="shared" si="65"/>
        <v>9.671964253856238E-3</v>
      </c>
      <c r="L1937" s="234"/>
      <c r="M1937" s="234"/>
      <c r="N1937" s="234"/>
      <c r="O1937" s="234"/>
      <c r="P1937" s="234"/>
      <c r="Q1937" s="234"/>
      <c r="R1937" s="234"/>
    </row>
    <row r="1938" spans="8:18" ht="15" customHeight="1" x14ac:dyDescent="0.3">
      <c r="H1938" s="234" t="s">
        <v>4059</v>
      </c>
      <c r="I1938" s="306" t="s">
        <v>4060</v>
      </c>
      <c r="J1938" s="234">
        <f t="shared" si="64"/>
        <v>1.0029433143864916</v>
      </c>
      <c r="K1938" s="315">
        <f t="shared" si="65"/>
        <v>2.938991317393069E-3</v>
      </c>
      <c r="L1938" s="234"/>
      <c r="M1938" s="234"/>
      <c r="N1938" s="234"/>
      <c r="O1938" s="234"/>
      <c r="P1938" s="234"/>
      <c r="Q1938" s="234"/>
      <c r="R1938" s="234"/>
    </row>
    <row r="1939" spans="8:18" ht="15" customHeight="1" x14ac:dyDescent="0.3">
      <c r="H1939" s="234" t="s">
        <v>4061</v>
      </c>
      <c r="I1939" s="306" t="s">
        <v>4062</v>
      </c>
      <c r="J1939" s="234">
        <f t="shared" si="64"/>
        <v>0.98860825106613581</v>
      </c>
      <c r="K1939" s="315">
        <f t="shared" si="65"/>
        <v>-1.1457131931143975E-2</v>
      </c>
      <c r="L1939" s="234"/>
      <c r="M1939" s="234"/>
      <c r="N1939" s="234"/>
      <c r="O1939" s="234"/>
      <c r="P1939" s="234"/>
      <c r="Q1939" s="234"/>
      <c r="R1939" s="234"/>
    </row>
    <row r="1940" spans="8:18" ht="15" customHeight="1" x14ac:dyDescent="0.3">
      <c r="H1940" s="234" t="s">
        <v>4063</v>
      </c>
      <c r="I1940" s="306" t="s">
        <v>4064</v>
      </c>
      <c r="J1940" s="234">
        <f t="shared" si="64"/>
        <v>0.99950546345139413</v>
      </c>
      <c r="K1940" s="315">
        <f t="shared" si="65"/>
        <v>-4.9465887213545948E-4</v>
      </c>
      <c r="L1940" s="234"/>
      <c r="M1940" s="234"/>
      <c r="N1940" s="234"/>
      <c r="O1940" s="234"/>
      <c r="P1940" s="234"/>
      <c r="Q1940" s="234"/>
      <c r="R1940" s="234"/>
    </row>
    <row r="1941" spans="8:18" ht="15" customHeight="1" x14ac:dyDescent="0.3">
      <c r="H1941" s="234" t="s">
        <v>4065</v>
      </c>
      <c r="I1941" s="306" t="s">
        <v>4066</v>
      </c>
      <c r="J1941" s="234">
        <f t="shared" si="64"/>
        <v>0.98694959965601792</v>
      </c>
      <c r="K1941" s="315">
        <f t="shared" si="65"/>
        <v>-1.3136305030774989E-2</v>
      </c>
      <c r="L1941" s="234"/>
      <c r="M1941" s="234"/>
      <c r="N1941" s="234"/>
      <c r="O1941" s="234"/>
      <c r="P1941" s="234"/>
      <c r="Q1941" s="234"/>
      <c r="R1941" s="234"/>
    </row>
    <row r="1942" spans="8:18" ht="15" customHeight="1" x14ac:dyDescent="0.3">
      <c r="H1942" s="234" t="s">
        <v>4067</v>
      </c>
      <c r="I1942" s="306" t="s">
        <v>4068</v>
      </c>
      <c r="J1942" s="234">
        <f t="shared" si="64"/>
        <v>0.99615665119294305</v>
      </c>
      <c r="K1942" s="315">
        <f t="shared" si="65"/>
        <v>-3.8507534505908486E-3</v>
      </c>
      <c r="L1942" s="234"/>
      <c r="M1942" s="234"/>
      <c r="N1942" s="234"/>
      <c r="O1942" s="234"/>
      <c r="P1942" s="234"/>
      <c r="Q1942" s="234"/>
      <c r="R1942" s="234"/>
    </row>
    <row r="1943" spans="8:18" ht="15" customHeight="1" x14ac:dyDescent="0.3">
      <c r="H1943" s="234" t="s">
        <v>4069</v>
      </c>
      <c r="I1943" s="306" t="s">
        <v>4009</v>
      </c>
      <c r="J1943" s="234">
        <f t="shared" si="64"/>
        <v>0.99402775540263744</v>
      </c>
      <c r="K1943" s="315">
        <f t="shared" si="65"/>
        <v>-5.9901497751219451E-3</v>
      </c>
      <c r="L1943" s="234"/>
      <c r="M1943" s="234"/>
      <c r="N1943" s="234"/>
      <c r="O1943" s="234"/>
      <c r="P1943" s="234"/>
      <c r="Q1943" s="234"/>
      <c r="R1943" s="234"/>
    </row>
    <row r="1944" spans="8:18" ht="15" customHeight="1" x14ac:dyDescent="0.3">
      <c r="H1944" s="234" t="s">
        <v>4070</v>
      </c>
      <c r="I1944" s="306" t="s">
        <v>4071</v>
      </c>
      <c r="J1944" s="234">
        <f t="shared" si="64"/>
        <v>1.0059731901002478</v>
      </c>
      <c r="K1944" s="315">
        <f t="shared" si="65"/>
        <v>5.955421322676205E-3</v>
      </c>
      <c r="L1944" s="234"/>
      <c r="M1944" s="234"/>
      <c r="N1944" s="234"/>
      <c r="O1944" s="234"/>
      <c r="P1944" s="234"/>
      <c r="Q1944" s="234"/>
      <c r="R1944" s="234"/>
    </row>
    <row r="1945" spans="8:18" ht="15" customHeight="1" x14ac:dyDescent="0.3">
      <c r="H1945" s="234" t="s">
        <v>4072</v>
      </c>
      <c r="I1945" s="306" t="s">
        <v>4073</v>
      </c>
      <c r="J1945" s="234">
        <f t="shared" si="64"/>
        <v>1.0164613411462931</v>
      </c>
      <c r="K1945" s="315">
        <f t="shared" si="65"/>
        <v>1.6327322026402465E-2</v>
      </c>
      <c r="L1945" s="234"/>
      <c r="M1945" s="234"/>
      <c r="N1945" s="234"/>
      <c r="O1945" s="234"/>
      <c r="P1945" s="234"/>
      <c r="Q1945" s="234"/>
      <c r="R1945" s="234"/>
    </row>
    <row r="1946" spans="8:18" ht="15" customHeight="1" x14ac:dyDescent="0.3">
      <c r="H1946" s="234" t="s">
        <v>4074</v>
      </c>
      <c r="I1946" s="306" t="s">
        <v>4075</v>
      </c>
      <c r="J1946" s="234">
        <f t="shared" si="64"/>
        <v>0.99388375628581449</v>
      </c>
      <c r="K1946" s="315">
        <f t="shared" si="65"/>
        <v>-6.1350245507124359E-3</v>
      </c>
      <c r="L1946" s="234"/>
      <c r="M1946" s="234"/>
      <c r="N1946" s="234"/>
      <c r="O1946" s="234"/>
      <c r="P1946" s="234"/>
      <c r="Q1946" s="234"/>
      <c r="R1946" s="234"/>
    </row>
    <row r="1947" spans="8:18" ht="15" customHeight="1" x14ac:dyDescent="0.3">
      <c r="H1947" s="234" t="s">
        <v>4076</v>
      </c>
      <c r="I1947" s="306" t="s">
        <v>4077</v>
      </c>
      <c r="J1947" s="234">
        <f t="shared" si="64"/>
        <v>0.99833047295482935</v>
      </c>
      <c r="K1947" s="315">
        <f t="shared" si="65"/>
        <v>-1.6709222585618304E-3</v>
      </c>
      <c r="L1947" s="234"/>
      <c r="M1947" s="234"/>
      <c r="N1947" s="234"/>
      <c r="O1947" s="234"/>
      <c r="P1947" s="234"/>
      <c r="Q1947" s="234"/>
      <c r="R1947" s="234"/>
    </row>
    <row r="1948" spans="8:18" ht="15" customHeight="1" x14ac:dyDescent="0.3">
      <c r="H1948" s="234" t="s">
        <v>4078</v>
      </c>
      <c r="I1948" s="306" t="s">
        <v>4079</v>
      </c>
      <c r="J1948" s="234">
        <f t="shared" si="64"/>
        <v>0.99569882473292026</v>
      </c>
      <c r="K1948" s="315">
        <f t="shared" si="65"/>
        <v>-4.3104519313477514E-3</v>
      </c>
      <c r="L1948" s="234"/>
      <c r="M1948" s="234"/>
      <c r="N1948" s="234"/>
      <c r="O1948" s="234"/>
      <c r="P1948" s="234"/>
      <c r="Q1948" s="234"/>
      <c r="R1948" s="234"/>
    </row>
    <row r="1949" spans="8:18" ht="15" customHeight="1" x14ac:dyDescent="0.3">
      <c r="H1949" s="234" t="s">
        <v>4080</v>
      </c>
      <c r="I1949" s="306" t="s">
        <v>4081</v>
      </c>
      <c r="J1949" s="234">
        <f t="shared" si="64"/>
        <v>1.0030550016907451</v>
      </c>
      <c r="K1949" s="315">
        <f t="shared" si="65"/>
        <v>3.050344655502839E-3</v>
      </c>
      <c r="L1949" s="234"/>
      <c r="M1949" s="234"/>
      <c r="N1949" s="234"/>
      <c r="O1949" s="234"/>
      <c r="P1949" s="234"/>
      <c r="Q1949" s="234"/>
      <c r="R1949" s="234"/>
    </row>
    <row r="1950" spans="8:18" ht="15" customHeight="1" x14ac:dyDescent="0.3">
      <c r="H1950" s="234" t="s">
        <v>4082</v>
      </c>
      <c r="I1950" s="306" t="s">
        <v>4083</v>
      </c>
      <c r="J1950" s="234">
        <f t="shared" si="64"/>
        <v>1.0044859331443698</v>
      </c>
      <c r="K1950" s="315">
        <f t="shared" si="65"/>
        <v>4.4759013364398491E-3</v>
      </c>
      <c r="L1950" s="234"/>
      <c r="M1950" s="234"/>
      <c r="N1950" s="234"/>
      <c r="O1950" s="234"/>
      <c r="P1950" s="234"/>
      <c r="Q1950" s="234"/>
      <c r="R1950" s="234"/>
    </row>
    <row r="1951" spans="8:18" ht="15" customHeight="1" x14ac:dyDescent="0.3">
      <c r="H1951" s="234" t="s">
        <v>4084</v>
      </c>
      <c r="I1951" s="306" t="s">
        <v>4085</v>
      </c>
      <c r="J1951" s="234">
        <f t="shared" si="64"/>
        <v>1.0004804481057454</v>
      </c>
      <c r="K1951" s="315">
        <f t="shared" si="65"/>
        <v>4.8033272750830185E-4</v>
      </c>
      <c r="L1951" s="234"/>
      <c r="M1951" s="234"/>
      <c r="N1951" s="234"/>
      <c r="O1951" s="234"/>
      <c r="P1951" s="234"/>
      <c r="Q1951" s="234"/>
      <c r="R1951" s="234"/>
    </row>
    <row r="1952" spans="8:18" ht="15" customHeight="1" x14ac:dyDescent="0.3">
      <c r="H1952" s="234" t="s">
        <v>4086</v>
      </c>
      <c r="I1952" s="306" t="s">
        <v>4087</v>
      </c>
      <c r="J1952" s="234">
        <f t="shared" si="64"/>
        <v>0.98157328701733404</v>
      </c>
      <c r="K1952" s="315">
        <f t="shared" si="65"/>
        <v>-1.8598599670757603E-2</v>
      </c>
      <c r="L1952" s="234"/>
      <c r="M1952" s="234"/>
      <c r="N1952" s="234"/>
      <c r="O1952" s="234"/>
      <c r="P1952" s="234"/>
      <c r="Q1952" s="234"/>
      <c r="R1952" s="234"/>
    </row>
    <row r="1953" spans="8:18" ht="15" customHeight="1" x14ac:dyDescent="0.3">
      <c r="H1953" s="234" t="s">
        <v>4088</v>
      </c>
      <c r="I1953" s="306" t="s">
        <v>4089</v>
      </c>
      <c r="J1953" s="234">
        <f t="shared" si="64"/>
        <v>0.99189950826592432</v>
      </c>
      <c r="K1953" s="315">
        <f t="shared" si="65"/>
        <v>-8.1334789799597032E-3</v>
      </c>
      <c r="L1953" s="234"/>
      <c r="M1953" s="234"/>
      <c r="N1953" s="234"/>
      <c r="O1953" s="234"/>
      <c r="P1953" s="234"/>
      <c r="Q1953" s="234"/>
      <c r="R1953" s="234"/>
    </row>
    <row r="1954" spans="8:18" ht="15" customHeight="1" x14ac:dyDescent="0.3">
      <c r="H1954" s="234" t="s">
        <v>4090</v>
      </c>
      <c r="I1954" s="306" t="s">
        <v>4091</v>
      </c>
      <c r="J1954" s="234">
        <f t="shared" si="64"/>
        <v>1.0040437133431086</v>
      </c>
      <c r="K1954" s="315">
        <f t="shared" si="65"/>
        <v>4.0355595080977386E-3</v>
      </c>
      <c r="L1954" s="234"/>
      <c r="M1954" s="234"/>
      <c r="N1954" s="234"/>
      <c r="O1954" s="234"/>
      <c r="P1954" s="234"/>
      <c r="Q1954" s="234"/>
      <c r="R1954" s="234"/>
    </row>
    <row r="1955" spans="8:18" ht="15" customHeight="1" x14ac:dyDescent="0.3">
      <c r="H1955" s="234" t="s">
        <v>4092</v>
      </c>
      <c r="I1955" s="306" t="s">
        <v>4093</v>
      </c>
      <c r="J1955" s="234">
        <f t="shared" si="64"/>
        <v>1.0069904256546314</v>
      </c>
      <c r="K1955" s="315">
        <f t="shared" si="65"/>
        <v>6.9661059003931136E-3</v>
      </c>
      <c r="L1955" s="234"/>
      <c r="M1955" s="234"/>
      <c r="N1955" s="234"/>
      <c r="O1955" s="234"/>
      <c r="P1955" s="234"/>
      <c r="Q1955" s="234"/>
      <c r="R1955" s="234"/>
    </row>
    <row r="1956" spans="8:18" ht="15" customHeight="1" x14ac:dyDescent="0.3">
      <c r="H1956" s="234" t="s">
        <v>4094</v>
      </c>
      <c r="I1956" s="306" t="s">
        <v>4095</v>
      </c>
      <c r="J1956" s="234">
        <f t="shared" si="64"/>
        <v>1.0074375363160952</v>
      </c>
      <c r="K1956" s="315">
        <f t="shared" si="65"/>
        <v>7.4100142230005368E-3</v>
      </c>
      <c r="L1956" s="234"/>
      <c r="M1956" s="234"/>
      <c r="N1956" s="234"/>
      <c r="O1956" s="234"/>
      <c r="P1956" s="234"/>
      <c r="Q1956" s="234"/>
      <c r="R1956" s="234"/>
    </row>
    <row r="1957" spans="8:18" ht="15" customHeight="1" x14ac:dyDescent="0.3">
      <c r="H1957" s="234" t="s">
        <v>4096</v>
      </c>
      <c r="I1957" s="306" t="s">
        <v>4097</v>
      </c>
      <c r="J1957" s="234">
        <f t="shared" si="64"/>
        <v>1.0028669992074961</v>
      </c>
      <c r="K1957" s="315">
        <f t="shared" si="65"/>
        <v>2.8628972036923396E-3</v>
      </c>
      <c r="L1957" s="234"/>
      <c r="M1957" s="234"/>
      <c r="N1957" s="234"/>
      <c r="O1957" s="234"/>
      <c r="P1957" s="234"/>
      <c r="Q1957" s="234"/>
      <c r="R1957" s="234"/>
    </row>
    <row r="1958" spans="8:18" ht="15" customHeight="1" x14ac:dyDescent="0.3">
      <c r="H1958" s="234" t="s">
        <v>4098</v>
      </c>
      <c r="I1958" s="306" t="s">
        <v>4099</v>
      </c>
      <c r="J1958" s="234">
        <f t="shared" si="64"/>
        <v>1.0119350882158695</v>
      </c>
      <c r="K1958" s="315">
        <f t="shared" si="65"/>
        <v>1.1864426728902363E-2</v>
      </c>
      <c r="L1958" s="234"/>
      <c r="M1958" s="234"/>
      <c r="N1958" s="234"/>
      <c r="O1958" s="234"/>
      <c r="P1958" s="234"/>
      <c r="Q1958" s="234"/>
      <c r="R1958" s="234"/>
    </row>
    <row r="1959" spans="8:18" ht="15" customHeight="1" x14ac:dyDescent="0.3">
      <c r="H1959" s="234" t="s">
        <v>4100</v>
      </c>
      <c r="I1959" s="306" t="s">
        <v>4101</v>
      </c>
      <c r="J1959" s="234">
        <f t="shared" si="64"/>
        <v>1.0031588287488908</v>
      </c>
      <c r="K1959" s="315">
        <f t="shared" si="65"/>
        <v>3.1538501310040758E-3</v>
      </c>
      <c r="L1959" s="234"/>
      <c r="M1959" s="234"/>
      <c r="N1959" s="234"/>
      <c r="O1959" s="234"/>
      <c r="P1959" s="234"/>
      <c r="Q1959" s="234"/>
      <c r="R1959" s="234"/>
    </row>
    <row r="1960" spans="8:18" ht="15" customHeight="1" x14ac:dyDescent="0.3">
      <c r="H1960" s="234" t="s">
        <v>4102</v>
      </c>
      <c r="I1960" s="306" t="s">
        <v>4103</v>
      </c>
      <c r="J1960" s="234">
        <f t="shared" si="64"/>
        <v>1.0027760970922162</v>
      </c>
      <c r="K1960" s="315">
        <f t="shared" si="65"/>
        <v>2.7722508513977483E-3</v>
      </c>
      <c r="L1960" s="234"/>
      <c r="M1960" s="234"/>
      <c r="N1960" s="234"/>
      <c r="O1960" s="234"/>
      <c r="P1960" s="234"/>
      <c r="Q1960" s="234"/>
      <c r="R1960" s="234"/>
    </row>
    <row r="1961" spans="8:18" ht="15" customHeight="1" x14ac:dyDescent="0.3">
      <c r="H1961" s="234" t="s">
        <v>4104</v>
      </c>
      <c r="I1961" s="306" t="s">
        <v>4105</v>
      </c>
      <c r="J1961" s="234">
        <f t="shared" si="64"/>
        <v>1.008856865866357</v>
      </c>
      <c r="K1961" s="315">
        <f t="shared" si="65"/>
        <v>8.8178738918659339E-3</v>
      </c>
      <c r="L1961" s="234"/>
      <c r="M1961" s="234"/>
      <c r="N1961" s="234"/>
      <c r="O1961" s="234"/>
      <c r="P1961" s="234"/>
      <c r="Q1961" s="234"/>
      <c r="R1961" s="234"/>
    </row>
    <row r="1962" spans="8:18" ht="15" customHeight="1" x14ac:dyDescent="0.3">
      <c r="H1962" s="234" t="s">
        <v>4106</v>
      </c>
      <c r="I1962" s="306" t="s">
        <v>4107</v>
      </c>
      <c r="J1962" s="234">
        <f t="shared" si="64"/>
        <v>1.0327560845972237</v>
      </c>
      <c r="K1962" s="315">
        <f t="shared" si="65"/>
        <v>3.2231038923204162E-2</v>
      </c>
      <c r="L1962" s="234"/>
      <c r="M1962" s="234"/>
      <c r="N1962" s="234"/>
      <c r="O1962" s="234"/>
      <c r="P1962" s="234"/>
      <c r="Q1962" s="234"/>
      <c r="R1962" s="234"/>
    </row>
    <row r="1963" spans="8:18" ht="15" customHeight="1" x14ac:dyDescent="0.3">
      <c r="H1963" s="234" t="s">
        <v>4108</v>
      </c>
      <c r="I1963" s="306" t="s">
        <v>4109</v>
      </c>
      <c r="J1963" s="234">
        <f t="shared" si="64"/>
        <v>0.99226070745228867</v>
      </c>
      <c r="K1963" s="315">
        <f t="shared" si="65"/>
        <v>-7.7693962940022726E-3</v>
      </c>
      <c r="L1963" s="234"/>
      <c r="M1963" s="234"/>
      <c r="N1963" s="234"/>
      <c r="O1963" s="234"/>
      <c r="P1963" s="234"/>
      <c r="Q1963" s="234"/>
      <c r="R1963" s="234"/>
    </row>
    <row r="1964" spans="8:18" ht="15" customHeight="1" x14ac:dyDescent="0.3">
      <c r="H1964" s="234" t="s">
        <v>4110</v>
      </c>
      <c r="I1964" s="306" t="s">
        <v>4111</v>
      </c>
      <c r="J1964" s="234">
        <f t="shared" si="64"/>
        <v>0.98500718833436018</v>
      </c>
      <c r="K1964" s="315">
        <f t="shared" si="65"/>
        <v>-1.5106340035296095E-2</v>
      </c>
      <c r="L1964" s="234"/>
      <c r="M1964" s="234"/>
      <c r="N1964" s="234"/>
      <c r="O1964" s="234"/>
      <c r="P1964" s="234"/>
      <c r="Q1964" s="234"/>
      <c r="R1964" s="234"/>
    </row>
    <row r="1965" spans="8:18" ht="15" customHeight="1" x14ac:dyDescent="0.3">
      <c r="H1965" s="234" t="s">
        <v>4112</v>
      </c>
      <c r="I1965" s="306" t="s">
        <v>4113</v>
      </c>
      <c r="J1965" s="234">
        <f t="shared" si="64"/>
        <v>0.98663790020740461</v>
      </c>
      <c r="K1965" s="315">
        <f t="shared" si="65"/>
        <v>-1.3452175952359686E-2</v>
      </c>
      <c r="L1965" s="234"/>
      <c r="M1965" s="234"/>
      <c r="N1965" s="234"/>
      <c r="O1965" s="234"/>
      <c r="P1965" s="234"/>
      <c r="Q1965" s="234"/>
      <c r="R1965" s="234"/>
    </row>
    <row r="1966" spans="8:18" ht="15" customHeight="1" x14ac:dyDescent="0.3">
      <c r="H1966" s="234" t="s">
        <v>4114</v>
      </c>
      <c r="I1966" s="306" t="s">
        <v>4115</v>
      </c>
      <c r="J1966" s="234">
        <f t="shared" si="64"/>
        <v>1.0248848601830021</v>
      </c>
      <c r="K1966" s="315">
        <f t="shared" si="65"/>
        <v>2.458027475193433E-2</v>
      </c>
      <c r="L1966" s="234"/>
      <c r="M1966" s="234"/>
      <c r="N1966" s="234"/>
      <c r="O1966" s="234"/>
      <c r="P1966" s="234"/>
      <c r="Q1966" s="234"/>
      <c r="R1966" s="234"/>
    </row>
    <row r="1967" spans="8:18" ht="15" customHeight="1" x14ac:dyDescent="0.3">
      <c r="H1967" s="234" t="s">
        <v>4116</v>
      </c>
      <c r="I1967" s="306" t="s">
        <v>4117</v>
      </c>
      <c r="J1967" s="234">
        <f t="shared" si="64"/>
        <v>0.97402427415516424</v>
      </c>
      <c r="K1967" s="315">
        <f t="shared" si="65"/>
        <v>-2.6319053519594321E-2</v>
      </c>
      <c r="L1967" s="234"/>
      <c r="M1967" s="234"/>
      <c r="N1967" s="234"/>
      <c r="O1967" s="234"/>
      <c r="P1967" s="234"/>
      <c r="Q1967" s="234"/>
      <c r="R1967" s="234"/>
    </row>
    <row r="1968" spans="8:18" ht="15" customHeight="1" x14ac:dyDescent="0.3">
      <c r="H1968" s="234" t="s">
        <v>4118</v>
      </c>
      <c r="I1968" s="306" t="s">
        <v>4119</v>
      </c>
      <c r="J1968" s="234">
        <f t="shared" si="64"/>
        <v>0.9829814609041464</v>
      </c>
      <c r="K1968" s="315">
        <f t="shared" si="65"/>
        <v>-1.7165018723756659E-2</v>
      </c>
      <c r="L1968" s="234"/>
      <c r="M1968" s="234"/>
      <c r="N1968" s="234"/>
      <c r="O1968" s="234"/>
      <c r="P1968" s="234"/>
      <c r="Q1968" s="234"/>
      <c r="R1968" s="234"/>
    </row>
    <row r="1969" spans="8:18" ht="15" customHeight="1" x14ac:dyDescent="0.3">
      <c r="H1969" s="234" t="s">
        <v>4120</v>
      </c>
      <c r="I1969" s="306" t="s">
        <v>4121</v>
      </c>
      <c r="J1969" s="234">
        <f t="shared" si="64"/>
        <v>1.0068540741700329</v>
      </c>
      <c r="K1969" s="315">
        <f t="shared" si="65"/>
        <v>6.8306917859282884E-3</v>
      </c>
      <c r="L1969" s="234"/>
      <c r="M1969" s="234"/>
      <c r="N1969" s="234"/>
      <c r="O1969" s="234"/>
      <c r="P1969" s="234"/>
      <c r="Q1969" s="234"/>
      <c r="R1969" s="234"/>
    </row>
    <row r="1970" spans="8:18" ht="15" customHeight="1" x14ac:dyDescent="0.3">
      <c r="H1970" s="234" t="s">
        <v>4122</v>
      </c>
      <c r="I1970" s="306" t="s">
        <v>4123</v>
      </c>
      <c r="J1970" s="234">
        <f t="shared" si="64"/>
        <v>1.0050659880452151</v>
      </c>
      <c r="K1970" s="315">
        <f t="shared" si="65"/>
        <v>5.0531991020149342E-3</v>
      </c>
      <c r="L1970" s="234"/>
      <c r="M1970" s="234"/>
      <c r="N1970" s="234"/>
      <c r="O1970" s="234"/>
      <c r="P1970" s="234"/>
      <c r="Q1970" s="234"/>
      <c r="R1970" s="234"/>
    </row>
    <row r="1971" spans="8:18" ht="15" customHeight="1" x14ac:dyDescent="0.3">
      <c r="H1971" s="234" t="s">
        <v>4124</v>
      </c>
      <c r="I1971" s="306" t="s">
        <v>4125</v>
      </c>
      <c r="J1971" s="234">
        <f t="shared" si="64"/>
        <v>0.99749695975064057</v>
      </c>
      <c r="K1971" s="315">
        <f t="shared" si="65"/>
        <v>-2.5061780917953066E-3</v>
      </c>
      <c r="L1971" s="234"/>
      <c r="M1971" s="234"/>
      <c r="N1971" s="234"/>
      <c r="O1971" s="234"/>
      <c r="P1971" s="234"/>
      <c r="Q1971" s="234"/>
      <c r="R1971" s="234"/>
    </row>
    <row r="1972" spans="8:18" ht="15" customHeight="1" x14ac:dyDescent="0.3">
      <c r="H1972" s="234" t="s">
        <v>4126</v>
      </c>
      <c r="I1972" s="306" t="s">
        <v>4127</v>
      </c>
      <c r="J1972" s="234">
        <f t="shared" si="64"/>
        <v>0.99024914943120035</v>
      </c>
      <c r="K1972" s="315">
        <f t="shared" si="65"/>
        <v>-9.798701423978682E-3</v>
      </c>
      <c r="L1972" s="234"/>
      <c r="M1972" s="234"/>
      <c r="N1972" s="234"/>
      <c r="O1972" s="234"/>
      <c r="P1972" s="234"/>
      <c r="Q1972" s="234"/>
      <c r="R1972" s="234"/>
    </row>
    <row r="1973" spans="8:18" ht="15" customHeight="1" x14ac:dyDescent="0.3">
      <c r="H1973" s="234" t="s">
        <v>4128</v>
      </c>
      <c r="I1973" s="306" t="s">
        <v>3737</v>
      </c>
      <c r="J1973" s="234">
        <f t="shared" si="64"/>
        <v>1.0221199808795411</v>
      </c>
      <c r="K1973" s="315">
        <f t="shared" si="65"/>
        <v>2.1878883011774337E-2</v>
      </c>
      <c r="L1973" s="234"/>
      <c r="M1973" s="234"/>
      <c r="N1973" s="234"/>
      <c r="O1973" s="234"/>
      <c r="P1973" s="234"/>
      <c r="Q1973" s="234"/>
      <c r="R1973" s="234"/>
    </row>
    <row r="1974" spans="8:18" ht="15" customHeight="1" x14ac:dyDescent="0.3">
      <c r="H1974" s="234" t="s">
        <v>4129</v>
      </c>
      <c r="I1974" s="306" t="s">
        <v>4130</v>
      </c>
      <c r="J1974" s="234">
        <f t="shared" si="64"/>
        <v>1.0371967922259819</v>
      </c>
      <c r="K1974" s="315">
        <f t="shared" si="65"/>
        <v>3.6521681952929097E-2</v>
      </c>
      <c r="L1974" s="234"/>
      <c r="M1974" s="234"/>
      <c r="N1974" s="234"/>
      <c r="O1974" s="234"/>
      <c r="P1974" s="234"/>
      <c r="Q1974" s="234"/>
      <c r="R1974" s="234"/>
    </row>
    <row r="1975" spans="8:18" ht="15" customHeight="1" x14ac:dyDescent="0.3">
      <c r="H1975" s="234" t="s">
        <v>4131</v>
      </c>
      <c r="I1975" s="306" t="s">
        <v>4132</v>
      </c>
      <c r="J1975" s="234">
        <f t="shared" si="64"/>
        <v>0.98779323179391743</v>
      </c>
      <c r="K1975" s="315">
        <f t="shared" si="65"/>
        <v>-1.2281882697104663E-2</v>
      </c>
      <c r="L1975" s="234"/>
      <c r="M1975" s="234"/>
      <c r="N1975" s="234"/>
      <c r="O1975" s="234"/>
      <c r="P1975" s="234"/>
      <c r="Q1975" s="234"/>
      <c r="R1975" s="234"/>
    </row>
    <row r="1976" spans="8:18" ht="15" customHeight="1" x14ac:dyDescent="0.3">
      <c r="H1976" s="234" t="s">
        <v>4133</v>
      </c>
      <c r="I1976" s="306" t="s">
        <v>4134</v>
      </c>
      <c r="J1976" s="234">
        <f t="shared" si="64"/>
        <v>1.0056143806944102</v>
      </c>
      <c r="K1976" s="315">
        <f t="shared" si="65"/>
        <v>5.5986788026365416E-3</v>
      </c>
      <c r="L1976" s="234"/>
      <c r="M1976" s="234"/>
      <c r="N1976" s="234"/>
      <c r="O1976" s="234"/>
      <c r="P1976" s="234"/>
      <c r="Q1976" s="234"/>
      <c r="R1976" s="234"/>
    </row>
    <row r="1977" spans="8:18" ht="15" customHeight="1" x14ac:dyDescent="0.3">
      <c r="H1977" s="234" t="s">
        <v>4135</v>
      </c>
      <c r="I1977" s="306" t="s">
        <v>4136</v>
      </c>
      <c r="J1977" s="234">
        <f t="shared" si="64"/>
        <v>1.0031495090471192</v>
      </c>
      <c r="K1977" s="315">
        <f t="shared" si="65"/>
        <v>3.1445597327176855E-3</v>
      </c>
      <c r="L1977" s="234"/>
      <c r="M1977" s="234"/>
      <c r="N1977" s="234"/>
      <c r="O1977" s="234"/>
      <c r="P1977" s="234"/>
      <c r="Q1977" s="234"/>
      <c r="R1977" s="234"/>
    </row>
    <row r="1978" spans="8:18" ht="15" customHeight="1" x14ac:dyDescent="0.3">
      <c r="H1978" s="234" t="s">
        <v>4137</v>
      </c>
      <c r="I1978" s="306" t="s">
        <v>4138</v>
      </c>
      <c r="J1978" s="234">
        <f t="shared" si="64"/>
        <v>0.99729013980415104</v>
      </c>
      <c r="K1978" s="315">
        <f t="shared" si="65"/>
        <v>-2.7135385136435913E-3</v>
      </c>
      <c r="L1978" s="234"/>
      <c r="M1978" s="234"/>
      <c r="N1978" s="234"/>
      <c r="O1978" s="234"/>
      <c r="P1978" s="234"/>
      <c r="Q1978" s="234"/>
      <c r="R1978" s="234"/>
    </row>
    <row r="1979" spans="8:18" ht="15" customHeight="1" x14ac:dyDescent="0.3">
      <c r="H1979" s="234" t="s">
        <v>4139</v>
      </c>
      <c r="I1979" s="306" t="s">
        <v>4140</v>
      </c>
      <c r="J1979" s="234">
        <f t="shared" si="64"/>
        <v>1.0169480909910813</v>
      </c>
      <c r="K1979" s="315">
        <f t="shared" si="65"/>
        <v>1.6806074457066358E-2</v>
      </c>
      <c r="L1979" s="234"/>
      <c r="M1979" s="234"/>
      <c r="N1979" s="234"/>
      <c r="O1979" s="234"/>
      <c r="P1979" s="234"/>
      <c r="Q1979" s="234"/>
      <c r="R1979" s="234"/>
    </row>
    <row r="1980" spans="8:18" ht="15" customHeight="1" x14ac:dyDescent="0.3">
      <c r="H1980" s="234" t="s">
        <v>4141</v>
      </c>
      <c r="I1980" s="306" t="s">
        <v>4142</v>
      </c>
      <c r="J1980" s="234">
        <f t="shared" si="64"/>
        <v>1.0010156612456269</v>
      </c>
      <c r="K1980" s="315">
        <f t="shared" si="65"/>
        <v>1.0151458107192915E-3</v>
      </c>
      <c r="L1980" s="234"/>
      <c r="M1980" s="234"/>
      <c r="N1980" s="234"/>
      <c r="O1980" s="234"/>
      <c r="P1980" s="234"/>
      <c r="Q1980" s="234"/>
      <c r="R1980" s="234"/>
    </row>
    <row r="1981" spans="8:18" ht="15" customHeight="1" x14ac:dyDescent="0.3">
      <c r="H1981" s="234" t="s">
        <v>4143</v>
      </c>
      <c r="I1981" s="306" t="s">
        <v>4144</v>
      </c>
      <c r="J1981" s="234">
        <f t="shared" si="64"/>
        <v>1.0050662264174721</v>
      </c>
      <c r="K1981" s="315">
        <f t="shared" si="65"/>
        <v>5.0534362727396552E-3</v>
      </c>
      <c r="L1981" s="234"/>
      <c r="M1981" s="234"/>
      <c r="N1981" s="234"/>
      <c r="O1981" s="234"/>
      <c r="P1981" s="234"/>
      <c r="Q1981" s="234"/>
      <c r="R1981" s="234"/>
    </row>
    <row r="1982" spans="8:18" ht="15" customHeight="1" x14ac:dyDescent="0.3">
      <c r="H1982" s="234" t="s">
        <v>4145</v>
      </c>
      <c r="I1982" s="306" t="s">
        <v>4146</v>
      </c>
      <c r="J1982" s="234">
        <f t="shared" si="64"/>
        <v>0.9997983997983998</v>
      </c>
      <c r="K1982" s="315">
        <f t="shared" si="65"/>
        <v>-2.0162052565244885E-4</v>
      </c>
      <c r="L1982" s="234"/>
      <c r="M1982" s="234"/>
      <c r="N1982" s="234"/>
      <c r="O1982" s="234"/>
      <c r="P1982" s="234"/>
      <c r="Q1982" s="234"/>
      <c r="R1982" s="234"/>
    </row>
    <row r="1983" spans="8:18" ht="15" customHeight="1" x14ac:dyDescent="0.3">
      <c r="H1983" s="234" t="s">
        <v>4147</v>
      </c>
      <c r="I1983" s="306" t="s">
        <v>4148</v>
      </c>
      <c r="J1983" s="234">
        <f t="shared" si="64"/>
        <v>1.0148847201442437</v>
      </c>
      <c r="K1983" s="315">
        <f t="shared" si="65"/>
        <v>1.477502983091643E-2</v>
      </c>
      <c r="L1983" s="234"/>
      <c r="M1983" s="234"/>
      <c r="N1983" s="234"/>
      <c r="O1983" s="234"/>
      <c r="P1983" s="234"/>
      <c r="Q1983" s="234"/>
      <c r="R1983" s="234"/>
    </row>
    <row r="1984" spans="8:18" ht="15" customHeight="1" x14ac:dyDescent="0.3">
      <c r="H1984" s="234" t="s">
        <v>4149</v>
      </c>
      <c r="I1984" s="306" t="s">
        <v>4150</v>
      </c>
      <c r="J1984" s="234">
        <f t="shared" si="64"/>
        <v>0.9915931223371881</v>
      </c>
      <c r="K1984" s="315">
        <f t="shared" si="65"/>
        <v>-8.4424147697336038E-3</v>
      </c>
      <c r="L1984" s="234"/>
      <c r="M1984" s="234"/>
      <c r="N1984" s="234"/>
      <c r="O1984" s="234"/>
      <c r="P1984" s="234"/>
      <c r="Q1984" s="234"/>
      <c r="R1984" s="234"/>
    </row>
    <row r="1985" spans="8:18" ht="15" customHeight="1" x14ac:dyDescent="0.3">
      <c r="H1985" s="234" t="s">
        <v>4151</v>
      </c>
      <c r="I1985" s="306" t="s">
        <v>4152</v>
      </c>
      <c r="J1985" s="234">
        <f t="shared" si="64"/>
        <v>0.99351213797099991</v>
      </c>
      <c r="K1985" s="315">
        <f t="shared" si="65"/>
        <v>-6.5089996809012587E-3</v>
      </c>
      <c r="L1985" s="234"/>
      <c r="M1985" s="234"/>
      <c r="N1985" s="234"/>
      <c r="O1985" s="234"/>
      <c r="P1985" s="234"/>
      <c r="Q1985" s="234"/>
      <c r="R1985" s="234"/>
    </row>
    <row r="1986" spans="8:18" ht="15" customHeight="1" x14ac:dyDescent="0.3">
      <c r="H1986" s="234" t="s">
        <v>4153</v>
      </c>
      <c r="I1986" s="306" t="s">
        <v>4154</v>
      </c>
      <c r="J1986" s="234">
        <f t="shared" si="64"/>
        <v>1.0039079296825597</v>
      </c>
      <c r="K1986" s="315">
        <f t="shared" si="65"/>
        <v>3.9003135610875179E-3</v>
      </c>
      <c r="L1986" s="234"/>
      <c r="M1986" s="234"/>
      <c r="N1986" s="234"/>
      <c r="O1986" s="234"/>
      <c r="P1986" s="234"/>
      <c r="Q1986" s="234"/>
      <c r="R1986" s="234"/>
    </row>
    <row r="1987" spans="8:18" ht="15" customHeight="1" x14ac:dyDescent="0.3">
      <c r="H1987" s="234" t="s">
        <v>4155</v>
      </c>
      <c r="I1987" s="306" t="s">
        <v>4156</v>
      </c>
      <c r="J1987" s="234">
        <f t="shared" si="64"/>
        <v>1.0054168150144958</v>
      </c>
      <c r="K1987" s="315">
        <f t="shared" si="65"/>
        <v>5.4021968375913268E-3</v>
      </c>
      <c r="L1987" s="234"/>
      <c r="M1987" s="234"/>
      <c r="N1987" s="234"/>
      <c r="O1987" s="234"/>
      <c r="P1987" s="234"/>
      <c r="Q1987" s="234"/>
      <c r="R1987" s="234"/>
    </row>
    <row r="1988" spans="8:18" ht="15" customHeight="1" x14ac:dyDescent="0.3">
      <c r="H1988" s="234" t="s">
        <v>4157</v>
      </c>
      <c r="I1988" s="306" t="s">
        <v>4158</v>
      </c>
      <c r="J1988" s="234">
        <f t="shared" si="64"/>
        <v>1.0082822636477859</v>
      </c>
      <c r="K1988" s="315">
        <f t="shared" si="65"/>
        <v>8.2481539100305121E-3</v>
      </c>
      <c r="L1988" s="234"/>
      <c r="M1988" s="234"/>
      <c r="N1988" s="234"/>
      <c r="O1988" s="234"/>
      <c r="P1988" s="234"/>
      <c r="Q1988" s="234"/>
      <c r="R1988" s="234"/>
    </row>
    <row r="1989" spans="8:18" ht="15" customHeight="1" x14ac:dyDescent="0.3">
      <c r="H1989" s="234" t="s">
        <v>4159</v>
      </c>
      <c r="I1989" s="306" t="s">
        <v>4160</v>
      </c>
      <c r="J1989" s="234">
        <f t="shared" ref="J1989:J2052" si="66">I1989/I1990</f>
        <v>1.0013994273902604</v>
      </c>
      <c r="K1989" s="315">
        <f t="shared" ref="K1989:K2052" si="67">LN(J1989)</f>
        <v>1.3984491043371912E-3</v>
      </c>
      <c r="L1989" s="234"/>
      <c r="M1989" s="234"/>
      <c r="N1989" s="234"/>
      <c r="O1989" s="234"/>
      <c r="P1989" s="234"/>
      <c r="Q1989" s="234"/>
      <c r="R1989" s="234"/>
    </row>
    <row r="1990" spans="8:18" ht="15" customHeight="1" x14ac:dyDescent="0.3">
      <c r="H1990" s="234" t="s">
        <v>4161</v>
      </c>
      <c r="I1990" s="306" t="s">
        <v>4162</v>
      </c>
      <c r="J1990" s="234">
        <f t="shared" si="66"/>
        <v>1.0194494980563591</v>
      </c>
      <c r="K1990" s="315">
        <f t="shared" si="67"/>
        <v>1.9262773813624262E-2</v>
      </c>
      <c r="L1990" s="234"/>
      <c r="M1990" s="234"/>
      <c r="N1990" s="234"/>
      <c r="O1990" s="234"/>
      <c r="P1990" s="234"/>
      <c r="Q1990" s="234"/>
      <c r="R1990" s="234"/>
    </row>
    <row r="1991" spans="8:18" ht="15" customHeight="1" x14ac:dyDescent="0.3">
      <c r="H1991" s="234" t="s">
        <v>4163</v>
      </c>
      <c r="I1991" s="306" t="s">
        <v>4164</v>
      </c>
      <c r="J1991" s="234">
        <f t="shared" si="66"/>
        <v>1.0042851321687238</v>
      </c>
      <c r="K1991" s="315">
        <f t="shared" si="67"/>
        <v>4.27597713424258E-3</v>
      </c>
      <c r="L1991" s="234"/>
      <c r="M1991" s="234"/>
      <c r="N1991" s="234"/>
      <c r="O1991" s="234"/>
      <c r="P1991" s="234"/>
      <c r="Q1991" s="234"/>
      <c r="R1991" s="234"/>
    </row>
    <row r="1992" spans="8:18" ht="15" customHeight="1" x14ac:dyDescent="0.3">
      <c r="H1992" s="234" t="s">
        <v>4165</v>
      </c>
      <c r="I1992" s="306" t="s">
        <v>4166</v>
      </c>
      <c r="J1992" s="234">
        <f t="shared" si="66"/>
        <v>1.0048739895387542</v>
      </c>
      <c r="K1992" s="315">
        <f t="shared" si="67"/>
        <v>4.862150106337281E-3</v>
      </c>
      <c r="L1992" s="234"/>
      <c r="M1992" s="234"/>
      <c r="N1992" s="234"/>
      <c r="O1992" s="234"/>
      <c r="P1992" s="234"/>
      <c r="Q1992" s="234"/>
      <c r="R1992" s="234"/>
    </row>
    <row r="1993" spans="8:18" ht="15" customHeight="1" x14ac:dyDescent="0.3">
      <c r="H1993" s="234" t="s">
        <v>4167</v>
      </c>
      <c r="I1993" s="306" t="s">
        <v>4168</v>
      </c>
      <c r="J1993" s="234">
        <f t="shared" si="66"/>
        <v>1.0069293893891231</v>
      </c>
      <c r="K1993" s="315">
        <f t="shared" si="67"/>
        <v>6.9054915054494867E-3</v>
      </c>
      <c r="L1993" s="234"/>
      <c r="M1993" s="234"/>
      <c r="N1993" s="234"/>
      <c r="O1993" s="234"/>
      <c r="P1993" s="234"/>
      <c r="Q1993" s="234"/>
      <c r="R1993" s="234"/>
    </row>
    <row r="1994" spans="8:18" ht="15" customHeight="1" x14ac:dyDescent="0.3">
      <c r="H1994" s="234" t="s">
        <v>4169</v>
      </c>
      <c r="I1994" s="306" t="s">
        <v>4170</v>
      </c>
      <c r="J1994" s="234">
        <f t="shared" si="66"/>
        <v>1.0007853263763178</v>
      </c>
      <c r="K1994" s="315">
        <f t="shared" si="67"/>
        <v>7.8501816891083005E-4</v>
      </c>
      <c r="L1994" s="234"/>
      <c r="M1994" s="234"/>
      <c r="N1994" s="234"/>
      <c r="O1994" s="234"/>
      <c r="P1994" s="234"/>
      <c r="Q1994" s="234"/>
      <c r="R1994" s="234"/>
    </row>
    <row r="1995" spans="8:18" ht="15" customHeight="1" x14ac:dyDescent="0.3">
      <c r="H1995" s="234" t="s">
        <v>4171</v>
      </c>
      <c r="I1995" s="306" t="s">
        <v>4172</v>
      </c>
      <c r="J1995" s="234">
        <f t="shared" si="66"/>
        <v>1.0240026169803862</v>
      </c>
      <c r="K1995" s="315">
        <f t="shared" si="67"/>
        <v>2.371908225895878E-2</v>
      </c>
      <c r="L1995" s="234"/>
      <c r="M1995" s="234"/>
      <c r="N1995" s="234"/>
      <c r="O1995" s="234"/>
      <c r="P1995" s="234"/>
      <c r="Q1995" s="234"/>
      <c r="R1995" s="234"/>
    </row>
    <row r="1996" spans="8:18" ht="15" customHeight="1" x14ac:dyDescent="0.3">
      <c r="H1996" s="234" t="s">
        <v>4173</v>
      </c>
      <c r="I1996" s="306" t="s">
        <v>4174</v>
      </c>
      <c r="J1996" s="234">
        <f t="shared" si="66"/>
        <v>1.0094523940561364</v>
      </c>
      <c r="K1996" s="315">
        <f t="shared" si="67"/>
        <v>9.4079997153830794E-3</v>
      </c>
      <c r="L1996" s="234"/>
      <c r="M1996" s="234"/>
      <c r="N1996" s="234"/>
      <c r="O1996" s="234"/>
      <c r="P1996" s="234"/>
      <c r="Q1996" s="234"/>
      <c r="R1996" s="234"/>
    </row>
    <row r="1997" spans="8:18" ht="15" customHeight="1" x14ac:dyDescent="0.3">
      <c r="H1997" s="234" t="s">
        <v>4175</v>
      </c>
      <c r="I1997" s="306" t="s">
        <v>4176</v>
      </c>
      <c r="J1997" s="234">
        <f t="shared" si="66"/>
        <v>0.99395530756817374</v>
      </c>
      <c r="K1997" s="315">
        <f t="shared" si="67"/>
        <v>-6.0630355414498568E-3</v>
      </c>
      <c r="L1997" s="234"/>
      <c r="M1997" s="234"/>
      <c r="N1997" s="234"/>
      <c r="O1997" s="234"/>
      <c r="P1997" s="234"/>
      <c r="Q1997" s="234"/>
      <c r="R1997" s="234"/>
    </row>
    <row r="1998" spans="8:18" ht="15" customHeight="1" x14ac:dyDescent="0.3">
      <c r="H1998" s="234" t="s">
        <v>4177</v>
      </c>
      <c r="I1998" s="306" t="s">
        <v>4178</v>
      </c>
      <c r="J1998" s="234">
        <f t="shared" si="66"/>
        <v>1.0068988309166771</v>
      </c>
      <c r="K1998" s="315">
        <f t="shared" si="67"/>
        <v>6.8751428668314962E-3</v>
      </c>
      <c r="L1998" s="234"/>
      <c r="M1998" s="234"/>
      <c r="N1998" s="234"/>
      <c r="O1998" s="234"/>
      <c r="P1998" s="234"/>
      <c r="Q1998" s="234"/>
      <c r="R1998" s="234"/>
    </row>
    <row r="1999" spans="8:18" ht="15" customHeight="1" x14ac:dyDescent="0.3">
      <c r="H1999" s="234" t="s">
        <v>4179</v>
      </c>
      <c r="I1999" s="306" t="s">
        <v>3094</v>
      </c>
      <c r="J1999" s="234">
        <f t="shared" si="66"/>
        <v>1.0026647153034738</v>
      </c>
      <c r="K1999" s="315">
        <f t="shared" si="67"/>
        <v>2.6611712441927467E-3</v>
      </c>
      <c r="L1999" s="234"/>
      <c r="M1999" s="234"/>
      <c r="N1999" s="234"/>
      <c r="O1999" s="234"/>
      <c r="P1999" s="234"/>
      <c r="Q1999" s="234"/>
      <c r="R1999" s="234"/>
    </row>
    <row r="2000" spans="8:18" ht="15" customHeight="1" x14ac:dyDescent="0.3">
      <c r="H2000" s="234" t="s">
        <v>4180</v>
      </c>
      <c r="I2000" s="306" t="s">
        <v>4181</v>
      </c>
      <c r="J2000" s="234">
        <f t="shared" si="66"/>
        <v>0.9933482369399147</v>
      </c>
      <c r="K2000" s="315">
        <f t="shared" si="67"/>
        <v>-6.6739846325633437E-3</v>
      </c>
      <c r="L2000" s="234"/>
      <c r="M2000" s="234"/>
      <c r="N2000" s="234"/>
      <c r="O2000" s="234"/>
      <c r="P2000" s="234"/>
      <c r="Q2000" s="234"/>
      <c r="R2000" s="234"/>
    </row>
    <row r="2001" spans="8:18" ht="15" customHeight="1" x14ac:dyDescent="0.3">
      <c r="H2001" s="234" t="s">
        <v>4182</v>
      </c>
      <c r="I2001" s="306" t="s">
        <v>4183</v>
      </c>
      <c r="J2001" s="234">
        <f t="shared" si="66"/>
        <v>0.98761970552778788</v>
      </c>
      <c r="K2001" s="315">
        <f t="shared" si="67"/>
        <v>-1.2457568765872791E-2</v>
      </c>
      <c r="L2001" s="234"/>
      <c r="M2001" s="234"/>
      <c r="N2001" s="234"/>
      <c r="O2001" s="234"/>
      <c r="P2001" s="234"/>
      <c r="Q2001" s="234"/>
      <c r="R2001" s="234"/>
    </row>
    <row r="2002" spans="8:18" ht="15" customHeight="1" x14ac:dyDescent="0.3">
      <c r="H2002" s="234" t="s">
        <v>4184</v>
      </c>
      <c r="I2002" s="306" t="s">
        <v>4185</v>
      </c>
      <c r="J2002" s="234">
        <f t="shared" si="66"/>
        <v>1.0141071428571429</v>
      </c>
      <c r="K2002" s="315">
        <f t="shared" si="67"/>
        <v>1.4008563154191954E-2</v>
      </c>
      <c r="L2002" s="234"/>
      <c r="M2002" s="234"/>
      <c r="N2002" s="234"/>
      <c r="O2002" s="234"/>
      <c r="P2002" s="234"/>
      <c r="Q2002" s="234"/>
      <c r="R2002" s="234"/>
    </row>
    <row r="2003" spans="8:18" ht="15" customHeight="1" x14ac:dyDescent="0.3">
      <c r="H2003" s="234" t="s">
        <v>4186</v>
      </c>
      <c r="I2003" s="306" t="s">
        <v>4187</v>
      </c>
      <c r="J2003" s="234">
        <f t="shared" si="66"/>
        <v>1.0003435245620063</v>
      </c>
      <c r="K2003" s="315">
        <f t="shared" si="67"/>
        <v>3.4346557095343838E-4</v>
      </c>
      <c r="L2003" s="234"/>
      <c r="M2003" s="234"/>
      <c r="N2003" s="234"/>
      <c r="O2003" s="234"/>
      <c r="P2003" s="234"/>
      <c r="Q2003" s="234"/>
      <c r="R2003" s="234"/>
    </row>
    <row r="2004" spans="8:18" ht="15" customHeight="1" x14ac:dyDescent="0.3">
      <c r="H2004" s="234" t="s">
        <v>4188</v>
      </c>
      <c r="I2004" s="306" t="s">
        <v>4189</v>
      </c>
      <c r="J2004" s="234">
        <f t="shared" si="66"/>
        <v>1.0039454262025962</v>
      </c>
      <c r="K2004" s="315">
        <f t="shared" si="67"/>
        <v>3.9376634202601887E-3</v>
      </c>
      <c r="L2004" s="234"/>
      <c r="M2004" s="234"/>
      <c r="N2004" s="234"/>
      <c r="O2004" s="234"/>
      <c r="P2004" s="234"/>
      <c r="Q2004" s="234"/>
      <c r="R2004" s="234"/>
    </row>
    <row r="2005" spans="8:18" ht="15" customHeight="1" x14ac:dyDescent="0.3">
      <c r="H2005" s="234" t="s">
        <v>4190</v>
      </c>
      <c r="I2005" s="306" t="s">
        <v>4191</v>
      </c>
      <c r="J2005" s="234">
        <f t="shared" si="66"/>
        <v>0.9893678004039963</v>
      </c>
      <c r="K2005" s="315">
        <f t="shared" si="67"/>
        <v>-1.0689125286543838E-2</v>
      </c>
      <c r="L2005" s="234"/>
      <c r="M2005" s="234"/>
      <c r="N2005" s="234"/>
      <c r="O2005" s="234"/>
      <c r="P2005" s="234"/>
      <c r="Q2005" s="234"/>
      <c r="R2005" s="234"/>
    </row>
    <row r="2006" spans="8:18" ht="15" customHeight="1" x14ac:dyDescent="0.3">
      <c r="H2006" s="234" t="s">
        <v>4192</v>
      </c>
      <c r="I2006" s="306" t="s">
        <v>4193</v>
      </c>
      <c r="J2006" s="234">
        <f t="shared" si="66"/>
        <v>1.0101054663266009</v>
      </c>
      <c r="K2006" s="315">
        <f t="shared" si="67"/>
        <v>1.0054747507104994E-2</v>
      </c>
      <c r="L2006" s="234"/>
      <c r="M2006" s="234"/>
      <c r="N2006" s="234"/>
      <c r="O2006" s="234"/>
      <c r="P2006" s="234"/>
      <c r="Q2006" s="234"/>
      <c r="R2006" s="234"/>
    </row>
    <row r="2007" spans="8:18" ht="15" customHeight="1" x14ac:dyDescent="0.3">
      <c r="H2007" s="234" t="s">
        <v>4194</v>
      </c>
      <c r="I2007" s="306" t="s">
        <v>4195</v>
      </c>
      <c r="J2007" s="234">
        <f t="shared" si="66"/>
        <v>0.99240662197291007</v>
      </c>
      <c r="K2007" s="315">
        <f t="shared" si="67"/>
        <v>-7.6223545014348819E-3</v>
      </c>
      <c r="L2007" s="234"/>
      <c r="M2007" s="234"/>
      <c r="N2007" s="234"/>
      <c r="O2007" s="234"/>
      <c r="P2007" s="234"/>
      <c r="Q2007" s="234"/>
      <c r="R2007" s="234"/>
    </row>
    <row r="2008" spans="8:18" ht="15" customHeight="1" x14ac:dyDescent="0.3">
      <c r="H2008" s="234" t="s">
        <v>4196</v>
      </c>
      <c r="I2008" s="306" t="s">
        <v>4197</v>
      </c>
      <c r="J2008" s="234">
        <f t="shared" si="66"/>
        <v>1.0114023192095869</v>
      </c>
      <c r="K2008" s="315">
        <f t="shared" si="67"/>
        <v>1.1337802729721328E-2</v>
      </c>
      <c r="L2008" s="234"/>
      <c r="M2008" s="234"/>
      <c r="N2008" s="234"/>
      <c r="O2008" s="234"/>
      <c r="P2008" s="234"/>
      <c r="Q2008" s="234"/>
      <c r="R2008" s="234"/>
    </row>
    <row r="2009" spans="8:18" ht="15" customHeight="1" x14ac:dyDescent="0.3">
      <c r="H2009" s="234" t="s">
        <v>4198</v>
      </c>
      <c r="I2009" s="306" t="s">
        <v>4199</v>
      </c>
      <c r="J2009" s="234">
        <f t="shared" si="66"/>
        <v>1.0043221457855604</v>
      </c>
      <c r="K2009" s="315">
        <f t="shared" si="67"/>
        <v>4.3128321404421986E-3</v>
      </c>
      <c r="L2009" s="234"/>
      <c r="M2009" s="234"/>
      <c r="N2009" s="234"/>
      <c r="O2009" s="234"/>
      <c r="P2009" s="234"/>
      <c r="Q2009" s="234"/>
      <c r="R2009" s="234"/>
    </row>
    <row r="2010" spans="8:18" ht="15" customHeight="1" x14ac:dyDescent="0.3">
      <c r="H2010" s="234" t="s">
        <v>4200</v>
      </c>
      <c r="I2010" s="306" t="s">
        <v>4201</v>
      </c>
      <c r="J2010" s="234">
        <f t="shared" si="66"/>
        <v>0.9897524071526822</v>
      </c>
      <c r="K2010" s="315">
        <f t="shared" si="67"/>
        <v>-1.0300460917336801E-2</v>
      </c>
      <c r="L2010" s="234"/>
      <c r="M2010" s="234"/>
      <c r="N2010" s="234"/>
      <c r="O2010" s="234"/>
      <c r="P2010" s="234"/>
      <c r="Q2010" s="234"/>
      <c r="R2010" s="234"/>
    </row>
    <row r="2011" spans="8:18" ht="15" customHeight="1" x14ac:dyDescent="0.3">
      <c r="H2011" s="234" t="s">
        <v>4202</v>
      </c>
      <c r="I2011" s="306" t="s">
        <v>4203</v>
      </c>
      <c r="J2011" s="234">
        <f t="shared" si="66"/>
        <v>0.98049793650365491</v>
      </c>
      <c r="K2011" s="315">
        <f t="shared" si="67"/>
        <v>-1.9694737882723787E-2</v>
      </c>
      <c r="L2011" s="234"/>
      <c r="M2011" s="234"/>
      <c r="N2011" s="234"/>
      <c r="O2011" s="234"/>
      <c r="P2011" s="234"/>
      <c r="Q2011" s="234"/>
      <c r="R2011" s="234"/>
    </row>
    <row r="2012" spans="8:18" ht="15" customHeight="1" x14ac:dyDescent="0.3">
      <c r="H2012" s="234" t="s">
        <v>4204</v>
      </c>
      <c r="I2012" s="306" t="s">
        <v>4205</v>
      </c>
      <c r="J2012" s="234">
        <f t="shared" si="66"/>
        <v>1.00116122063192</v>
      </c>
      <c r="K2012" s="315">
        <f t="shared" si="67"/>
        <v>1.160546936730768E-3</v>
      </c>
      <c r="L2012" s="234"/>
      <c r="M2012" s="234"/>
      <c r="N2012" s="234"/>
      <c r="O2012" s="234"/>
      <c r="P2012" s="234"/>
      <c r="Q2012" s="234"/>
      <c r="R2012" s="234"/>
    </row>
    <row r="2013" spans="8:18" ht="15" customHeight="1" x14ac:dyDescent="0.3">
      <c r="H2013" s="234" t="s">
        <v>4206</v>
      </c>
      <c r="I2013" s="306" t="s">
        <v>4207</v>
      </c>
      <c r="J2013" s="234">
        <f t="shared" si="66"/>
        <v>0.99869196434591478</v>
      </c>
      <c r="K2013" s="315">
        <f t="shared" si="67"/>
        <v>-1.30889187945171E-3</v>
      </c>
      <c r="L2013" s="234"/>
      <c r="M2013" s="234"/>
      <c r="N2013" s="234"/>
      <c r="O2013" s="234"/>
      <c r="P2013" s="234"/>
      <c r="Q2013" s="234"/>
      <c r="R2013" s="234"/>
    </row>
    <row r="2014" spans="8:18" ht="15" customHeight="1" x14ac:dyDescent="0.3">
      <c r="H2014" s="234" t="s">
        <v>4208</v>
      </c>
      <c r="I2014" s="306" t="s">
        <v>4209</v>
      </c>
      <c r="J2014" s="234">
        <f t="shared" si="66"/>
        <v>0.99535589170905869</v>
      </c>
      <c r="K2014" s="315">
        <f t="shared" si="67"/>
        <v>-4.6549256662187745E-3</v>
      </c>
      <c r="L2014" s="234"/>
      <c r="M2014" s="234"/>
      <c r="N2014" s="234"/>
      <c r="O2014" s="234"/>
      <c r="P2014" s="234"/>
      <c r="Q2014" s="234"/>
      <c r="R2014" s="234"/>
    </row>
    <row r="2015" spans="8:18" ht="15" customHeight="1" x14ac:dyDescent="0.3">
      <c r="H2015" s="234" t="s">
        <v>4210</v>
      </c>
      <c r="I2015" s="306" t="s">
        <v>4211</v>
      </c>
      <c r="J2015" s="234">
        <f t="shared" si="66"/>
        <v>0.99978528965767122</v>
      </c>
      <c r="K2015" s="315">
        <f t="shared" si="67"/>
        <v>-2.1473339589428642E-4</v>
      </c>
      <c r="L2015" s="234"/>
      <c r="M2015" s="234"/>
      <c r="N2015" s="234"/>
      <c r="O2015" s="234"/>
      <c r="P2015" s="234"/>
      <c r="Q2015" s="234"/>
      <c r="R2015" s="234"/>
    </row>
    <row r="2016" spans="8:18" ht="15" customHeight="1" x14ac:dyDescent="0.3">
      <c r="H2016" s="234" t="s">
        <v>4212</v>
      </c>
      <c r="I2016" s="306" t="s">
        <v>4213</v>
      </c>
      <c r="J2016" s="234">
        <f t="shared" si="66"/>
        <v>0.99876693785098714</v>
      </c>
      <c r="K2016" s="315">
        <f t="shared" si="67"/>
        <v>-1.2338229956563038E-3</v>
      </c>
      <c r="L2016" s="234"/>
      <c r="M2016" s="234"/>
      <c r="N2016" s="234"/>
      <c r="O2016" s="234"/>
      <c r="P2016" s="234"/>
      <c r="Q2016" s="234"/>
      <c r="R2016" s="234"/>
    </row>
    <row r="2017" spans="8:18" ht="15" customHeight="1" x14ac:dyDescent="0.3">
      <c r="H2017" s="234" t="s">
        <v>4214</v>
      </c>
      <c r="I2017" s="306" t="s">
        <v>4215</v>
      </c>
      <c r="J2017" s="234">
        <f t="shared" si="66"/>
        <v>1.0159588229687224</v>
      </c>
      <c r="K2017" s="315">
        <f t="shared" si="67"/>
        <v>1.5832819760893194E-2</v>
      </c>
      <c r="L2017" s="234"/>
      <c r="M2017" s="234"/>
      <c r="N2017" s="234"/>
      <c r="O2017" s="234"/>
      <c r="P2017" s="234"/>
      <c r="Q2017" s="234"/>
      <c r="R2017" s="234"/>
    </row>
    <row r="2018" spans="8:18" ht="15" customHeight="1" x14ac:dyDescent="0.3">
      <c r="H2018" s="234" t="s">
        <v>4216</v>
      </c>
      <c r="I2018" s="306" t="s">
        <v>4217</v>
      </c>
      <c r="J2018" s="234">
        <f t="shared" si="66"/>
        <v>1.0127840909090908</v>
      </c>
      <c r="K2018" s="315">
        <f t="shared" si="67"/>
        <v>1.2703064256253456E-2</v>
      </c>
      <c r="L2018" s="234"/>
      <c r="M2018" s="234"/>
      <c r="N2018" s="234"/>
      <c r="O2018" s="234"/>
      <c r="P2018" s="234"/>
      <c r="Q2018" s="234"/>
      <c r="R2018" s="234"/>
    </row>
    <row r="2019" spans="8:18" ht="15" customHeight="1" x14ac:dyDescent="0.3">
      <c r="H2019" s="234" t="s">
        <v>4218</v>
      </c>
      <c r="I2019" s="306" t="s">
        <v>4219</v>
      </c>
      <c r="J2019" s="234">
        <f t="shared" si="66"/>
        <v>1.0237903624324056</v>
      </c>
      <c r="K2019" s="315">
        <f t="shared" si="67"/>
        <v>2.351178147135519E-2</v>
      </c>
      <c r="L2019" s="234"/>
      <c r="M2019" s="234"/>
      <c r="N2019" s="234"/>
      <c r="O2019" s="234"/>
      <c r="P2019" s="234"/>
      <c r="Q2019" s="234"/>
      <c r="R2019" s="234"/>
    </row>
    <row r="2020" spans="8:18" ht="15" customHeight="1" x14ac:dyDescent="0.3">
      <c r="H2020" s="234" t="s">
        <v>4220</v>
      </c>
      <c r="I2020" s="306" t="s">
        <v>4221</v>
      </c>
      <c r="J2020" s="234">
        <f t="shared" si="66"/>
        <v>0.97770630297341321</v>
      </c>
      <c r="K2020" s="315">
        <f t="shared" si="67"/>
        <v>-2.2545957755674133E-2</v>
      </c>
      <c r="L2020" s="234"/>
      <c r="M2020" s="234"/>
      <c r="N2020" s="234"/>
      <c r="O2020" s="234"/>
      <c r="P2020" s="234"/>
      <c r="Q2020" s="234"/>
      <c r="R2020" s="234"/>
    </row>
    <row r="2021" spans="8:18" ht="15" customHeight="1" x14ac:dyDescent="0.3">
      <c r="H2021" s="234" t="s">
        <v>4222</v>
      </c>
      <c r="I2021" s="306" t="s">
        <v>4223</v>
      </c>
      <c r="J2021" s="234">
        <f t="shared" si="66"/>
        <v>1.0038106059556307</v>
      </c>
      <c r="K2021" s="315">
        <f t="shared" si="67"/>
        <v>3.803363988447995E-3</v>
      </c>
      <c r="L2021" s="234"/>
      <c r="M2021" s="234"/>
      <c r="N2021" s="234"/>
      <c r="O2021" s="234"/>
      <c r="P2021" s="234"/>
      <c r="Q2021" s="234"/>
      <c r="R2021" s="234"/>
    </row>
    <row r="2022" spans="8:18" ht="15" customHeight="1" x14ac:dyDescent="0.3">
      <c r="H2022" s="234" t="s">
        <v>4224</v>
      </c>
      <c r="I2022" s="306" t="s">
        <v>4225</v>
      </c>
      <c r="J2022" s="234">
        <f t="shared" si="66"/>
        <v>0.98951077716228819</v>
      </c>
      <c r="K2022" s="315">
        <f t="shared" si="67"/>
        <v>-1.0544622475546184E-2</v>
      </c>
      <c r="L2022" s="234"/>
      <c r="M2022" s="234"/>
      <c r="N2022" s="234"/>
      <c r="O2022" s="234"/>
      <c r="P2022" s="234"/>
      <c r="Q2022" s="234"/>
      <c r="R2022" s="234"/>
    </row>
    <row r="2023" spans="8:18" ht="15" customHeight="1" x14ac:dyDescent="0.3">
      <c r="H2023" s="234" t="s">
        <v>4226</v>
      </c>
      <c r="I2023" s="306" t="s">
        <v>4227</v>
      </c>
      <c r="J2023" s="234">
        <f t="shared" si="66"/>
        <v>0.98075655904145875</v>
      </c>
      <c r="K2023" s="315">
        <f t="shared" si="67"/>
        <v>-1.9431006133590445E-2</v>
      </c>
      <c r="L2023" s="234"/>
      <c r="M2023" s="234"/>
      <c r="N2023" s="234"/>
      <c r="O2023" s="234"/>
      <c r="P2023" s="234"/>
      <c r="Q2023" s="234"/>
      <c r="R2023" s="234"/>
    </row>
    <row r="2024" spans="8:18" ht="15" customHeight="1" x14ac:dyDescent="0.3">
      <c r="H2024" s="234" t="s">
        <v>4228</v>
      </c>
      <c r="I2024" s="306" t="s">
        <v>4229</v>
      </c>
      <c r="J2024" s="234">
        <f t="shared" si="66"/>
        <v>1.0261494728707843</v>
      </c>
      <c r="K2024" s="315">
        <f t="shared" si="67"/>
        <v>2.5813421196784057E-2</v>
      </c>
      <c r="L2024" s="234"/>
      <c r="M2024" s="234"/>
      <c r="N2024" s="234"/>
      <c r="O2024" s="234"/>
      <c r="P2024" s="234"/>
      <c r="Q2024" s="234"/>
      <c r="R2024" s="234"/>
    </row>
    <row r="2025" spans="8:18" ht="15" customHeight="1" x14ac:dyDescent="0.3">
      <c r="H2025" s="234" t="s">
        <v>4230</v>
      </c>
      <c r="I2025" s="306" t="s">
        <v>4231</v>
      </c>
      <c r="J2025" s="234">
        <f t="shared" si="66"/>
        <v>0.9752644470163917</v>
      </c>
      <c r="K2025" s="315">
        <f t="shared" si="67"/>
        <v>-2.5046617050755726E-2</v>
      </c>
      <c r="L2025" s="234"/>
      <c r="M2025" s="234"/>
      <c r="N2025" s="234"/>
      <c r="O2025" s="234"/>
      <c r="P2025" s="234"/>
      <c r="Q2025" s="234"/>
      <c r="R2025" s="234"/>
    </row>
    <row r="2026" spans="8:18" ht="15" customHeight="1" x14ac:dyDescent="0.3">
      <c r="H2026" s="234" t="s">
        <v>4232</v>
      </c>
      <c r="I2026" s="306" t="s">
        <v>4233</v>
      </c>
      <c r="J2026" s="234">
        <f t="shared" si="66"/>
        <v>1.0053442654002787</v>
      </c>
      <c r="K2026" s="315">
        <f t="shared" si="67"/>
        <v>5.3300354903728737E-3</v>
      </c>
      <c r="L2026" s="234"/>
      <c r="M2026" s="234"/>
      <c r="N2026" s="234"/>
      <c r="O2026" s="234"/>
      <c r="P2026" s="234"/>
      <c r="Q2026" s="234"/>
      <c r="R2026" s="234"/>
    </row>
    <row r="2027" spans="8:18" ht="15" customHeight="1" x14ac:dyDescent="0.3">
      <c r="H2027" s="234" t="s">
        <v>4234</v>
      </c>
      <c r="I2027" s="306" t="s">
        <v>4235</v>
      </c>
      <c r="J2027" s="234">
        <f t="shared" si="66"/>
        <v>1.0010428799739957</v>
      </c>
      <c r="K2027" s="315">
        <f t="shared" si="67"/>
        <v>1.0423365524583872E-3</v>
      </c>
      <c r="L2027" s="234"/>
      <c r="M2027" s="234"/>
      <c r="N2027" s="234"/>
      <c r="O2027" s="234"/>
      <c r="P2027" s="234"/>
      <c r="Q2027" s="234"/>
      <c r="R2027" s="234"/>
    </row>
    <row r="2028" spans="8:18" ht="15" customHeight="1" x14ac:dyDescent="0.3">
      <c r="H2028" s="234" t="s">
        <v>4236</v>
      </c>
      <c r="I2028" s="306" t="s">
        <v>4237</v>
      </c>
      <c r="J2028" s="234">
        <f t="shared" si="66"/>
        <v>0.99359440183017089</v>
      </c>
      <c r="K2028" s="315">
        <f t="shared" si="67"/>
        <v>-6.4262020476890903E-3</v>
      </c>
      <c r="L2028" s="234"/>
      <c r="M2028" s="234"/>
      <c r="N2028" s="234"/>
      <c r="O2028" s="234"/>
      <c r="P2028" s="234"/>
      <c r="Q2028" s="234"/>
      <c r="R2028" s="234"/>
    </row>
    <row r="2029" spans="8:18" ht="15" customHeight="1" x14ac:dyDescent="0.3">
      <c r="H2029" s="234" t="s">
        <v>4238</v>
      </c>
      <c r="I2029" s="306" t="s">
        <v>4239</v>
      </c>
      <c r="J2029" s="234">
        <f t="shared" si="66"/>
        <v>0.99347576138399418</v>
      </c>
      <c r="K2029" s="315">
        <f t="shared" si="67"/>
        <v>-6.5456144856734459E-3</v>
      </c>
      <c r="L2029" s="234"/>
      <c r="M2029" s="234"/>
      <c r="N2029" s="234"/>
      <c r="O2029" s="234"/>
      <c r="P2029" s="234"/>
      <c r="Q2029" s="234"/>
      <c r="R2029" s="234"/>
    </row>
    <row r="2030" spans="8:18" ht="15" customHeight="1" x14ac:dyDescent="0.3">
      <c r="H2030" s="234" t="s">
        <v>4240</v>
      </c>
      <c r="I2030" s="306" t="s">
        <v>4241</v>
      </c>
      <c r="J2030" s="234">
        <f t="shared" si="66"/>
        <v>0.98453397917681285</v>
      </c>
      <c r="K2030" s="315">
        <f t="shared" si="67"/>
        <v>-1.5586867352479217E-2</v>
      </c>
      <c r="L2030" s="234"/>
      <c r="M2030" s="234"/>
      <c r="N2030" s="234"/>
      <c r="O2030" s="234"/>
      <c r="P2030" s="234"/>
      <c r="Q2030" s="234"/>
      <c r="R2030" s="234"/>
    </row>
    <row r="2031" spans="8:18" ht="15" customHeight="1" x14ac:dyDescent="0.3">
      <c r="H2031" s="234" t="s">
        <v>4242</v>
      </c>
      <c r="I2031" s="306" t="s">
        <v>4243</v>
      </c>
      <c r="J2031" s="234">
        <f t="shared" si="66"/>
        <v>1.0009881683311814</v>
      </c>
      <c r="K2031" s="315">
        <f t="shared" si="67"/>
        <v>9.876804142589647E-4</v>
      </c>
      <c r="L2031" s="234"/>
      <c r="M2031" s="234"/>
      <c r="N2031" s="234"/>
      <c r="O2031" s="234"/>
      <c r="P2031" s="234"/>
      <c r="Q2031" s="234"/>
      <c r="R2031" s="234"/>
    </row>
    <row r="2032" spans="8:18" ht="15" customHeight="1" x14ac:dyDescent="0.3">
      <c r="H2032" s="234" t="s">
        <v>4244</v>
      </c>
      <c r="I2032" s="306" t="s">
        <v>4245</v>
      </c>
      <c r="J2032" s="234">
        <f t="shared" si="66"/>
        <v>0.98991796115871711</v>
      </c>
      <c r="K2032" s="315">
        <f t="shared" si="67"/>
        <v>-1.0133206803651144E-2</v>
      </c>
      <c r="L2032" s="234"/>
      <c r="M2032" s="234"/>
      <c r="N2032" s="234"/>
      <c r="O2032" s="234"/>
      <c r="P2032" s="234"/>
      <c r="Q2032" s="234"/>
      <c r="R2032" s="234"/>
    </row>
    <row r="2033" spans="8:18" ht="15" customHeight="1" x14ac:dyDescent="0.3">
      <c r="H2033" s="234" t="s">
        <v>4246</v>
      </c>
      <c r="I2033" s="306" t="s">
        <v>4247</v>
      </c>
      <c r="J2033" s="234">
        <f t="shared" si="66"/>
        <v>1.0042043222003929</v>
      </c>
      <c r="K2033" s="315">
        <f t="shared" si="67"/>
        <v>4.1955087322813472E-3</v>
      </c>
      <c r="L2033" s="234"/>
      <c r="M2033" s="234"/>
      <c r="N2033" s="234"/>
      <c r="O2033" s="234"/>
      <c r="P2033" s="234"/>
      <c r="Q2033" s="234"/>
      <c r="R2033" s="234"/>
    </row>
    <row r="2034" spans="8:18" ht="15" customHeight="1" x14ac:dyDescent="0.3">
      <c r="H2034" s="234" t="s">
        <v>4248</v>
      </c>
      <c r="I2034" s="306" t="s">
        <v>4249</v>
      </c>
      <c r="J2034" s="234">
        <f t="shared" si="66"/>
        <v>1.0122504176278737</v>
      </c>
      <c r="K2034" s="315">
        <f t="shared" si="67"/>
        <v>1.2175988503892463E-2</v>
      </c>
      <c r="L2034" s="234"/>
      <c r="M2034" s="234"/>
      <c r="N2034" s="234"/>
      <c r="O2034" s="234"/>
      <c r="P2034" s="234"/>
      <c r="Q2034" s="234"/>
      <c r="R2034" s="234"/>
    </row>
    <row r="2035" spans="8:18" ht="15" customHeight="1" x14ac:dyDescent="0.3">
      <c r="H2035" s="234" t="s">
        <v>4250</v>
      </c>
      <c r="I2035" s="306" t="s">
        <v>4251</v>
      </c>
      <c r="J2035" s="234">
        <f t="shared" si="66"/>
        <v>0.98727715385219506</v>
      </c>
      <c r="K2035" s="315">
        <f t="shared" si="67"/>
        <v>-1.2804474658604527E-2</v>
      </c>
      <c r="L2035" s="234"/>
      <c r="M2035" s="234"/>
      <c r="N2035" s="234"/>
      <c r="O2035" s="234"/>
      <c r="P2035" s="234"/>
      <c r="Q2035" s="234"/>
      <c r="R2035" s="234"/>
    </row>
    <row r="2036" spans="8:18" ht="15" customHeight="1" x14ac:dyDescent="0.3">
      <c r="H2036" s="234" t="s">
        <v>4252</v>
      </c>
      <c r="I2036" s="306" t="s">
        <v>4253</v>
      </c>
      <c r="J2036" s="234">
        <f t="shared" si="66"/>
        <v>1.0014025245441796</v>
      </c>
      <c r="K2036" s="315">
        <f t="shared" si="67"/>
        <v>1.4015419252884772E-3</v>
      </c>
      <c r="L2036" s="234"/>
      <c r="M2036" s="234"/>
      <c r="N2036" s="234"/>
      <c r="O2036" s="234"/>
      <c r="P2036" s="234"/>
      <c r="Q2036" s="234"/>
      <c r="R2036" s="234"/>
    </row>
    <row r="2037" spans="8:18" ht="15" customHeight="1" x14ac:dyDescent="0.3">
      <c r="H2037" s="234" t="s">
        <v>4254</v>
      </c>
      <c r="I2037" s="306" t="s">
        <v>4255</v>
      </c>
      <c r="J2037" s="234">
        <f t="shared" si="66"/>
        <v>0.99608309070256296</v>
      </c>
      <c r="K2037" s="315">
        <f t="shared" si="67"/>
        <v>-3.9246004769969561E-3</v>
      </c>
      <c r="L2037" s="234"/>
      <c r="M2037" s="234"/>
      <c r="N2037" s="234"/>
      <c r="O2037" s="234"/>
      <c r="P2037" s="234"/>
      <c r="Q2037" s="234"/>
      <c r="R2037" s="234"/>
    </row>
    <row r="2038" spans="8:18" ht="15" customHeight="1" x14ac:dyDescent="0.3">
      <c r="H2038" s="234" t="s">
        <v>4256</v>
      </c>
      <c r="I2038" s="306" t="s">
        <v>4257</v>
      </c>
      <c r="J2038" s="234">
        <f t="shared" si="66"/>
        <v>1.0049861568539975</v>
      </c>
      <c r="K2038" s="315">
        <f t="shared" si="67"/>
        <v>4.9737671415435317E-3</v>
      </c>
      <c r="L2038" s="234"/>
      <c r="M2038" s="234"/>
      <c r="N2038" s="234"/>
      <c r="O2038" s="234"/>
      <c r="P2038" s="234"/>
      <c r="Q2038" s="234"/>
      <c r="R2038" s="234"/>
    </row>
    <row r="2039" spans="8:18" ht="15" customHeight="1" x14ac:dyDescent="0.3">
      <c r="H2039" s="234" t="s">
        <v>4258</v>
      </c>
      <c r="I2039" s="306" t="s">
        <v>4259</v>
      </c>
      <c r="J2039" s="234">
        <f t="shared" si="66"/>
        <v>0.99114342194246474</v>
      </c>
      <c r="K2039" s="315">
        <f t="shared" si="67"/>
        <v>-8.8960306610953895E-3</v>
      </c>
      <c r="L2039" s="234"/>
      <c r="M2039" s="234"/>
      <c r="N2039" s="234"/>
      <c r="O2039" s="234"/>
      <c r="P2039" s="234"/>
      <c r="Q2039" s="234"/>
      <c r="R2039" s="234"/>
    </row>
    <row r="2040" spans="8:18" ht="15" customHeight="1" x14ac:dyDescent="0.3">
      <c r="H2040" s="234" t="s">
        <v>4260</v>
      </c>
      <c r="I2040" s="306" t="s">
        <v>4261</v>
      </c>
      <c r="J2040" s="234">
        <f t="shared" si="66"/>
        <v>0.998791972462168</v>
      </c>
      <c r="K2040" s="315">
        <f t="shared" si="67"/>
        <v>-1.2087577912681649E-3</v>
      </c>
      <c r="L2040" s="234"/>
      <c r="M2040" s="234"/>
      <c r="N2040" s="234"/>
      <c r="O2040" s="234"/>
      <c r="P2040" s="234"/>
      <c r="Q2040" s="234"/>
      <c r="R2040" s="234"/>
    </row>
    <row r="2041" spans="8:18" ht="15" customHeight="1" x14ac:dyDescent="0.3">
      <c r="H2041" s="234" t="s">
        <v>4262</v>
      </c>
      <c r="I2041" s="306" t="s">
        <v>4263</v>
      </c>
      <c r="J2041" s="234">
        <f t="shared" si="66"/>
        <v>1.0042525991729607</v>
      </c>
      <c r="K2041" s="315">
        <f t="shared" si="67"/>
        <v>4.2435824271297336E-3</v>
      </c>
      <c r="L2041" s="234"/>
      <c r="M2041" s="234"/>
      <c r="N2041" s="234"/>
      <c r="O2041" s="234"/>
      <c r="P2041" s="234"/>
      <c r="Q2041" s="234"/>
      <c r="R2041" s="234"/>
    </row>
    <row r="2042" spans="8:18" ht="15" customHeight="1" x14ac:dyDescent="0.3">
      <c r="H2042" s="234" t="s">
        <v>4264</v>
      </c>
      <c r="I2042" s="306" t="s">
        <v>4265</v>
      </c>
      <c r="J2042" s="234">
        <f t="shared" si="66"/>
        <v>0.99673644519568327</v>
      </c>
      <c r="K2042" s="315">
        <f t="shared" si="67"/>
        <v>-3.2688918142101077E-3</v>
      </c>
      <c r="L2042" s="234"/>
      <c r="M2042" s="234"/>
      <c r="N2042" s="234"/>
      <c r="O2042" s="234"/>
      <c r="P2042" s="234"/>
      <c r="Q2042" s="234"/>
      <c r="R2042" s="234"/>
    </row>
    <row r="2043" spans="8:18" ht="15" customHeight="1" x14ac:dyDescent="0.3">
      <c r="H2043" s="234" t="s">
        <v>4266</v>
      </c>
      <c r="I2043" s="306" t="s">
        <v>4267</v>
      </c>
      <c r="J2043" s="234">
        <f t="shared" si="66"/>
        <v>1.0153805531718265</v>
      </c>
      <c r="K2043" s="315">
        <f t="shared" si="67"/>
        <v>1.5263471458675508E-2</v>
      </c>
      <c r="L2043" s="234"/>
      <c r="M2043" s="234"/>
      <c r="N2043" s="234"/>
      <c r="O2043" s="234"/>
      <c r="P2043" s="234"/>
      <c r="Q2043" s="234"/>
      <c r="R2043" s="234"/>
    </row>
    <row r="2044" spans="8:18" ht="15" customHeight="1" x14ac:dyDescent="0.3">
      <c r="H2044" s="234" t="s">
        <v>4268</v>
      </c>
      <c r="I2044" s="306" t="s">
        <v>4269</v>
      </c>
      <c r="J2044" s="234">
        <f t="shared" si="66"/>
        <v>0.99592400236670831</v>
      </c>
      <c r="K2044" s="315">
        <f t="shared" si="67"/>
        <v>-4.0843271534193367E-3</v>
      </c>
      <c r="L2044" s="234"/>
      <c r="M2044" s="234"/>
      <c r="N2044" s="234"/>
      <c r="O2044" s="234"/>
      <c r="P2044" s="234"/>
      <c r="Q2044" s="234"/>
      <c r="R2044" s="234"/>
    </row>
    <row r="2045" spans="8:18" ht="15" customHeight="1" x14ac:dyDescent="0.3">
      <c r="H2045" s="234" t="s">
        <v>4270</v>
      </c>
      <c r="I2045" s="306" t="s">
        <v>4271</v>
      </c>
      <c r="J2045" s="234">
        <f t="shared" si="66"/>
        <v>0.99265185726591665</v>
      </c>
      <c r="K2045" s="315">
        <f t="shared" si="67"/>
        <v>-7.3752733229013141E-3</v>
      </c>
      <c r="L2045" s="234"/>
      <c r="M2045" s="234"/>
      <c r="N2045" s="234"/>
      <c r="O2045" s="234"/>
      <c r="P2045" s="234"/>
      <c r="Q2045" s="234"/>
      <c r="R2045" s="234"/>
    </row>
    <row r="2046" spans="8:18" ht="15" customHeight="1" x14ac:dyDescent="0.3">
      <c r="H2046" s="234" t="s">
        <v>4272</v>
      </c>
      <c r="I2046" s="306" t="s">
        <v>4273</v>
      </c>
      <c r="J2046" s="234">
        <f t="shared" si="66"/>
        <v>1.0003394610403176</v>
      </c>
      <c r="K2046" s="315">
        <f t="shared" si="67"/>
        <v>3.3940343645443071E-4</v>
      </c>
      <c r="L2046" s="234"/>
      <c r="M2046" s="234"/>
      <c r="N2046" s="234"/>
      <c r="O2046" s="234"/>
      <c r="P2046" s="234"/>
      <c r="Q2046" s="234"/>
      <c r="R2046" s="234"/>
    </row>
    <row r="2047" spans="8:18" ht="15" customHeight="1" x14ac:dyDescent="0.3">
      <c r="H2047" s="234" t="s">
        <v>4274</v>
      </c>
      <c r="I2047" s="306" t="s">
        <v>4275</v>
      </c>
      <c r="J2047" s="234">
        <f t="shared" si="66"/>
        <v>0.99777236429008764</v>
      </c>
      <c r="K2047" s="315">
        <f t="shared" si="67"/>
        <v>-2.2301205812850591E-3</v>
      </c>
      <c r="L2047" s="234"/>
      <c r="M2047" s="234"/>
      <c r="N2047" s="234"/>
      <c r="O2047" s="234"/>
      <c r="P2047" s="234"/>
      <c r="Q2047" s="234"/>
      <c r="R2047" s="234"/>
    </row>
    <row r="2048" spans="8:18" ht="15" customHeight="1" x14ac:dyDescent="0.3">
      <c r="H2048" s="234" t="s">
        <v>4276</v>
      </c>
      <c r="I2048" s="306" t="s">
        <v>4277</v>
      </c>
      <c r="J2048" s="234">
        <f t="shared" si="66"/>
        <v>1.0322741148151635</v>
      </c>
      <c r="K2048" s="315">
        <f t="shared" si="67"/>
        <v>3.1764246920889749E-2</v>
      </c>
      <c r="L2048" s="234"/>
      <c r="M2048" s="234"/>
      <c r="N2048" s="234"/>
      <c r="O2048" s="234"/>
      <c r="P2048" s="234"/>
      <c r="Q2048" s="234"/>
      <c r="R2048" s="234"/>
    </row>
    <row r="2049" spans="8:18" ht="15" customHeight="1" x14ac:dyDescent="0.3">
      <c r="H2049" s="234" t="s">
        <v>4278</v>
      </c>
      <c r="I2049" s="306" t="s">
        <v>4229</v>
      </c>
      <c r="J2049" s="234">
        <f t="shared" si="66"/>
        <v>1.0009152702066089</v>
      </c>
      <c r="K2049" s="315">
        <f t="shared" si="67"/>
        <v>9.1485160223791215E-4</v>
      </c>
      <c r="L2049" s="234"/>
      <c r="M2049" s="234"/>
      <c r="N2049" s="234"/>
      <c r="O2049" s="234"/>
      <c r="P2049" s="234"/>
      <c r="Q2049" s="234"/>
      <c r="R2049" s="234"/>
    </row>
    <row r="2050" spans="8:18" ht="15" customHeight="1" x14ac:dyDescent="0.3">
      <c r="H2050" s="234" t="s">
        <v>4279</v>
      </c>
      <c r="I2050" s="306" t="s">
        <v>4280</v>
      </c>
      <c r="J2050" s="234">
        <f t="shared" si="66"/>
        <v>1.0098408340242759</v>
      </c>
      <c r="K2050" s="315">
        <f t="shared" si="67"/>
        <v>9.7927283595731773E-3</v>
      </c>
      <c r="L2050" s="234"/>
      <c r="M2050" s="234"/>
      <c r="N2050" s="234"/>
      <c r="O2050" s="234"/>
      <c r="P2050" s="234"/>
      <c r="Q2050" s="234"/>
      <c r="R2050" s="234"/>
    </row>
    <row r="2051" spans="8:18" ht="15" customHeight="1" x14ac:dyDescent="0.3">
      <c r="H2051" s="234" t="s">
        <v>4281</v>
      </c>
      <c r="I2051" s="306" t="s">
        <v>4282</v>
      </c>
      <c r="J2051" s="234">
        <f t="shared" si="66"/>
        <v>0.99678896596574895</v>
      </c>
      <c r="K2051" s="315">
        <f t="shared" si="67"/>
        <v>-3.2162004667271268E-3</v>
      </c>
      <c r="L2051" s="234"/>
      <c r="M2051" s="234"/>
      <c r="N2051" s="234"/>
      <c r="O2051" s="234"/>
      <c r="P2051" s="234"/>
      <c r="Q2051" s="234"/>
      <c r="R2051" s="234"/>
    </row>
    <row r="2052" spans="8:18" ht="15" customHeight="1" x14ac:dyDescent="0.3">
      <c r="H2052" s="234" t="s">
        <v>4283</v>
      </c>
      <c r="I2052" s="306" t="s">
        <v>4284</v>
      </c>
      <c r="J2052" s="234">
        <f t="shared" si="66"/>
        <v>0.99260335135425914</v>
      </c>
      <c r="K2052" s="315">
        <f t="shared" si="67"/>
        <v>-7.4241394953274472E-3</v>
      </c>
      <c r="L2052" s="234"/>
      <c r="M2052" s="234"/>
      <c r="N2052" s="234"/>
      <c r="O2052" s="234"/>
      <c r="P2052" s="234"/>
      <c r="Q2052" s="234"/>
      <c r="R2052" s="234"/>
    </row>
    <row r="2053" spans="8:18" ht="15" customHeight="1" x14ac:dyDescent="0.3">
      <c r="H2053" s="234" t="s">
        <v>4285</v>
      </c>
      <c r="I2053" s="306" t="s">
        <v>4286</v>
      </c>
      <c r="J2053" s="234">
        <f t="shared" ref="J2053:J2116" si="68">I2053/I2054</f>
        <v>0.99885818680063942</v>
      </c>
      <c r="K2053" s="315">
        <f t="shared" ref="K2053:K2116" si="69">LN(J2053)</f>
        <v>-1.1424655646851973E-3</v>
      </c>
      <c r="L2053" s="234"/>
      <c r="M2053" s="234"/>
      <c r="N2053" s="234"/>
      <c r="O2053" s="234"/>
      <c r="P2053" s="234"/>
      <c r="Q2053" s="234"/>
      <c r="R2053" s="234"/>
    </row>
    <row r="2054" spans="8:18" ht="15" customHeight="1" x14ac:dyDescent="0.3">
      <c r="H2054" s="234" t="s">
        <v>4287</v>
      </c>
      <c r="I2054" s="306" t="s">
        <v>4288</v>
      </c>
      <c r="J2054" s="234">
        <f t="shared" si="68"/>
        <v>0.9875565460792507</v>
      </c>
      <c r="K2054" s="315">
        <f t="shared" si="69"/>
        <v>-1.2521521993851637E-2</v>
      </c>
      <c r="L2054" s="234"/>
      <c r="M2054" s="234"/>
      <c r="N2054" s="234"/>
      <c r="O2054" s="234"/>
      <c r="P2054" s="234"/>
      <c r="Q2054" s="234"/>
      <c r="R2054" s="234"/>
    </row>
    <row r="2055" spans="8:18" ht="15" customHeight="1" x14ac:dyDescent="0.3">
      <c r="H2055" s="234" t="s">
        <v>4289</v>
      </c>
      <c r="I2055" s="306" t="s">
        <v>4290</v>
      </c>
      <c r="J2055" s="234">
        <f t="shared" si="68"/>
        <v>0.99686582559708004</v>
      </c>
      <c r="K2055" s="315">
        <f t="shared" si="69"/>
        <v>-3.1390962140807489E-3</v>
      </c>
      <c r="L2055" s="234"/>
      <c r="M2055" s="234"/>
      <c r="N2055" s="234"/>
      <c r="O2055" s="234"/>
      <c r="P2055" s="234"/>
      <c r="Q2055" s="234"/>
      <c r="R2055" s="234"/>
    </row>
    <row r="2056" spans="8:18" ht="15" customHeight="1" x14ac:dyDescent="0.3">
      <c r="H2056" s="234" t="s">
        <v>4291</v>
      </c>
      <c r="I2056" s="306" t="s">
        <v>4292</v>
      </c>
      <c r="J2056" s="234">
        <f t="shared" si="68"/>
        <v>0.99479043334122663</v>
      </c>
      <c r="K2056" s="315">
        <f t="shared" si="69"/>
        <v>-5.2231837645614976E-3</v>
      </c>
      <c r="L2056" s="234"/>
      <c r="M2056" s="234"/>
      <c r="N2056" s="234"/>
      <c r="O2056" s="234"/>
      <c r="P2056" s="234"/>
      <c r="Q2056" s="234"/>
      <c r="R2056" s="234"/>
    </row>
    <row r="2057" spans="8:18" ht="15" customHeight="1" x14ac:dyDescent="0.3">
      <c r="H2057" s="234" t="s">
        <v>4293</v>
      </c>
      <c r="I2057" s="306" t="s">
        <v>4294</v>
      </c>
      <c r="J2057" s="234">
        <f t="shared" si="68"/>
        <v>1.0005264959064943</v>
      </c>
      <c r="K2057" s="315">
        <f t="shared" si="69"/>
        <v>5.2635735615322071E-4</v>
      </c>
      <c r="L2057" s="234"/>
      <c r="M2057" s="234"/>
      <c r="N2057" s="234"/>
      <c r="O2057" s="234"/>
      <c r="P2057" s="234"/>
      <c r="Q2057" s="234"/>
      <c r="R2057" s="234"/>
    </row>
    <row r="2058" spans="8:18" ht="15" customHeight="1" x14ac:dyDescent="0.3">
      <c r="H2058" s="234" t="s">
        <v>4295</v>
      </c>
      <c r="I2058" s="306" t="s">
        <v>4296</v>
      </c>
      <c r="J2058" s="234">
        <f t="shared" si="68"/>
        <v>0.99978944597973418</v>
      </c>
      <c r="K2058" s="315">
        <f t="shared" si="69"/>
        <v>-2.1057618987553177E-4</v>
      </c>
      <c r="L2058" s="234"/>
      <c r="M2058" s="234"/>
      <c r="N2058" s="234"/>
      <c r="O2058" s="234"/>
      <c r="P2058" s="234"/>
      <c r="Q2058" s="234"/>
      <c r="R2058" s="234"/>
    </row>
    <row r="2059" spans="8:18" ht="15" customHeight="1" x14ac:dyDescent="0.3">
      <c r="H2059" s="234" t="s">
        <v>4297</v>
      </c>
      <c r="I2059" s="306" t="s">
        <v>4298</v>
      </c>
      <c r="J2059" s="234">
        <f t="shared" si="68"/>
        <v>1.003062382850656</v>
      </c>
      <c r="K2059" s="315">
        <f t="shared" si="69"/>
        <v>3.0577033075615328E-3</v>
      </c>
      <c r="L2059" s="234"/>
      <c r="M2059" s="234"/>
      <c r="N2059" s="234"/>
      <c r="O2059" s="234"/>
      <c r="P2059" s="234"/>
      <c r="Q2059" s="234"/>
      <c r="R2059" s="234"/>
    </row>
    <row r="2060" spans="8:18" ht="15" customHeight="1" x14ac:dyDescent="0.3">
      <c r="H2060" s="234" t="s">
        <v>4299</v>
      </c>
      <c r="I2060" s="306" t="s">
        <v>4300</v>
      </c>
      <c r="J2060" s="234">
        <f t="shared" si="68"/>
        <v>1.0147610372910416</v>
      </c>
      <c r="K2060" s="315">
        <f t="shared" si="69"/>
        <v>1.465315353511251E-2</v>
      </c>
      <c r="L2060" s="234"/>
      <c r="M2060" s="234"/>
      <c r="N2060" s="234"/>
      <c r="O2060" s="234"/>
      <c r="P2060" s="234"/>
      <c r="Q2060" s="234"/>
      <c r="R2060" s="234"/>
    </row>
    <row r="2061" spans="8:18" ht="15" customHeight="1" x14ac:dyDescent="0.3">
      <c r="H2061" s="234" t="s">
        <v>4301</v>
      </c>
      <c r="I2061" s="306" t="s">
        <v>4302</v>
      </c>
      <c r="J2061" s="234">
        <f t="shared" si="68"/>
        <v>0.99824835867196171</v>
      </c>
      <c r="K2061" s="315">
        <f t="shared" si="69"/>
        <v>-1.7531772455557898E-3</v>
      </c>
      <c r="L2061" s="234"/>
      <c r="M2061" s="234"/>
      <c r="N2061" s="234"/>
      <c r="O2061" s="234"/>
      <c r="P2061" s="234"/>
      <c r="Q2061" s="234"/>
      <c r="R2061" s="234"/>
    </row>
    <row r="2062" spans="8:18" ht="15" customHeight="1" x14ac:dyDescent="0.3">
      <c r="H2062" s="234" t="s">
        <v>4303</v>
      </c>
      <c r="I2062" s="306" t="s">
        <v>4304</v>
      </c>
      <c r="J2062" s="234">
        <f t="shared" si="68"/>
        <v>1.0032732785103899</v>
      </c>
      <c r="K2062" s="315">
        <f t="shared" si="69"/>
        <v>3.267932996015209E-3</v>
      </c>
      <c r="L2062" s="234"/>
      <c r="M2062" s="234"/>
      <c r="N2062" s="234"/>
      <c r="O2062" s="234"/>
      <c r="P2062" s="234"/>
      <c r="Q2062" s="234"/>
      <c r="R2062" s="234"/>
    </row>
    <row r="2063" spans="8:18" ht="15" customHeight="1" x14ac:dyDescent="0.3">
      <c r="H2063" s="234" t="s">
        <v>4305</v>
      </c>
      <c r="I2063" s="306" t="s">
        <v>4306</v>
      </c>
      <c r="J2063" s="234">
        <f t="shared" si="68"/>
        <v>1.0029735475363957</v>
      </c>
      <c r="K2063" s="315">
        <f t="shared" si="69"/>
        <v>2.9691352884421303E-3</v>
      </c>
      <c r="L2063" s="234"/>
      <c r="M2063" s="234"/>
      <c r="N2063" s="234"/>
      <c r="O2063" s="234"/>
      <c r="P2063" s="234"/>
      <c r="Q2063" s="234"/>
      <c r="R2063" s="234"/>
    </row>
    <row r="2064" spans="8:18" ht="15" customHeight="1" x14ac:dyDescent="0.3">
      <c r="H2064" s="234" t="s">
        <v>4307</v>
      </c>
      <c r="I2064" s="306" t="s">
        <v>4308</v>
      </c>
      <c r="J2064" s="234">
        <f t="shared" si="68"/>
        <v>1.0167724636094999</v>
      </c>
      <c r="K2064" s="315">
        <f t="shared" si="69"/>
        <v>1.6633359103798494E-2</v>
      </c>
      <c r="L2064" s="234"/>
      <c r="M2064" s="234"/>
      <c r="N2064" s="234"/>
      <c r="O2064" s="234"/>
      <c r="P2064" s="234"/>
      <c r="Q2064" s="234"/>
      <c r="R2064" s="234"/>
    </row>
    <row r="2065" spans="8:18" ht="15" customHeight="1" x14ac:dyDescent="0.3">
      <c r="H2065" s="234" t="s">
        <v>4309</v>
      </c>
      <c r="I2065" s="306" t="s">
        <v>4310</v>
      </c>
      <c r="J2065" s="234">
        <f t="shared" si="68"/>
        <v>0.99568196368490591</v>
      </c>
      <c r="K2065" s="315">
        <f t="shared" si="69"/>
        <v>-4.3273859583433105E-3</v>
      </c>
      <c r="L2065" s="234"/>
      <c r="M2065" s="234"/>
      <c r="N2065" s="234"/>
      <c r="O2065" s="234"/>
      <c r="P2065" s="234"/>
      <c r="Q2065" s="234"/>
      <c r="R2065" s="234"/>
    </row>
    <row r="2066" spans="8:18" ht="15" customHeight="1" x14ac:dyDescent="0.3">
      <c r="H2066" s="234" t="s">
        <v>4311</v>
      </c>
      <c r="I2066" s="306" t="s">
        <v>4312</v>
      </c>
      <c r="J2066" s="234">
        <f t="shared" si="68"/>
        <v>1.0174064886289618</v>
      </c>
      <c r="K2066" s="315">
        <f t="shared" si="69"/>
        <v>1.7256731043907906E-2</v>
      </c>
      <c r="L2066" s="234"/>
      <c r="M2066" s="234"/>
      <c r="N2066" s="234"/>
      <c r="O2066" s="234"/>
      <c r="P2066" s="234"/>
      <c r="Q2066" s="234"/>
      <c r="R2066" s="234"/>
    </row>
    <row r="2067" spans="8:18" ht="15" customHeight="1" x14ac:dyDescent="0.3">
      <c r="H2067" s="234" t="s">
        <v>4313</v>
      </c>
      <c r="I2067" s="306" t="s">
        <v>4314</v>
      </c>
      <c r="J2067" s="234">
        <f t="shared" si="68"/>
        <v>1.0003188510272549</v>
      </c>
      <c r="K2067" s="315">
        <f t="shared" si="69"/>
        <v>3.1880020506898913E-4</v>
      </c>
      <c r="L2067" s="234"/>
      <c r="M2067" s="234"/>
      <c r="N2067" s="234"/>
      <c r="O2067" s="234"/>
      <c r="P2067" s="234"/>
      <c r="Q2067" s="234"/>
      <c r="R2067" s="234"/>
    </row>
    <row r="2068" spans="8:18" ht="15" customHeight="1" x14ac:dyDescent="0.3">
      <c r="H2068" s="234" t="s">
        <v>4315</v>
      </c>
      <c r="I2068" s="306" t="s">
        <v>4316</v>
      </c>
      <c r="J2068" s="234">
        <f t="shared" si="68"/>
        <v>1.0029615828478469</v>
      </c>
      <c r="K2068" s="315">
        <f t="shared" si="69"/>
        <v>2.9572060008318628E-3</v>
      </c>
      <c r="L2068" s="234"/>
      <c r="M2068" s="234"/>
      <c r="N2068" s="234"/>
      <c r="O2068" s="234"/>
      <c r="P2068" s="234"/>
      <c r="Q2068" s="234"/>
      <c r="R2068" s="234"/>
    </row>
    <row r="2069" spans="8:18" ht="15" customHeight="1" x14ac:dyDescent="0.3">
      <c r="H2069" s="234" t="s">
        <v>4317</v>
      </c>
      <c r="I2069" s="306" t="s">
        <v>4318</v>
      </c>
      <c r="J2069" s="234">
        <f t="shared" si="68"/>
        <v>1.0151450993676603</v>
      </c>
      <c r="K2069" s="315">
        <f t="shared" si="69"/>
        <v>1.5031557318682186E-2</v>
      </c>
      <c r="L2069" s="234"/>
      <c r="M2069" s="234"/>
      <c r="N2069" s="234"/>
      <c r="O2069" s="234"/>
      <c r="P2069" s="234"/>
      <c r="Q2069" s="234"/>
      <c r="R2069" s="234"/>
    </row>
    <row r="2070" spans="8:18" ht="15" customHeight="1" x14ac:dyDescent="0.3">
      <c r="H2070" s="234" t="s">
        <v>4319</v>
      </c>
      <c r="I2070" s="306" t="s">
        <v>4320</v>
      </c>
      <c r="J2070" s="234">
        <f t="shared" si="68"/>
        <v>0.99944982860044862</v>
      </c>
      <c r="K2070" s="315">
        <f t="shared" si="69"/>
        <v>-5.5032279936893542E-4</v>
      </c>
      <c r="L2070" s="234"/>
      <c r="M2070" s="234"/>
      <c r="N2070" s="234"/>
      <c r="O2070" s="234"/>
      <c r="P2070" s="234"/>
      <c r="Q2070" s="234"/>
      <c r="R2070" s="234"/>
    </row>
    <row r="2071" spans="8:18" ht="15" customHeight="1" x14ac:dyDescent="0.3">
      <c r="H2071" s="234" t="s">
        <v>4321</v>
      </c>
      <c r="I2071" s="306" t="s">
        <v>4322</v>
      </c>
      <c r="J2071" s="234">
        <f t="shared" si="68"/>
        <v>0.99381729475100944</v>
      </c>
      <c r="K2071" s="315">
        <f t="shared" si="69"/>
        <v>-6.201897317917697E-3</v>
      </c>
      <c r="L2071" s="234"/>
      <c r="M2071" s="234"/>
      <c r="N2071" s="234"/>
      <c r="O2071" s="234"/>
      <c r="P2071" s="234"/>
      <c r="Q2071" s="234"/>
      <c r="R2071" s="234"/>
    </row>
    <row r="2072" spans="8:18" ht="15" customHeight="1" x14ac:dyDescent="0.3">
      <c r="H2072" s="234" t="s">
        <v>4323</v>
      </c>
      <c r="I2072" s="306" t="s">
        <v>4324</v>
      </c>
      <c r="J2072" s="234">
        <f t="shared" si="68"/>
        <v>1.0045489754242658</v>
      </c>
      <c r="K2072" s="315">
        <f t="shared" si="69"/>
        <v>4.5386601064818883E-3</v>
      </c>
      <c r="L2072" s="234"/>
      <c r="M2072" s="234"/>
      <c r="N2072" s="234"/>
      <c r="O2072" s="234"/>
      <c r="P2072" s="234"/>
      <c r="Q2072" s="234"/>
      <c r="R2072" s="234"/>
    </row>
    <row r="2073" spans="8:18" ht="15" customHeight="1" x14ac:dyDescent="0.3">
      <c r="H2073" s="234" t="s">
        <v>4325</v>
      </c>
      <c r="I2073" s="306" t="s">
        <v>4326</v>
      </c>
      <c r="J2073" s="234">
        <f t="shared" si="68"/>
        <v>0.99902918085375803</v>
      </c>
      <c r="K2073" s="315">
        <f t="shared" si="69"/>
        <v>-9.7129069636729313E-4</v>
      </c>
      <c r="L2073" s="234"/>
      <c r="M2073" s="234"/>
      <c r="N2073" s="234"/>
      <c r="O2073" s="234"/>
      <c r="P2073" s="234"/>
      <c r="Q2073" s="234"/>
      <c r="R2073" s="234"/>
    </row>
    <row r="2074" spans="8:18" ht="15" customHeight="1" x14ac:dyDescent="0.3">
      <c r="H2074" s="234" t="s">
        <v>4327</v>
      </c>
      <c r="I2074" s="306" t="s">
        <v>4328</v>
      </c>
      <c r="J2074" s="234">
        <f t="shared" si="68"/>
        <v>0.99910034018386795</v>
      </c>
      <c r="K2074" s="315">
        <f t="shared" si="69"/>
        <v>-9.0006475291287962E-4</v>
      </c>
      <c r="L2074" s="234"/>
      <c r="M2074" s="234"/>
      <c r="N2074" s="234"/>
      <c r="O2074" s="234"/>
      <c r="P2074" s="234"/>
      <c r="Q2074" s="234"/>
      <c r="R2074" s="234"/>
    </row>
    <row r="2075" spans="8:18" ht="15" customHeight="1" x14ac:dyDescent="0.3">
      <c r="H2075" s="234" t="s">
        <v>4329</v>
      </c>
      <c r="I2075" s="306" t="s">
        <v>4330</v>
      </c>
      <c r="J2075" s="234">
        <f t="shared" si="68"/>
        <v>1.0093073408813598</v>
      </c>
      <c r="K2075" s="315">
        <f t="shared" si="69"/>
        <v>9.2642944764525417E-3</v>
      </c>
      <c r="L2075" s="234"/>
      <c r="M2075" s="234"/>
      <c r="N2075" s="234"/>
      <c r="O2075" s="234"/>
      <c r="P2075" s="234"/>
      <c r="Q2075" s="234"/>
      <c r="R2075" s="234"/>
    </row>
    <row r="2076" spans="8:18" ht="15" customHeight="1" x14ac:dyDescent="0.3">
      <c r="H2076" s="234" t="s">
        <v>4331</v>
      </c>
      <c r="I2076" s="306" t="s">
        <v>4332</v>
      </c>
      <c r="J2076" s="234">
        <f t="shared" si="68"/>
        <v>1.006727514247761</v>
      </c>
      <c r="K2076" s="315">
        <f t="shared" si="69"/>
        <v>6.7049855089474216E-3</v>
      </c>
      <c r="L2076" s="234"/>
      <c r="M2076" s="234"/>
      <c r="N2076" s="234"/>
      <c r="O2076" s="234"/>
      <c r="P2076" s="234"/>
      <c r="Q2076" s="234"/>
      <c r="R2076" s="234"/>
    </row>
    <row r="2077" spans="8:18" ht="15" customHeight="1" x14ac:dyDescent="0.3">
      <c r="H2077" s="234" t="s">
        <v>4333</v>
      </c>
      <c r="I2077" s="306" t="s">
        <v>4334</v>
      </c>
      <c r="J2077" s="234">
        <f t="shared" si="68"/>
        <v>1.0198994828465293</v>
      </c>
      <c r="K2077" s="315">
        <f t="shared" si="69"/>
        <v>1.9704076211288241E-2</v>
      </c>
      <c r="L2077" s="234"/>
      <c r="M2077" s="234"/>
      <c r="N2077" s="234"/>
      <c r="O2077" s="234"/>
      <c r="P2077" s="234"/>
      <c r="Q2077" s="234"/>
      <c r="R2077" s="234"/>
    </row>
    <row r="2078" spans="8:18" ht="15" customHeight="1" x14ac:dyDescent="0.3">
      <c r="H2078" s="234" t="s">
        <v>4335</v>
      </c>
      <c r="I2078" s="306" t="s">
        <v>4336</v>
      </c>
      <c r="J2078" s="234">
        <f t="shared" si="68"/>
        <v>0.99901037649353108</v>
      </c>
      <c r="K2078" s="315">
        <f t="shared" si="69"/>
        <v>-9.9011350711530823E-4</v>
      </c>
      <c r="L2078" s="234"/>
      <c r="M2078" s="234"/>
      <c r="N2078" s="234"/>
      <c r="O2078" s="234"/>
      <c r="P2078" s="234"/>
      <c r="Q2078" s="234"/>
      <c r="R2078" s="234"/>
    </row>
    <row r="2079" spans="8:18" ht="15" customHeight="1" x14ac:dyDescent="0.3">
      <c r="H2079" s="234" t="s">
        <v>4337</v>
      </c>
      <c r="I2079" s="306" t="s">
        <v>4338</v>
      </c>
      <c r="J2079" s="234">
        <f t="shared" si="68"/>
        <v>1.0106339167524636</v>
      </c>
      <c r="K2079" s="315">
        <f t="shared" si="69"/>
        <v>1.0577774318315308E-2</v>
      </c>
      <c r="L2079" s="234"/>
      <c r="M2079" s="234"/>
      <c r="N2079" s="234"/>
      <c r="O2079" s="234"/>
      <c r="P2079" s="234"/>
      <c r="Q2079" s="234"/>
      <c r="R2079" s="234"/>
    </row>
    <row r="2080" spans="8:18" ht="15" customHeight="1" x14ac:dyDescent="0.3">
      <c r="H2080" s="234" t="s">
        <v>4339</v>
      </c>
      <c r="I2080" s="306" t="s">
        <v>4340</v>
      </c>
      <c r="J2080" s="234">
        <f t="shared" si="68"/>
        <v>0.99116566563648023</v>
      </c>
      <c r="K2080" s="315">
        <f t="shared" si="69"/>
        <v>-8.8735884555323913E-3</v>
      </c>
      <c r="L2080" s="234"/>
      <c r="M2080" s="234"/>
      <c r="N2080" s="234"/>
      <c r="O2080" s="234"/>
      <c r="P2080" s="234"/>
      <c r="Q2080" s="234"/>
      <c r="R2080" s="234"/>
    </row>
    <row r="2081" spans="8:18" ht="15" customHeight="1" x14ac:dyDescent="0.3">
      <c r="H2081" s="234" t="s">
        <v>4341</v>
      </c>
      <c r="I2081" s="306" t="s">
        <v>4342</v>
      </c>
      <c r="J2081" s="234">
        <f t="shared" si="68"/>
        <v>1.0035110304874482</v>
      </c>
      <c r="K2081" s="315">
        <f t="shared" si="69"/>
        <v>3.5048812092383051E-3</v>
      </c>
      <c r="L2081" s="234"/>
      <c r="M2081" s="234"/>
      <c r="N2081" s="234"/>
      <c r="O2081" s="234"/>
      <c r="P2081" s="234"/>
      <c r="Q2081" s="234"/>
      <c r="R2081" s="234"/>
    </row>
    <row r="2082" spans="8:18" ht="15" customHeight="1" x14ac:dyDescent="0.3">
      <c r="H2082" s="234" t="s">
        <v>4343</v>
      </c>
      <c r="I2082" s="306" t="s">
        <v>4344</v>
      </c>
      <c r="J2082" s="234">
        <f t="shared" si="68"/>
        <v>1.0008785287571746</v>
      </c>
      <c r="K2082" s="315">
        <f t="shared" si="69"/>
        <v>8.7814307665714196E-4</v>
      </c>
      <c r="L2082" s="234"/>
      <c r="M2082" s="234"/>
      <c r="N2082" s="234"/>
      <c r="O2082" s="234"/>
      <c r="P2082" s="234"/>
      <c r="Q2082" s="234"/>
      <c r="R2082" s="234"/>
    </row>
    <row r="2083" spans="8:18" ht="15" customHeight="1" x14ac:dyDescent="0.3">
      <c r="H2083" s="234" t="s">
        <v>4345</v>
      </c>
      <c r="I2083" s="306" t="s">
        <v>4346</v>
      </c>
      <c r="J2083" s="234">
        <f t="shared" si="68"/>
        <v>1.0138352829404429</v>
      </c>
      <c r="K2083" s="315">
        <f t="shared" si="69"/>
        <v>1.3740449114197339E-2</v>
      </c>
      <c r="L2083" s="234"/>
      <c r="M2083" s="234"/>
      <c r="N2083" s="234"/>
      <c r="O2083" s="234"/>
      <c r="P2083" s="234"/>
      <c r="Q2083" s="234"/>
      <c r="R2083" s="234"/>
    </row>
    <row r="2084" spans="8:18" ht="15" customHeight="1" x14ac:dyDescent="0.3">
      <c r="H2084" s="234" t="s">
        <v>4347</v>
      </c>
      <c r="I2084" s="306" t="s">
        <v>4348</v>
      </c>
      <c r="J2084" s="234">
        <f t="shared" si="68"/>
        <v>1.0055529018390255</v>
      </c>
      <c r="K2084" s="315">
        <f t="shared" si="69"/>
        <v>5.5375413170202555E-3</v>
      </c>
      <c r="L2084" s="234"/>
      <c r="M2084" s="234"/>
      <c r="N2084" s="234"/>
      <c r="O2084" s="234"/>
      <c r="P2084" s="234"/>
      <c r="Q2084" s="234"/>
      <c r="R2084" s="234"/>
    </row>
    <row r="2085" spans="8:18" ht="15" customHeight="1" x14ac:dyDescent="0.3">
      <c r="H2085" s="234" t="s">
        <v>4349</v>
      </c>
      <c r="I2085" s="306" t="s">
        <v>4350</v>
      </c>
      <c r="J2085" s="234">
        <f t="shared" si="68"/>
        <v>0.98996615980257419</v>
      </c>
      <c r="K2085" s="315">
        <f t="shared" si="69"/>
        <v>-1.008451845532175E-2</v>
      </c>
      <c r="L2085" s="234"/>
      <c r="M2085" s="234"/>
      <c r="N2085" s="234"/>
      <c r="O2085" s="234"/>
      <c r="P2085" s="234"/>
      <c r="Q2085" s="234"/>
      <c r="R2085" s="234"/>
    </row>
    <row r="2086" spans="8:18" ht="15" customHeight="1" x14ac:dyDescent="0.3">
      <c r="H2086" s="234" t="s">
        <v>4351</v>
      </c>
      <c r="I2086" s="306" t="s">
        <v>4352</v>
      </c>
      <c r="J2086" s="234">
        <f t="shared" si="68"/>
        <v>0.99671546822988777</v>
      </c>
      <c r="K2086" s="315">
        <f t="shared" si="69"/>
        <v>-3.2899376850986932E-3</v>
      </c>
      <c r="L2086" s="234"/>
      <c r="M2086" s="234"/>
      <c r="N2086" s="234"/>
      <c r="O2086" s="234"/>
      <c r="P2086" s="234"/>
      <c r="Q2086" s="234"/>
      <c r="R2086" s="234"/>
    </row>
    <row r="2087" spans="8:18" ht="15" customHeight="1" x14ac:dyDescent="0.3">
      <c r="H2087" s="234" t="s">
        <v>4353</v>
      </c>
      <c r="I2087" s="306" t="s">
        <v>4354</v>
      </c>
      <c r="J2087" s="234">
        <f t="shared" si="68"/>
        <v>0.99938177107866222</v>
      </c>
      <c r="K2087" s="315">
        <f t="shared" si="69"/>
        <v>-6.1842010363771707E-4</v>
      </c>
      <c r="L2087" s="234"/>
      <c r="M2087" s="234"/>
      <c r="N2087" s="234"/>
      <c r="O2087" s="234"/>
      <c r="P2087" s="234"/>
      <c r="Q2087" s="234"/>
      <c r="R2087" s="234"/>
    </row>
    <row r="2088" spans="8:18" ht="15" customHeight="1" x14ac:dyDescent="0.3">
      <c r="H2088" s="234" t="s">
        <v>4355</v>
      </c>
      <c r="I2088" s="306" t="s">
        <v>4356</v>
      </c>
      <c r="J2088" s="234">
        <f t="shared" si="68"/>
        <v>1.015516158928518</v>
      </c>
      <c r="K2088" s="315">
        <f t="shared" si="69"/>
        <v>1.5397014199756373E-2</v>
      </c>
      <c r="L2088" s="234"/>
      <c r="M2088" s="234"/>
      <c r="N2088" s="234"/>
      <c r="O2088" s="234"/>
      <c r="P2088" s="234"/>
      <c r="Q2088" s="234"/>
      <c r="R2088" s="234"/>
    </row>
    <row r="2089" spans="8:18" ht="15" customHeight="1" x14ac:dyDescent="0.3">
      <c r="H2089" s="234" t="s">
        <v>4357</v>
      </c>
      <c r="I2089" s="306" t="s">
        <v>4358</v>
      </c>
      <c r="J2089" s="234">
        <f t="shared" si="68"/>
        <v>1.0017219951185181</v>
      </c>
      <c r="K2089" s="315">
        <f t="shared" si="69"/>
        <v>1.7205141847873784E-3</v>
      </c>
      <c r="L2089" s="234"/>
      <c r="M2089" s="234"/>
      <c r="N2089" s="234"/>
      <c r="O2089" s="234"/>
      <c r="P2089" s="234"/>
      <c r="Q2089" s="234"/>
      <c r="R2089" s="234"/>
    </row>
    <row r="2090" spans="8:18" ht="15" customHeight="1" x14ac:dyDescent="0.3">
      <c r="H2090" s="234" t="s">
        <v>4359</v>
      </c>
      <c r="I2090" s="306" t="s">
        <v>4360</v>
      </c>
      <c r="J2090" s="234">
        <f t="shared" si="68"/>
        <v>0.99474201620591041</v>
      </c>
      <c r="K2090" s="315">
        <f t="shared" si="69"/>
        <v>-5.2718556375302488E-3</v>
      </c>
      <c r="L2090" s="234"/>
      <c r="M2090" s="234"/>
      <c r="N2090" s="234"/>
      <c r="O2090" s="234"/>
      <c r="P2090" s="234"/>
      <c r="Q2090" s="234"/>
      <c r="R2090" s="234"/>
    </row>
    <row r="2091" spans="8:18" ht="15" customHeight="1" x14ac:dyDescent="0.3">
      <c r="H2091" s="234" t="s">
        <v>4361</v>
      </c>
      <c r="I2091" s="306" t="s">
        <v>4362</v>
      </c>
      <c r="J2091" s="234">
        <f t="shared" si="68"/>
        <v>1.0095031877781788</v>
      </c>
      <c r="K2091" s="315">
        <f t="shared" si="69"/>
        <v>9.4583165450450642E-3</v>
      </c>
      <c r="L2091" s="234"/>
      <c r="M2091" s="234"/>
      <c r="N2091" s="234"/>
      <c r="O2091" s="234"/>
      <c r="P2091" s="234"/>
      <c r="Q2091" s="234"/>
      <c r="R2091" s="234"/>
    </row>
    <row r="2092" spans="8:18" ht="15" customHeight="1" x14ac:dyDescent="0.3">
      <c r="H2092" s="234" t="s">
        <v>4363</v>
      </c>
      <c r="I2092" s="306" t="s">
        <v>4364</v>
      </c>
      <c r="J2092" s="234">
        <f t="shared" si="68"/>
        <v>1.0087827076222982</v>
      </c>
      <c r="K2092" s="315">
        <f t="shared" si="69"/>
        <v>8.7443639894366869E-3</v>
      </c>
      <c r="L2092" s="234"/>
      <c r="M2092" s="234"/>
      <c r="N2092" s="234"/>
      <c r="O2092" s="234"/>
      <c r="P2092" s="234"/>
      <c r="Q2092" s="234"/>
      <c r="R2092" s="234"/>
    </row>
    <row r="2093" spans="8:18" ht="15" customHeight="1" x14ac:dyDescent="0.3">
      <c r="H2093" s="234" t="s">
        <v>4365</v>
      </c>
      <c r="I2093" s="306" t="s">
        <v>4366</v>
      </c>
      <c r="J2093" s="234">
        <f t="shared" si="68"/>
        <v>1.006442453017419</v>
      </c>
      <c r="K2093" s="315">
        <f t="shared" si="69"/>
        <v>6.4217891202844133E-3</v>
      </c>
      <c r="L2093" s="234"/>
      <c r="M2093" s="234"/>
      <c r="N2093" s="234"/>
      <c r="O2093" s="234"/>
      <c r="P2093" s="234"/>
      <c r="Q2093" s="234"/>
      <c r="R2093" s="234"/>
    </row>
    <row r="2094" spans="8:18" ht="15" customHeight="1" x14ac:dyDescent="0.3">
      <c r="H2094" s="234" t="s">
        <v>4367</v>
      </c>
      <c r="I2094" s="306" t="s">
        <v>4368</v>
      </c>
      <c r="J2094" s="234">
        <f t="shared" si="68"/>
        <v>1.0038312414754877</v>
      </c>
      <c r="K2094" s="315">
        <f t="shared" si="69"/>
        <v>3.823920961679275E-3</v>
      </c>
      <c r="L2094" s="234"/>
      <c r="M2094" s="234"/>
      <c r="N2094" s="234"/>
      <c r="O2094" s="234"/>
      <c r="P2094" s="234"/>
      <c r="Q2094" s="234"/>
      <c r="R2094" s="234"/>
    </row>
    <row r="2095" spans="8:18" ht="15" customHeight="1" x14ac:dyDescent="0.3">
      <c r="H2095" s="234" t="s">
        <v>4369</v>
      </c>
      <c r="I2095" s="306" t="s">
        <v>4370</v>
      </c>
      <c r="J2095" s="234">
        <f t="shared" si="68"/>
        <v>1.0036915693784321</v>
      </c>
      <c r="K2095" s="315">
        <f t="shared" si="69"/>
        <v>3.6847722590833323E-3</v>
      </c>
      <c r="L2095" s="234"/>
      <c r="M2095" s="234"/>
      <c r="N2095" s="234"/>
      <c r="O2095" s="234"/>
      <c r="P2095" s="234"/>
      <c r="Q2095" s="234"/>
      <c r="R2095" s="234"/>
    </row>
    <row r="2096" spans="8:18" ht="15" customHeight="1" x14ac:dyDescent="0.3">
      <c r="H2096" s="234" t="s">
        <v>4371</v>
      </c>
      <c r="I2096" s="306" t="s">
        <v>4372</v>
      </c>
      <c r="J2096" s="234">
        <f t="shared" si="68"/>
        <v>0.99002558323688861</v>
      </c>
      <c r="K2096" s="315">
        <f t="shared" si="69"/>
        <v>-1.002449453396838E-2</v>
      </c>
      <c r="L2096" s="234"/>
      <c r="M2096" s="234"/>
      <c r="N2096" s="234"/>
      <c r="O2096" s="234"/>
      <c r="P2096" s="234"/>
      <c r="Q2096" s="234"/>
      <c r="R2096" s="234"/>
    </row>
    <row r="2097" spans="8:18" ht="15" customHeight="1" x14ac:dyDescent="0.3">
      <c r="H2097" s="234" t="s">
        <v>4373</v>
      </c>
      <c r="I2097" s="306" t="s">
        <v>4374</v>
      </c>
      <c r="J2097" s="234">
        <f t="shared" si="68"/>
        <v>1.0087095436322022</v>
      </c>
      <c r="K2097" s="315">
        <f t="shared" si="69"/>
        <v>8.6718343526239403E-3</v>
      </c>
      <c r="L2097" s="234"/>
      <c r="M2097" s="234"/>
      <c r="N2097" s="234"/>
      <c r="O2097" s="234"/>
      <c r="P2097" s="234"/>
      <c r="Q2097" s="234"/>
      <c r="R2097" s="234"/>
    </row>
    <row r="2098" spans="8:18" ht="15" customHeight="1" x14ac:dyDescent="0.3">
      <c r="H2098" s="234" t="s">
        <v>4375</v>
      </c>
      <c r="I2098" s="306" t="s">
        <v>4376</v>
      </c>
      <c r="J2098" s="234">
        <f t="shared" si="68"/>
        <v>1.0062756008965144</v>
      </c>
      <c r="K2098" s="315">
        <f t="shared" si="69"/>
        <v>6.255991311731577E-3</v>
      </c>
      <c r="L2098" s="234"/>
      <c r="M2098" s="234"/>
      <c r="N2098" s="234"/>
      <c r="O2098" s="234"/>
      <c r="P2098" s="234"/>
      <c r="Q2098" s="234"/>
      <c r="R2098" s="234"/>
    </row>
    <row r="2099" spans="8:18" ht="15" customHeight="1" x14ac:dyDescent="0.3">
      <c r="H2099" s="234" t="s">
        <v>4377</v>
      </c>
      <c r="I2099" s="306" t="s">
        <v>4378</v>
      </c>
      <c r="J2099" s="234">
        <f t="shared" si="68"/>
        <v>0.99628865344339046</v>
      </c>
      <c r="K2099" s="315">
        <f t="shared" si="69"/>
        <v>-3.7182506909583793E-3</v>
      </c>
      <c r="L2099" s="234"/>
      <c r="M2099" s="234"/>
      <c r="N2099" s="234"/>
      <c r="O2099" s="234"/>
      <c r="P2099" s="234"/>
      <c r="Q2099" s="234"/>
      <c r="R2099" s="234"/>
    </row>
    <row r="2100" spans="8:18" ht="15" customHeight="1" x14ac:dyDescent="0.3">
      <c r="H2100" s="234" t="s">
        <v>4379</v>
      </c>
      <c r="I2100" s="306" t="s">
        <v>4380</v>
      </c>
      <c r="J2100" s="234">
        <f t="shared" si="68"/>
        <v>0.99628709073613797</v>
      </c>
      <c r="K2100" s="315">
        <f t="shared" si="69"/>
        <v>-3.7198192207942506E-3</v>
      </c>
      <c r="L2100" s="234"/>
      <c r="M2100" s="234"/>
      <c r="N2100" s="234"/>
      <c r="O2100" s="234"/>
      <c r="P2100" s="234"/>
      <c r="Q2100" s="234"/>
      <c r="R2100" s="234"/>
    </row>
    <row r="2101" spans="8:18" ht="15" customHeight="1" x14ac:dyDescent="0.3">
      <c r="H2101" s="234" t="s">
        <v>4381</v>
      </c>
      <c r="I2101" s="306" t="s">
        <v>4382</v>
      </c>
      <c r="J2101" s="234">
        <f t="shared" si="68"/>
        <v>0.99756646310666242</v>
      </c>
      <c r="K2101" s="315">
        <f t="shared" si="69"/>
        <v>-2.4365027569125432E-3</v>
      </c>
      <c r="L2101" s="234"/>
      <c r="M2101" s="234"/>
      <c r="N2101" s="234"/>
      <c r="O2101" s="234"/>
      <c r="P2101" s="234"/>
      <c r="Q2101" s="234"/>
      <c r="R2101" s="234"/>
    </row>
    <row r="2102" spans="8:18" ht="15" customHeight="1" x14ac:dyDescent="0.3">
      <c r="H2102" s="234" t="s">
        <v>4383</v>
      </c>
      <c r="I2102" s="306" t="s">
        <v>4384</v>
      </c>
      <c r="J2102" s="234">
        <f t="shared" si="68"/>
        <v>1.0019782848730217</v>
      </c>
      <c r="K2102" s="315">
        <f t="shared" si="69"/>
        <v>1.9763306444250399E-3</v>
      </c>
      <c r="L2102" s="234"/>
      <c r="M2102" s="234"/>
      <c r="N2102" s="234"/>
      <c r="O2102" s="234"/>
      <c r="P2102" s="234"/>
      <c r="Q2102" s="234"/>
      <c r="R2102" s="234"/>
    </row>
    <row r="2103" spans="8:18" ht="15" customHeight="1" x14ac:dyDescent="0.3">
      <c r="H2103" s="234" t="s">
        <v>4385</v>
      </c>
      <c r="I2103" s="306" t="s">
        <v>4386</v>
      </c>
      <c r="J2103" s="234">
        <f t="shared" si="68"/>
        <v>0.99659182956091152</v>
      </c>
      <c r="K2103" s="315">
        <f t="shared" si="69"/>
        <v>-3.4139914817930962E-3</v>
      </c>
      <c r="L2103" s="234"/>
      <c r="M2103" s="234"/>
      <c r="N2103" s="234"/>
      <c r="O2103" s="234"/>
      <c r="P2103" s="234"/>
      <c r="Q2103" s="234"/>
      <c r="R2103" s="234"/>
    </row>
    <row r="2104" spans="8:18" ht="15" customHeight="1" x14ac:dyDescent="0.3">
      <c r="H2104" s="234" t="s">
        <v>4387</v>
      </c>
      <c r="I2104" s="306" t="s">
        <v>4388</v>
      </c>
      <c r="J2104" s="234">
        <f t="shared" si="68"/>
        <v>1.003881677866765</v>
      </c>
      <c r="K2104" s="315">
        <f t="shared" si="69"/>
        <v>3.8741635942807062E-3</v>
      </c>
      <c r="L2104" s="234"/>
      <c r="M2104" s="234"/>
      <c r="N2104" s="234"/>
      <c r="O2104" s="234"/>
      <c r="P2104" s="234"/>
      <c r="Q2104" s="234"/>
      <c r="R2104" s="234"/>
    </row>
    <row r="2105" spans="8:18" ht="15" customHeight="1" x14ac:dyDescent="0.3">
      <c r="H2105" s="234" t="s">
        <v>4389</v>
      </c>
      <c r="I2105" s="306" t="s">
        <v>4382</v>
      </c>
      <c r="J2105" s="234">
        <f t="shared" si="68"/>
        <v>1.0049958368026644</v>
      </c>
      <c r="K2105" s="315">
        <f t="shared" si="69"/>
        <v>4.9833990175478697E-3</v>
      </c>
      <c r="L2105" s="234"/>
      <c r="M2105" s="234"/>
      <c r="N2105" s="234"/>
      <c r="O2105" s="234"/>
      <c r="P2105" s="234"/>
      <c r="Q2105" s="234"/>
      <c r="R2105" s="234"/>
    </row>
    <row r="2106" spans="8:18" ht="15" customHeight="1" x14ac:dyDescent="0.3">
      <c r="H2106" s="234" t="s">
        <v>4390</v>
      </c>
      <c r="I2106" s="306" t="s">
        <v>4391</v>
      </c>
      <c r="J2106" s="234">
        <f t="shared" si="68"/>
        <v>1.0158834586466166</v>
      </c>
      <c r="K2106" s="315">
        <f t="shared" si="69"/>
        <v>1.5758636520567561E-2</v>
      </c>
      <c r="L2106" s="234"/>
      <c r="M2106" s="234"/>
      <c r="N2106" s="234"/>
      <c r="O2106" s="234"/>
      <c r="P2106" s="234"/>
      <c r="Q2106" s="234"/>
      <c r="R2106" s="234"/>
    </row>
    <row r="2107" spans="8:18" ht="15" customHeight="1" x14ac:dyDescent="0.3">
      <c r="H2107" s="234" t="s">
        <v>4392</v>
      </c>
      <c r="I2107" s="306" t="s">
        <v>4393</v>
      </c>
      <c r="J2107" s="234">
        <f t="shared" si="68"/>
        <v>1.0128992336617639</v>
      </c>
      <c r="K2107" s="315">
        <f t="shared" si="69"/>
        <v>1.2816747131953195E-2</v>
      </c>
      <c r="L2107" s="234"/>
      <c r="M2107" s="234"/>
      <c r="N2107" s="234"/>
      <c r="O2107" s="234"/>
      <c r="P2107" s="234"/>
      <c r="Q2107" s="234"/>
      <c r="R2107" s="234"/>
    </row>
    <row r="2108" spans="8:18" ht="15" customHeight="1" x14ac:dyDescent="0.3">
      <c r="H2108" s="234" t="s">
        <v>4394</v>
      </c>
      <c r="I2108" s="306" t="s">
        <v>4395</v>
      </c>
      <c r="J2108" s="234">
        <f t="shared" si="68"/>
        <v>1.0113122171945701</v>
      </c>
      <c r="K2108" s="315">
        <f t="shared" si="69"/>
        <v>1.1248712535870667E-2</v>
      </c>
      <c r="L2108" s="234"/>
      <c r="M2108" s="234"/>
      <c r="N2108" s="234"/>
      <c r="O2108" s="234"/>
      <c r="P2108" s="234"/>
      <c r="Q2108" s="234"/>
      <c r="R2108" s="234"/>
    </row>
    <row r="2109" spans="8:18" ht="15" customHeight="1" x14ac:dyDescent="0.3">
      <c r="H2109" s="234" t="s">
        <v>4396</v>
      </c>
      <c r="I2109" s="306" t="s">
        <v>4397</v>
      </c>
      <c r="J2109" s="234">
        <f t="shared" si="68"/>
        <v>0.99756698786695264</v>
      </c>
      <c r="K2109" s="315">
        <f t="shared" si="69"/>
        <v>-2.4359767166218897E-3</v>
      </c>
      <c r="L2109" s="234"/>
      <c r="M2109" s="234"/>
      <c r="N2109" s="234"/>
      <c r="O2109" s="234"/>
      <c r="P2109" s="234"/>
      <c r="Q2109" s="234"/>
      <c r="R2109" s="234"/>
    </row>
    <row r="2110" spans="8:18" ht="15" customHeight="1" x14ac:dyDescent="0.3">
      <c r="H2110" s="234" t="s">
        <v>4398</v>
      </c>
      <c r="I2110" s="306" t="s">
        <v>4399</v>
      </c>
      <c r="J2110" s="234">
        <f t="shared" si="68"/>
        <v>0.98920134270694793</v>
      </c>
      <c r="K2110" s="315">
        <f t="shared" si="69"/>
        <v>-1.0857385969290938E-2</v>
      </c>
      <c r="L2110" s="234"/>
      <c r="M2110" s="234"/>
      <c r="N2110" s="234"/>
      <c r="O2110" s="234"/>
      <c r="P2110" s="234"/>
      <c r="Q2110" s="234"/>
      <c r="R2110" s="234"/>
    </row>
    <row r="2111" spans="8:18" ht="15" customHeight="1" x14ac:dyDescent="0.3">
      <c r="H2111" s="234" t="s">
        <v>4400</v>
      </c>
      <c r="I2111" s="306" t="s">
        <v>4401</v>
      </c>
      <c r="J2111" s="234">
        <f t="shared" si="68"/>
        <v>0.99906667721268683</v>
      </c>
      <c r="K2111" s="315">
        <f t="shared" si="69"/>
        <v>-9.337586042188332E-4</v>
      </c>
      <c r="L2111" s="234"/>
      <c r="M2111" s="234"/>
      <c r="N2111" s="234"/>
      <c r="O2111" s="234"/>
      <c r="P2111" s="234"/>
      <c r="Q2111" s="234"/>
      <c r="R2111" s="234"/>
    </row>
    <row r="2112" spans="8:18" ht="15" customHeight="1" x14ac:dyDescent="0.3">
      <c r="H2112" s="234" t="s">
        <v>4402</v>
      </c>
      <c r="I2112" s="306" t="s">
        <v>4403</v>
      </c>
      <c r="J2112" s="234">
        <f t="shared" si="68"/>
        <v>0.99916229373458931</v>
      </c>
      <c r="K2112" s="315">
        <f t="shared" si="69"/>
        <v>-8.3805733738139389E-4</v>
      </c>
      <c r="L2112" s="234"/>
      <c r="M2112" s="234"/>
      <c r="N2112" s="234"/>
      <c r="O2112" s="234"/>
      <c r="P2112" s="234"/>
      <c r="Q2112" s="234"/>
      <c r="R2112" s="234"/>
    </row>
    <row r="2113" spans="8:18" ht="15" customHeight="1" x14ac:dyDescent="0.3">
      <c r="H2113" s="234" t="s">
        <v>4404</v>
      </c>
      <c r="I2113" s="306" t="s">
        <v>4405</v>
      </c>
      <c r="J2113" s="234">
        <f t="shared" si="68"/>
        <v>1.0058345654282126</v>
      </c>
      <c r="K2113" s="315">
        <f t="shared" si="69"/>
        <v>5.8176102700310053E-3</v>
      </c>
      <c r="L2113" s="234"/>
      <c r="M2113" s="234"/>
      <c r="N2113" s="234"/>
      <c r="O2113" s="234"/>
      <c r="P2113" s="234"/>
      <c r="Q2113" s="234"/>
      <c r="R2113" s="234"/>
    </row>
    <row r="2114" spans="8:18" ht="15" customHeight="1" x14ac:dyDescent="0.3">
      <c r="H2114" s="234" t="s">
        <v>4406</v>
      </c>
      <c r="I2114" s="306" t="s">
        <v>4407</v>
      </c>
      <c r="J2114" s="234">
        <f t="shared" si="68"/>
        <v>1.0106526559336739</v>
      </c>
      <c r="K2114" s="315">
        <f t="shared" si="69"/>
        <v>1.0596316153465332E-2</v>
      </c>
      <c r="L2114" s="234"/>
      <c r="M2114" s="234"/>
      <c r="N2114" s="234"/>
      <c r="O2114" s="234"/>
      <c r="P2114" s="234"/>
      <c r="Q2114" s="234"/>
      <c r="R2114" s="234"/>
    </row>
    <row r="2115" spans="8:18" ht="15" customHeight="1" x14ac:dyDescent="0.3">
      <c r="H2115" s="234" t="s">
        <v>4408</v>
      </c>
      <c r="I2115" s="306" t="s">
        <v>4409</v>
      </c>
      <c r="J2115" s="234">
        <f t="shared" si="68"/>
        <v>1.0036768263183358</v>
      </c>
      <c r="K2115" s="315">
        <f t="shared" si="69"/>
        <v>3.6700833159594186E-3</v>
      </c>
      <c r="L2115" s="234"/>
      <c r="M2115" s="234"/>
      <c r="N2115" s="234"/>
      <c r="O2115" s="234"/>
      <c r="P2115" s="234"/>
      <c r="Q2115" s="234"/>
      <c r="R2115" s="234"/>
    </row>
    <row r="2116" spans="8:18" ht="15" customHeight="1" x14ac:dyDescent="0.3">
      <c r="H2116" s="234" t="s">
        <v>4410</v>
      </c>
      <c r="I2116" s="306" t="s">
        <v>4411</v>
      </c>
      <c r="J2116" s="234">
        <f t="shared" si="68"/>
        <v>1.0052850009726995</v>
      </c>
      <c r="K2116" s="315">
        <f t="shared" si="69"/>
        <v>5.2710843663764852E-3</v>
      </c>
      <c r="L2116" s="234"/>
      <c r="M2116" s="234"/>
      <c r="N2116" s="234"/>
      <c r="O2116" s="234"/>
      <c r="P2116" s="234"/>
      <c r="Q2116" s="234"/>
      <c r="R2116" s="234"/>
    </row>
    <row r="2117" spans="8:18" ht="15" customHeight="1" x14ac:dyDescent="0.3">
      <c r="H2117" s="234" t="s">
        <v>4412</v>
      </c>
      <c r="I2117" s="306" t="s">
        <v>4413</v>
      </c>
      <c r="J2117" s="234">
        <f t="shared" ref="J2117:J2180" si="70">I2117/I2118</f>
        <v>0.99189554254840162</v>
      </c>
      <c r="K2117" s="315">
        <f t="shared" ref="K2117:K2180" si="71">LN(J2117)</f>
        <v>-8.1374770920843199E-3</v>
      </c>
      <c r="L2117" s="234"/>
      <c r="M2117" s="234"/>
      <c r="N2117" s="234"/>
      <c r="O2117" s="234"/>
      <c r="P2117" s="234"/>
      <c r="Q2117" s="234"/>
      <c r="R2117" s="234"/>
    </row>
    <row r="2118" spans="8:18" ht="15" customHeight="1" x14ac:dyDescent="0.3">
      <c r="H2118" s="234" t="s">
        <v>4414</v>
      </c>
      <c r="I2118" s="306" t="s">
        <v>4415</v>
      </c>
      <c r="J2118" s="234">
        <f t="shared" si="70"/>
        <v>1.0180068098480881</v>
      </c>
      <c r="K2118" s="315">
        <f t="shared" si="71"/>
        <v>1.784660754415731E-2</v>
      </c>
      <c r="L2118" s="234"/>
      <c r="M2118" s="234"/>
      <c r="N2118" s="234"/>
      <c r="O2118" s="234"/>
      <c r="P2118" s="234"/>
      <c r="Q2118" s="234"/>
      <c r="R2118" s="234"/>
    </row>
    <row r="2119" spans="8:18" ht="15" customHeight="1" x14ac:dyDescent="0.3">
      <c r="H2119" s="234" t="s">
        <v>4416</v>
      </c>
      <c r="I2119" s="306" t="s">
        <v>4417</v>
      </c>
      <c r="J2119" s="234">
        <f t="shared" si="70"/>
        <v>0.99699699699699695</v>
      </c>
      <c r="K2119" s="315">
        <f t="shared" si="71"/>
        <v>-3.0075210639553284E-3</v>
      </c>
      <c r="L2119" s="234"/>
      <c r="M2119" s="234"/>
      <c r="N2119" s="234"/>
      <c r="O2119" s="234"/>
      <c r="P2119" s="234"/>
      <c r="Q2119" s="234"/>
      <c r="R2119" s="234"/>
    </row>
    <row r="2120" spans="8:18" ht="15" customHeight="1" x14ac:dyDescent="0.3">
      <c r="H2120" s="234" t="s">
        <v>4418</v>
      </c>
      <c r="I2120" s="306" t="s">
        <v>4419</v>
      </c>
      <c r="J2120" s="234">
        <f t="shared" si="70"/>
        <v>1.0083934037720943</v>
      </c>
      <c r="K2120" s="315">
        <f t="shared" si="71"/>
        <v>8.3583750290893433E-3</v>
      </c>
      <c r="L2120" s="234"/>
      <c r="M2120" s="234"/>
      <c r="N2120" s="234"/>
      <c r="O2120" s="234"/>
      <c r="P2120" s="234"/>
      <c r="Q2120" s="234"/>
      <c r="R2120" s="234"/>
    </row>
    <row r="2121" spans="8:18" ht="15" customHeight="1" x14ac:dyDescent="0.3">
      <c r="H2121" s="234" t="s">
        <v>4420</v>
      </c>
      <c r="I2121" s="306" t="s">
        <v>4421</v>
      </c>
      <c r="J2121" s="234">
        <f t="shared" si="70"/>
        <v>0.99965450866196137</v>
      </c>
      <c r="K2121" s="315">
        <f t="shared" si="71"/>
        <v>-3.4555103392096081E-4</v>
      </c>
      <c r="L2121" s="234"/>
      <c r="M2121" s="234"/>
      <c r="N2121" s="234"/>
      <c r="O2121" s="234"/>
      <c r="P2121" s="234"/>
      <c r="Q2121" s="234"/>
      <c r="R2121" s="234"/>
    </row>
    <row r="2122" spans="8:18" ht="15" customHeight="1" x14ac:dyDescent="0.3">
      <c r="H2122" s="234" t="s">
        <v>4422</v>
      </c>
      <c r="I2122" s="306" t="s">
        <v>4423</v>
      </c>
      <c r="J2122" s="234">
        <f t="shared" si="70"/>
        <v>0.98019706181161403</v>
      </c>
      <c r="K2122" s="315">
        <f t="shared" si="71"/>
        <v>-2.0001644050854018E-2</v>
      </c>
      <c r="L2122" s="234"/>
      <c r="M2122" s="234"/>
      <c r="N2122" s="234"/>
      <c r="O2122" s="234"/>
      <c r="P2122" s="234"/>
      <c r="Q2122" s="234"/>
      <c r="R2122" s="234"/>
    </row>
    <row r="2123" spans="8:18" ht="15" customHeight="1" x14ac:dyDescent="0.3">
      <c r="H2123" s="234" t="s">
        <v>4424</v>
      </c>
      <c r="I2123" s="306" t="s">
        <v>4425</v>
      </c>
      <c r="J2123" s="234">
        <f t="shared" si="70"/>
        <v>1.0063453424212918</v>
      </c>
      <c r="K2123" s="315">
        <f t="shared" si="71"/>
        <v>6.3252954944560211E-3</v>
      </c>
      <c r="L2123" s="234"/>
      <c r="M2123" s="234"/>
      <c r="N2123" s="234"/>
      <c r="O2123" s="234"/>
      <c r="P2123" s="234"/>
      <c r="Q2123" s="234"/>
      <c r="R2123" s="234"/>
    </row>
    <row r="2124" spans="8:18" ht="15" customHeight="1" x14ac:dyDescent="0.3">
      <c r="H2124" s="234" t="s">
        <v>4426</v>
      </c>
      <c r="I2124" s="306" t="s">
        <v>4427</v>
      </c>
      <c r="J2124" s="234">
        <f t="shared" si="70"/>
        <v>0.9952997044144013</v>
      </c>
      <c r="K2124" s="315">
        <f t="shared" si="71"/>
        <v>-4.7113767115746193E-3</v>
      </c>
      <c r="L2124" s="234"/>
      <c r="M2124" s="234"/>
      <c r="N2124" s="234"/>
      <c r="O2124" s="234"/>
      <c r="P2124" s="234"/>
      <c r="Q2124" s="234"/>
      <c r="R2124" s="234"/>
    </row>
    <row r="2125" spans="8:18" ht="15" customHeight="1" x14ac:dyDescent="0.3">
      <c r="H2125" s="234" t="s">
        <v>4428</v>
      </c>
      <c r="I2125" s="306" t="s">
        <v>4429</v>
      </c>
      <c r="J2125" s="234">
        <f t="shared" si="70"/>
        <v>1.0012938493635879</v>
      </c>
      <c r="K2125" s="315">
        <f t="shared" si="71"/>
        <v>1.2930130617880436E-3</v>
      </c>
      <c r="L2125" s="234"/>
      <c r="M2125" s="234"/>
      <c r="N2125" s="234"/>
      <c r="O2125" s="234"/>
      <c r="P2125" s="234"/>
      <c r="Q2125" s="234"/>
      <c r="R2125" s="234"/>
    </row>
    <row r="2126" spans="8:18" ht="15" customHeight="1" x14ac:dyDescent="0.3">
      <c r="H2126" s="234" t="s">
        <v>4430</v>
      </c>
      <c r="I2126" s="306" t="s">
        <v>4431</v>
      </c>
      <c r="J2126" s="234">
        <f t="shared" si="70"/>
        <v>1.0019932585726323</v>
      </c>
      <c r="K2126" s="315">
        <f t="shared" si="71"/>
        <v>1.9912746686153327E-3</v>
      </c>
      <c r="L2126" s="234"/>
      <c r="M2126" s="234"/>
      <c r="N2126" s="234"/>
      <c r="O2126" s="234"/>
      <c r="P2126" s="234"/>
      <c r="Q2126" s="234"/>
      <c r="R2126" s="234"/>
    </row>
    <row r="2127" spans="8:18" ht="15" customHeight="1" x14ac:dyDescent="0.3">
      <c r="H2127" s="234" t="s">
        <v>4432</v>
      </c>
      <c r="I2127" s="306" t="s">
        <v>4433</v>
      </c>
      <c r="J2127" s="234">
        <f t="shared" si="70"/>
        <v>0.99178707468779637</v>
      </c>
      <c r="K2127" s="315">
        <f t="shared" si="71"/>
        <v>-8.2468371880703214E-3</v>
      </c>
      <c r="L2127" s="234"/>
      <c r="M2127" s="234"/>
      <c r="N2127" s="234"/>
      <c r="O2127" s="234"/>
      <c r="P2127" s="234"/>
      <c r="Q2127" s="234"/>
      <c r="R2127" s="234"/>
    </row>
    <row r="2128" spans="8:18" ht="15" customHeight="1" x14ac:dyDescent="0.3">
      <c r="H2128" s="234" t="s">
        <v>4434</v>
      </c>
      <c r="I2128" s="306" t="s">
        <v>4435</v>
      </c>
      <c r="J2128" s="234">
        <f t="shared" si="70"/>
        <v>0.99145884790056571</v>
      </c>
      <c r="K2128" s="315">
        <f t="shared" si="71"/>
        <v>-8.5778367746460644E-3</v>
      </c>
      <c r="L2128" s="234"/>
      <c r="M2128" s="234"/>
      <c r="N2128" s="234"/>
      <c r="O2128" s="234"/>
      <c r="P2128" s="234"/>
      <c r="Q2128" s="234"/>
      <c r="R2128" s="234"/>
    </row>
    <row r="2129" spans="8:18" ht="15" customHeight="1" x14ac:dyDescent="0.3">
      <c r="H2129" s="234" t="s">
        <v>4436</v>
      </c>
      <c r="I2129" s="306" t="s">
        <v>4437</v>
      </c>
      <c r="J2129" s="234">
        <f t="shared" si="70"/>
        <v>0.99341469978312835</v>
      </c>
      <c r="K2129" s="315">
        <f t="shared" si="71"/>
        <v>-6.6070789720942885E-3</v>
      </c>
      <c r="L2129" s="234"/>
      <c r="M2129" s="234"/>
      <c r="N2129" s="234"/>
      <c r="O2129" s="234"/>
      <c r="P2129" s="234"/>
      <c r="Q2129" s="234"/>
      <c r="R2129" s="234"/>
    </row>
    <row r="2130" spans="8:18" ht="15" customHeight="1" x14ac:dyDescent="0.3">
      <c r="H2130" s="234" t="s">
        <v>4438</v>
      </c>
      <c r="I2130" s="306" t="s">
        <v>4439</v>
      </c>
      <c r="J2130" s="234">
        <f t="shared" si="70"/>
        <v>1.0034310221586848</v>
      </c>
      <c r="K2130" s="315">
        <f t="shared" si="71"/>
        <v>3.425149630840005E-3</v>
      </c>
      <c r="L2130" s="234"/>
      <c r="M2130" s="234"/>
      <c r="N2130" s="234"/>
      <c r="O2130" s="234"/>
      <c r="P2130" s="234"/>
      <c r="Q2130" s="234"/>
      <c r="R2130" s="234"/>
    </row>
    <row r="2131" spans="8:18" ht="15" customHeight="1" x14ac:dyDescent="0.3">
      <c r="H2131" s="234" t="s">
        <v>4440</v>
      </c>
      <c r="I2131" s="306" t="s">
        <v>4441</v>
      </c>
      <c r="J2131" s="234">
        <f t="shared" si="70"/>
        <v>1.0080864691753402</v>
      </c>
      <c r="K2131" s="315">
        <f t="shared" si="71"/>
        <v>8.0539488820770989E-3</v>
      </c>
      <c r="L2131" s="234"/>
      <c r="M2131" s="234"/>
      <c r="N2131" s="234"/>
      <c r="O2131" s="234"/>
      <c r="P2131" s="234"/>
      <c r="Q2131" s="234"/>
      <c r="R2131" s="234"/>
    </row>
    <row r="2132" spans="8:18" ht="15" customHeight="1" x14ac:dyDescent="0.3">
      <c r="H2132" s="234" t="s">
        <v>4442</v>
      </c>
      <c r="I2132" s="306" t="s">
        <v>4443</v>
      </c>
      <c r="J2132" s="234">
        <f t="shared" si="70"/>
        <v>0.99915204070204633</v>
      </c>
      <c r="K2132" s="315">
        <f t="shared" si="71"/>
        <v>-8.4831901880596768E-4</v>
      </c>
      <c r="L2132" s="234"/>
      <c r="M2132" s="234"/>
      <c r="N2132" s="234"/>
      <c r="O2132" s="234"/>
      <c r="P2132" s="234"/>
      <c r="Q2132" s="234"/>
      <c r="R2132" s="234"/>
    </row>
    <row r="2133" spans="8:18" ht="15" customHeight="1" x14ac:dyDescent="0.3">
      <c r="H2133" s="234" t="s">
        <v>4444</v>
      </c>
      <c r="I2133" s="306" t="s">
        <v>4445</v>
      </c>
      <c r="J2133" s="234">
        <f t="shared" si="70"/>
        <v>1.0034355985808088</v>
      </c>
      <c r="K2133" s="315">
        <f t="shared" si="71"/>
        <v>3.4297103944469528E-3</v>
      </c>
      <c r="L2133" s="234"/>
      <c r="M2133" s="234"/>
      <c r="N2133" s="234"/>
      <c r="O2133" s="234"/>
      <c r="P2133" s="234"/>
      <c r="Q2133" s="234"/>
      <c r="R2133" s="234"/>
    </row>
    <row r="2134" spans="8:18" ht="15" customHeight="1" x14ac:dyDescent="0.3">
      <c r="H2134" s="234" t="s">
        <v>4446</v>
      </c>
      <c r="I2134" s="306" t="s">
        <v>4447</v>
      </c>
      <c r="J2134" s="234">
        <f t="shared" si="70"/>
        <v>0.99327071805584344</v>
      </c>
      <c r="K2134" s="315">
        <f t="shared" si="71"/>
        <v>-6.7520256518697041E-3</v>
      </c>
      <c r="L2134" s="234"/>
      <c r="M2134" s="234"/>
      <c r="N2134" s="234"/>
      <c r="O2134" s="234"/>
      <c r="P2134" s="234"/>
      <c r="Q2134" s="234"/>
      <c r="R2134" s="234"/>
    </row>
    <row r="2135" spans="8:18" ht="15" customHeight="1" x14ac:dyDescent="0.3">
      <c r="H2135" s="234" t="s">
        <v>4448</v>
      </c>
      <c r="I2135" s="306" t="s">
        <v>4449</v>
      </c>
      <c r="J2135" s="234">
        <f t="shared" si="70"/>
        <v>0.9804568408874158</v>
      </c>
      <c r="K2135" s="315">
        <f t="shared" si="71"/>
        <v>-1.9736651767448654E-2</v>
      </c>
      <c r="L2135" s="234"/>
      <c r="M2135" s="234"/>
      <c r="N2135" s="234"/>
      <c r="O2135" s="234"/>
      <c r="P2135" s="234"/>
      <c r="Q2135" s="234"/>
      <c r="R2135" s="234"/>
    </row>
    <row r="2136" spans="8:18" ht="15" customHeight="1" x14ac:dyDescent="0.3">
      <c r="H2136" s="234" t="s">
        <v>4450</v>
      </c>
      <c r="I2136" s="306" t="s">
        <v>4451</v>
      </c>
      <c r="J2136" s="234">
        <f t="shared" si="70"/>
        <v>1.003073786560025</v>
      </c>
      <c r="K2136" s="315">
        <f t="shared" si="71"/>
        <v>3.0690721364008051E-3</v>
      </c>
      <c r="L2136" s="234"/>
      <c r="M2136" s="234"/>
      <c r="N2136" s="234"/>
      <c r="O2136" s="234"/>
      <c r="P2136" s="234"/>
      <c r="Q2136" s="234"/>
      <c r="R2136" s="234"/>
    </row>
    <row r="2137" spans="8:18" ht="15" customHeight="1" x14ac:dyDescent="0.3">
      <c r="H2137" s="234" t="s">
        <v>4452</v>
      </c>
      <c r="I2137" s="306" t="s">
        <v>4453</v>
      </c>
      <c r="J2137" s="234">
        <f t="shared" si="70"/>
        <v>0.995472640699399</v>
      </c>
      <c r="K2137" s="315">
        <f t="shared" si="71"/>
        <v>-4.5376388295338445E-3</v>
      </c>
      <c r="L2137" s="234"/>
      <c r="M2137" s="234"/>
      <c r="N2137" s="234"/>
      <c r="O2137" s="234"/>
      <c r="P2137" s="234"/>
      <c r="Q2137" s="234"/>
      <c r="R2137" s="234"/>
    </row>
    <row r="2138" spans="8:18" ht="15" customHeight="1" x14ac:dyDescent="0.3">
      <c r="H2138" s="234" t="s">
        <v>4454</v>
      </c>
      <c r="I2138" s="306" t="s">
        <v>4455</v>
      </c>
      <c r="J2138" s="234">
        <f t="shared" si="70"/>
        <v>1.0130796482571014</v>
      </c>
      <c r="K2138" s="315">
        <f t="shared" si="71"/>
        <v>1.2994848293248108E-2</v>
      </c>
      <c r="L2138" s="234"/>
      <c r="M2138" s="234"/>
      <c r="N2138" s="234"/>
      <c r="O2138" s="234"/>
      <c r="P2138" s="234"/>
      <c r="Q2138" s="234"/>
      <c r="R2138" s="234"/>
    </row>
    <row r="2139" spans="8:18" ht="15" customHeight="1" x14ac:dyDescent="0.3">
      <c r="H2139" s="234" t="s">
        <v>4456</v>
      </c>
      <c r="I2139" s="306" t="s">
        <v>4457</v>
      </c>
      <c r="J2139" s="234">
        <f t="shared" si="70"/>
        <v>0.99955735424307579</v>
      </c>
      <c r="K2139" s="315">
        <f t="shared" si="71"/>
        <v>-4.427437534768432E-4</v>
      </c>
      <c r="L2139" s="234"/>
      <c r="M2139" s="234"/>
      <c r="N2139" s="234"/>
      <c r="O2139" s="234"/>
      <c r="P2139" s="234"/>
      <c r="Q2139" s="234"/>
      <c r="R2139" s="234"/>
    </row>
    <row r="2140" spans="8:18" ht="15" customHeight="1" x14ac:dyDescent="0.3">
      <c r="H2140" s="234" t="s">
        <v>4458</v>
      </c>
      <c r="I2140" s="306" t="s">
        <v>4459</v>
      </c>
      <c r="J2140" s="234">
        <f t="shared" si="70"/>
        <v>1.0093022513682128</v>
      </c>
      <c r="K2140" s="315">
        <f t="shared" si="71"/>
        <v>9.2592518836039986E-3</v>
      </c>
      <c r="L2140" s="234"/>
      <c r="M2140" s="234"/>
      <c r="N2140" s="234"/>
      <c r="O2140" s="234"/>
      <c r="P2140" s="234"/>
      <c r="Q2140" s="234"/>
      <c r="R2140" s="234"/>
    </row>
    <row r="2141" spans="8:18" ht="15" customHeight="1" x14ac:dyDescent="0.3">
      <c r="H2141" s="234" t="s">
        <v>4460</v>
      </c>
      <c r="I2141" s="306" t="s">
        <v>4461</v>
      </c>
      <c r="J2141" s="234">
        <f t="shared" si="70"/>
        <v>1.0162639857305011</v>
      </c>
      <c r="K2141" s="315">
        <f t="shared" si="71"/>
        <v>1.6133143881620602E-2</v>
      </c>
      <c r="L2141" s="234"/>
      <c r="M2141" s="234"/>
      <c r="N2141" s="234"/>
      <c r="O2141" s="234"/>
      <c r="P2141" s="234"/>
      <c r="Q2141" s="234"/>
      <c r="R2141" s="234"/>
    </row>
    <row r="2142" spans="8:18" ht="15" customHeight="1" x14ac:dyDescent="0.3">
      <c r="H2142" s="234" t="s">
        <v>4462</v>
      </c>
      <c r="I2142" s="306" t="s">
        <v>4463</v>
      </c>
      <c r="J2142" s="234">
        <f t="shared" si="70"/>
        <v>0.98454612216226567</v>
      </c>
      <c r="K2142" s="315">
        <f t="shared" si="71"/>
        <v>-1.5574533689217148E-2</v>
      </c>
      <c r="L2142" s="234"/>
      <c r="M2142" s="234"/>
      <c r="N2142" s="234"/>
      <c r="O2142" s="234"/>
      <c r="P2142" s="234"/>
      <c r="Q2142" s="234"/>
      <c r="R2142" s="234"/>
    </row>
    <row r="2143" spans="8:18" ht="15" customHeight="1" x14ac:dyDescent="0.3">
      <c r="H2143" s="234" t="s">
        <v>4464</v>
      </c>
      <c r="I2143" s="306" t="s">
        <v>4465</v>
      </c>
      <c r="J2143" s="234">
        <f t="shared" si="70"/>
        <v>1.0169001737097585</v>
      </c>
      <c r="K2143" s="315">
        <f t="shared" si="71"/>
        <v>1.6758954637792405E-2</v>
      </c>
      <c r="L2143" s="234"/>
      <c r="M2143" s="234"/>
      <c r="N2143" s="234"/>
      <c r="O2143" s="234"/>
      <c r="P2143" s="234"/>
      <c r="Q2143" s="234"/>
      <c r="R2143" s="234"/>
    </row>
    <row r="2144" spans="8:18" ht="15" customHeight="1" x14ac:dyDescent="0.3">
      <c r="H2144" s="234" t="s">
        <v>4466</v>
      </c>
      <c r="I2144" s="306" t="s">
        <v>4467</v>
      </c>
      <c r="J2144" s="234">
        <f t="shared" si="70"/>
        <v>0.912061715233357</v>
      </c>
      <c r="K2144" s="315">
        <f t="shared" si="71"/>
        <v>-9.2047620985316922E-2</v>
      </c>
      <c r="L2144" s="234"/>
      <c r="M2144" s="234"/>
      <c r="N2144" s="234"/>
      <c r="O2144" s="234"/>
      <c r="P2144" s="234"/>
      <c r="Q2144" s="234"/>
      <c r="R2144" s="234"/>
    </row>
    <row r="2145" spans="8:18" ht="15" customHeight="1" x14ac:dyDescent="0.3">
      <c r="H2145" s="234" t="s">
        <v>4468</v>
      </c>
      <c r="I2145" s="306" t="s">
        <v>4469</v>
      </c>
      <c r="J2145" s="234">
        <f t="shared" si="70"/>
        <v>0.98342895418935838</v>
      </c>
      <c r="K2145" s="315">
        <f t="shared" si="71"/>
        <v>-1.6709881495534078E-2</v>
      </c>
      <c r="L2145" s="234"/>
      <c r="M2145" s="234"/>
      <c r="N2145" s="234"/>
      <c r="O2145" s="234"/>
      <c r="P2145" s="234"/>
      <c r="Q2145" s="234"/>
      <c r="R2145" s="234"/>
    </row>
    <row r="2146" spans="8:18" ht="15" customHeight="1" x14ac:dyDescent="0.3">
      <c r="H2146" s="234" t="s">
        <v>4470</v>
      </c>
      <c r="I2146" s="306" t="s">
        <v>4471</v>
      </c>
      <c r="J2146" s="234">
        <f t="shared" si="70"/>
        <v>1.0029354636133951</v>
      </c>
      <c r="K2146" s="315">
        <f t="shared" si="71"/>
        <v>2.9311635531406592E-3</v>
      </c>
      <c r="L2146" s="234"/>
      <c r="M2146" s="234"/>
      <c r="N2146" s="234"/>
      <c r="O2146" s="234"/>
      <c r="P2146" s="234"/>
      <c r="Q2146" s="234"/>
      <c r="R2146" s="234"/>
    </row>
    <row r="2147" spans="8:18" ht="15" customHeight="1" x14ac:dyDescent="0.3">
      <c r="H2147" s="234" t="s">
        <v>4472</v>
      </c>
      <c r="I2147" s="306" t="s">
        <v>4473</v>
      </c>
      <c r="J2147" s="234">
        <f t="shared" si="70"/>
        <v>1.0036056106819882</v>
      </c>
      <c r="K2147" s="315">
        <f t="shared" si="71"/>
        <v>3.5991260504896886E-3</v>
      </c>
      <c r="L2147" s="234"/>
      <c r="M2147" s="234"/>
      <c r="N2147" s="234"/>
      <c r="O2147" s="234"/>
      <c r="P2147" s="234"/>
      <c r="Q2147" s="234"/>
      <c r="R2147" s="234"/>
    </row>
    <row r="2148" spans="8:18" ht="15" customHeight="1" x14ac:dyDescent="0.3">
      <c r="H2148" s="234" t="s">
        <v>4474</v>
      </c>
      <c r="I2148" s="306" t="s">
        <v>4475</v>
      </c>
      <c r="J2148" s="234">
        <f t="shared" si="70"/>
        <v>1.0102315801942667</v>
      </c>
      <c r="K2148" s="315">
        <f t="shared" si="71"/>
        <v>1.0179591891903846E-2</v>
      </c>
      <c r="L2148" s="234"/>
      <c r="M2148" s="234"/>
      <c r="N2148" s="234"/>
      <c r="O2148" s="234"/>
      <c r="P2148" s="234"/>
      <c r="Q2148" s="234"/>
      <c r="R2148" s="234"/>
    </row>
    <row r="2149" spans="8:18" ht="15" customHeight="1" x14ac:dyDescent="0.3">
      <c r="H2149" s="234" t="s">
        <v>4476</v>
      </c>
      <c r="I2149" s="306" t="s">
        <v>4469</v>
      </c>
      <c r="J2149" s="234">
        <f t="shared" si="70"/>
        <v>1.0026872541014029</v>
      </c>
      <c r="K2149" s="315">
        <f t="shared" si="71"/>
        <v>2.6836498896115517E-3</v>
      </c>
      <c r="L2149" s="234"/>
      <c r="M2149" s="234"/>
      <c r="N2149" s="234"/>
      <c r="O2149" s="234"/>
      <c r="P2149" s="234"/>
      <c r="Q2149" s="234"/>
      <c r="R2149" s="234"/>
    </row>
    <row r="2150" spans="8:18" ht="15" customHeight="1" x14ac:dyDescent="0.3">
      <c r="H2150" s="234" t="s">
        <v>4477</v>
      </c>
      <c r="I2150" s="306" t="s">
        <v>4478</v>
      </c>
      <c r="J2150" s="234">
        <f t="shared" si="70"/>
        <v>1.0161577454589343</v>
      </c>
      <c r="K2150" s="315">
        <f t="shared" si="71"/>
        <v>1.6028598382983962E-2</v>
      </c>
      <c r="L2150" s="234"/>
      <c r="M2150" s="234"/>
      <c r="N2150" s="234"/>
      <c r="O2150" s="234"/>
      <c r="P2150" s="234"/>
      <c r="Q2150" s="234"/>
      <c r="R2150" s="234"/>
    </row>
    <row r="2151" spans="8:18" ht="15" customHeight="1" x14ac:dyDescent="0.3">
      <c r="H2151" s="234" t="s">
        <v>4479</v>
      </c>
      <c r="I2151" s="306" t="s">
        <v>4480</v>
      </c>
      <c r="J2151" s="234">
        <f t="shared" si="70"/>
        <v>1.0114598751773916</v>
      </c>
      <c r="K2151" s="315">
        <f t="shared" si="71"/>
        <v>1.1394708205516855E-2</v>
      </c>
      <c r="L2151" s="234"/>
      <c r="M2151" s="234"/>
      <c r="N2151" s="234"/>
      <c r="O2151" s="234"/>
      <c r="P2151" s="234"/>
      <c r="Q2151" s="234"/>
      <c r="R2151" s="234"/>
    </row>
    <row r="2152" spans="8:18" ht="15" customHeight="1" x14ac:dyDescent="0.3">
      <c r="H2152" s="234" t="s">
        <v>4481</v>
      </c>
      <c r="I2152" s="306" t="s">
        <v>4482</v>
      </c>
      <c r="J2152" s="234">
        <f t="shared" si="70"/>
        <v>0.9973822387946123</v>
      </c>
      <c r="K2152" s="315">
        <f t="shared" si="71"/>
        <v>-2.6211935335708229E-3</v>
      </c>
      <c r="L2152" s="234"/>
      <c r="M2152" s="234"/>
      <c r="N2152" s="234"/>
      <c r="O2152" s="234"/>
      <c r="P2152" s="234"/>
      <c r="Q2152" s="234"/>
      <c r="R2152" s="234"/>
    </row>
    <row r="2153" spans="8:18" ht="15" customHeight="1" x14ac:dyDescent="0.3">
      <c r="H2153" s="234" t="s">
        <v>4483</v>
      </c>
      <c r="I2153" s="306" t="s">
        <v>4484</v>
      </c>
      <c r="J2153" s="234">
        <f t="shared" si="70"/>
        <v>1.0128875117544589</v>
      </c>
      <c r="K2153" s="315">
        <f t="shared" si="71"/>
        <v>1.280517443573363E-2</v>
      </c>
      <c r="L2153" s="234"/>
      <c r="M2153" s="234"/>
      <c r="N2153" s="234"/>
      <c r="O2153" s="234"/>
      <c r="P2153" s="234"/>
      <c r="Q2153" s="234"/>
      <c r="R2153" s="234"/>
    </row>
    <row r="2154" spans="8:18" ht="15" customHeight="1" x14ac:dyDescent="0.3">
      <c r="H2154" s="234" t="s">
        <v>4485</v>
      </c>
      <c r="I2154" s="306" t="s">
        <v>4486</v>
      </c>
      <c r="J2154" s="234">
        <f t="shared" si="70"/>
        <v>0.98183717023112205</v>
      </c>
      <c r="K2154" s="315">
        <f t="shared" si="71"/>
        <v>-1.8329798804995995E-2</v>
      </c>
      <c r="L2154" s="234"/>
      <c r="M2154" s="234"/>
      <c r="N2154" s="234"/>
      <c r="O2154" s="234"/>
      <c r="P2154" s="234"/>
      <c r="Q2154" s="234"/>
      <c r="R2154" s="234"/>
    </row>
    <row r="2155" spans="8:18" ht="15" customHeight="1" x14ac:dyDescent="0.3">
      <c r="H2155" s="234" t="s">
        <v>4487</v>
      </c>
      <c r="I2155" s="306" t="s">
        <v>4488</v>
      </c>
      <c r="J2155" s="234">
        <f t="shared" si="70"/>
        <v>0.99024280575539569</v>
      </c>
      <c r="K2155" s="315">
        <f t="shared" si="71"/>
        <v>-9.8051075856276232E-3</v>
      </c>
      <c r="L2155" s="234"/>
      <c r="M2155" s="234"/>
      <c r="N2155" s="234"/>
      <c r="O2155" s="234"/>
      <c r="P2155" s="234"/>
      <c r="Q2155" s="234"/>
      <c r="R2155" s="234"/>
    </row>
    <row r="2156" spans="8:18" ht="15" customHeight="1" x14ac:dyDescent="0.3">
      <c r="H2156" s="234" t="s">
        <v>4489</v>
      </c>
      <c r="I2156" s="306" t="s">
        <v>4490</v>
      </c>
      <c r="J2156" s="234">
        <f t="shared" si="70"/>
        <v>1.0201210935111003</v>
      </c>
      <c r="K2156" s="315">
        <f t="shared" si="71"/>
        <v>1.9921339378151333E-2</v>
      </c>
      <c r="L2156" s="234"/>
      <c r="M2156" s="234"/>
      <c r="N2156" s="234"/>
      <c r="O2156" s="234"/>
      <c r="P2156" s="234"/>
      <c r="Q2156" s="234"/>
      <c r="R2156" s="234"/>
    </row>
    <row r="2157" spans="8:18" ht="15" customHeight="1" x14ac:dyDescent="0.3">
      <c r="H2157" s="234" t="s">
        <v>4491</v>
      </c>
      <c r="I2157" s="306" t="s">
        <v>4492</v>
      </c>
      <c r="J2157" s="234">
        <f t="shared" si="70"/>
        <v>1.0112092023686203</v>
      </c>
      <c r="K2157" s="315">
        <f t="shared" si="71"/>
        <v>1.1146844812698573E-2</v>
      </c>
      <c r="L2157" s="234"/>
      <c r="M2157" s="234"/>
      <c r="N2157" s="234"/>
      <c r="O2157" s="234"/>
      <c r="P2157" s="234"/>
      <c r="Q2157" s="234"/>
      <c r="R2157" s="234"/>
    </row>
    <row r="2158" spans="8:18" ht="15" customHeight="1" x14ac:dyDescent="0.3">
      <c r="H2158" s="234" t="s">
        <v>4493</v>
      </c>
      <c r="I2158" s="306" t="s">
        <v>4494</v>
      </c>
      <c r="J2158" s="234">
        <f t="shared" si="70"/>
        <v>0.99702491059316811</v>
      </c>
      <c r="K2158" s="315">
        <f t="shared" si="71"/>
        <v>-2.9795237826148076E-3</v>
      </c>
      <c r="L2158" s="234"/>
      <c r="M2158" s="234"/>
      <c r="N2158" s="234"/>
      <c r="O2158" s="234"/>
      <c r="P2158" s="234"/>
      <c r="Q2158" s="234"/>
      <c r="R2158" s="234"/>
    </row>
    <row r="2159" spans="8:18" ht="15" customHeight="1" x14ac:dyDescent="0.3">
      <c r="H2159" s="234" t="s">
        <v>4495</v>
      </c>
      <c r="I2159" s="306" t="s">
        <v>4496</v>
      </c>
      <c r="J2159" s="234">
        <f t="shared" si="70"/>
        <v>0.99582463465553239</v>
      </c>
      <c r="K2159" s="315">
        <f t="shared" si="71"/>
        <v>-4.1841065225739849E-3</v>
      </c>
      <c r="L2159" s="234"/>
      <c r="M2159" s="234"/>
      <c r="N2159" s="234"/>
      <c r="O2159" s="234"/>
      <c r="P2159" s="234"/>
      <c r="Q2159" s="234"/>
      <c r="R2159" s="234"/>
    </row>
    <row r="2160" spans="8:18" ht="15" customHeight="1" x14ac:dyDescent="0.3">
      <c r="H2160" s="234" t="s">
        <v>4497</v>
      </c>
      <c r="I2160" s="306" t="s">
        <v>4498</v>
      </c>
      <c r="J2160" s="234">
        <f t="shared" si="70"/>
        <v>1.0118041749502982</v>
      </c>
      <c r="K2160" s="315">
        <f t="shared" si="71"/>
        <v>1.1735049127610834E-2</v>
      </c>
      <c r="L2160" s="234"/>
      <c r="M2160" s="234"/>
      <c r="N2160" s="234"/>
      <c r="O2160" s="234"/>
      <c r="P2160" s="234"/>
      <c r="Q2160" s="234"/>
      <c r="R2160" s="234"/>
    </row>
    <row r="2161" spans="8:18" ht="15" customHeight="1" x14ac:dyDescent="0.3">
      <c r="H2161" s="234" t="s">
        <v>4499</v>
      </c>
      <c r="I2161" s="306" t="s">
        <v>4500</v>
      </c>
      <c r="J2161" s="234">
        <f t="shared" si="70"/>
        <v>1.009770863066765</v>
      </c>
      <c r="K2161" s="315">
        <f t="shared" si="71"/>
        <v>9.7234368639458613E-3</v>
      </c>
      <c r="L2161" s="234"/>
      <c r="M2161" s="234"/>
      <c r="N2161" s="234"/>
      <c r="O2161" s="234"/>
      <c r="P2161" s="234"/>
      <c r="Q2161" s="234"/>
      <c r="R2161" s="234"/>
    </row>
    <row r="2162" spans="8:18" ht="15" customHeight="1" x14ac:dyDescent="0.3">
      <c r="H2162" s="234" t="s">
        <v>4501</v>
      </c>
      <c r="I2162" s="306" t="s">
        <v>4502</v>
      </c>
      <c r="J2162" s="234">
        <f t="shared" si="70"/>
        <v>1.0055988392265716</v>
      </c>
      <c r="K2162" s="315">
        <f t="shared" si="71"/>
        <v>5.5832239839380205E-3</v>
      </c>
      <c r="L2162" s="234"/>
      <c r="M2162" s="234"/>
      <c r="N2162" s="234"/>
      <c r="O2162" s="234"/>
      <c r="P2162" s="234"/>
      <c r="Q2162" s="234"/>
      <c r="R2162" s="234"/>
    </row>
    <row r="2163" spans="8:18" ht="15" customHeight="1" x14ac:dyDescent="0.3">
      <c r="H2163" s="234" t="s">
        <v>4503</v>
      </c>
      <c r="I2163" s="306" t="s">
        <v>4504</v>
      </c>
      <c r="J2163" s="234">
        <f t="shared" si="70"/>
        <v>0.9881711213278267</v>
      </c>
      <c r="K2163" s="315">
        <f t="shared" si="71"/>
        <v>-1.1899396507088912E-2</v>
      </c>
      <c r="L2163" s="234"/>
      <c r="M2163" s="234"/>
      <c r="N2163" s="234"/>
      <c r="O2163" s="234"/>
      <c r="P2163" s="234"/>
      <c r="Q2163" s="234"/>
      <c r="R2163" s="234"/>
    </row>
    <row r="2164" spans="8:18" ht="15" customHeight="1" x14ac:dyDescent="0.3">
      <c r="H2164" s="234" t="s">
        <v>4505</v>
      </c>
      <c r="I2164" s="306" t="s">
        <v>4506</v>
      </c>
      <c r="J2164" s="234">
        <f t="shared" si="70"/>
        <v>0.99734207908480477</v>
      </c>
      <c r="K2164" s="315">
        <f t="shared" si="71"/>
        <v>-2.6614594584938719E-3</v>
      </c>
      <c r="L2164" s="234"/>
      <c r="M2164" s="234"/>
      <c r="N2164" s="234"/>
      <c r="O2164" s="234"/>
      <c r="P2164" s="234"/>
      <c r="Q2164" s="234"/>
      <c r="R2164" s="234"/>
    </row>
    <row r="2165" spans="8:18" ht="15" customHeight="1" x14ac:dyDescent="0.3">
      <c r="H2165" s="234" t="s">
        <v>4507</v>
      </c>
      <c r="I2165" s="306" t="s">
        <v>4508</v>
      </c>
      <c r="J2165" s="234">
        <f t="shared" si="70"/>
        <v>1.0240020373082066</v>
      </c>
      <c r="K2165" s="315">
        <f t="shared" si="71"/>
        <v>2.3718516174132384E-2</v>
      </c>
      <c r="L2165" s="234"/>
      <c r="M2165" s="234"/>
      <c r="N2165" s="234"/>
      <c r="O2165" s="234"/>
      <c r="P2165" s="234"/>
      <c r="Q2165" s="234"/>
      <c r="R2165" s="234"/>
    </row>
    <row r="2166" spans="8:18" ht="15" customHeight="1" x14ac:dyDescent="0.3">
      <c r="H2166" s="234" t="s">
        <v>4509</v>
      </c>
      <c r="I2166" s="306" t="s">
        <v>4510</v>
      </c>
      <c r="J2166" s="234">
        <f t="shared" si="70"/>
        <v>0.98336228889827992</v>
      </c>
      <c r="K2166" s="315">
        <f t="shared" si="71"/>
        <v>-1.6777672412682292E-2</v>
      </c>
      <c r="L2166" s="234"/>
      <c r="M2166" s="234"/>
      <c r="N2166" s="234"/>
      <c r="O2166" s="234"/>
      <c r="P2166" s="234"/>
      <c r="Q2166" s="234"/>
      <c r="R2166" s="234"/>
    </row>
    <row r="2167" spans="8:18" ht="15" customHeight="1" x14ac:dyDescent="0.3">
      <c r="H2167" s="234" t="s">
        <v>4511</v>
      </c>
      <c r="I2167" s="306" t="s">
        <v>4512</v>
      </c>
      <c r="J2167" s="234">
        <f t="shared" si="70"/>
        <v>0.99268201733942385</v>
      </c>
      <c r="K2167" s="315">
        <f t="shared" si="71"/>
        <v>-7.3448904498789949E-3</v>
      </c>
      <c r="L2167" s="234"/>
      <c r="M2167" s="234"/>
      <c r="N2167" s="234"/>
      <c r="O2167" s="234"/>
      <c r="P2167" s="234"/>
      <c r="Q2167" s="234"/>
      <c r="R2167" s="234"/>
    </row>
    <row r="2168" spans="8:18" ht="15" customHeight="1" x14ac:dyDescent="0.3">
      <c r="H2168" s="234" t="s">
        <v>4513</v>
      </c>
      <c r="I2168" s="306" t="s">
        <v>4514</v>
      </c>
      <c r="J2168" s="234">
        <f t="shared" si="70"/>
        <v>0.99554524361948959</v>
      </c>
      <c r="K2168" s="315">
        <f t="shared" si="71"/>
        <v>-4.4647083745192632E-3</v>
      </c>
      <c r="L2168" s="234"/>
      <c r="M2168" s="234"/>
      <c r="N2168" s="234"/>
      <c r="O2168" s="234"/>
      <c r="P2168" s="234"/>
      <c r="Q2168" s="234"/>
      <c r="R2168" s="234"/>
    </row>
    <row r="2169" spans="8:18" ht="15" customHeight="1" x14ac:dyDescent="0.3">
      <c r="H2169" s="234" t="s">
        <v>4515</v>
      </c>
      <c r="I2169" s="306" t="s">
        <v>4516</v>
      </c>
      <c r="J2169" s="234">
        <f t="shared" si="70"/>
        <v>1.0008824485625378</v>
      </c>
      <c r="K2169" s="315">
        <f t="shared" si="71"/>
        <v>8.8205943371235578E-4</v>
      </c>
      <c r="L2169" s="234"/>
      <c r="M2169" s="234"/>
      <c r="N2169" s="234"/>
      <c r="O2169" s="234"/>
      <c r="P2169" s="234"/>
      <c r="Q2169" s="234"/>
      <c r="R2169" s="234"/>
    </row>
    <row r="2170" spans="8:18" ht="15" customHeight="1" x14ac:dyDescent="0.3">
      <c r="H2170" s="234" t="s">
        <v>4517</v>
      </c>
      <c r="I2170" s="306" t="s">
        <v>4518</v>
      </c>
      <c r="J2170" s="234">
        <f t="shared" si="70"/>
        <v>1.0060901529547366</v>
      </c>
      <c r="K2170" s="315">
        <f t="shared" si="71"/>
        <v>6.0716829254972866E-3</v>
      </c>
      <c r="L2170" s="234"/>
      <c r="M2170" s="234"/>
      <c r="N2170" s="234"/>
      <c r="O2170" s="234"/>
      <c r="P2170" s="234"/>
      <c r="Q2170" s="234"/>
      <c r="R2170" s="234"/>
    </row>
    <row r="2171" spans="8:18" ht="15" customHeight="1" x14ac:dyDescent="0.3">
      <c r="H2171" s="234" t="s">
        <v>4519</v>
      </c>
      <c r="I2171" s="306" t="s">
        <v>4520</v>
      </c>
      <c r="J2171" s="234">
        <f t="shared" si="70"/>
        <v>0.99115399459668085</v>
      </c>
      <c r="K2171" s="315">
        <f t="shared" si="71"/>
        <v>-8.8853635895167257E-3</v>
      </c>
      <c r="L2171" s="234"/>
      <c r="M2171" s="234"/>
      <c r="N2171" s="234"/>
      <c r="O2171" s="234"/>
      <c r="P2171" s="234"/>
      <c r="Q2171" s="234"/>
      <c r="R2171" s="234"/>
    </row>
    <row r="2172" spans="8:18" ht="15" customHeight="1" x14ac:dyDescent="0.3">
      <c r="H2172" s="234" t="s">
        <v>4521</v>
      </c>
      <c r="I2172" s="306" t="s">
        <v>4522</v>
      </c>
      <c r="J2172" s="234">
        <f t="shared" si="70"/>
        <v>0.98487152197050332</v>
      </c>
      <c r="K2172" s="315">
        <f t="shared" si="71"/>
        <v>-1.5244080865085932E-2</v>
      </c>
      <c r="L2172" s="234"/>
      <c r="M2172" s="234"/>
      <c r="N2172" s="234"/>
      <c r="O2172" s="234"/>
      <c r="P2172" s="234"/>
      <c r="Q2172" s="234"/>
      <c r="R2172" s="234"/>
    </row>
    <row r="2173" spans="8:18" ht="15" customHeight="1" x14ac:dyDescent="0.3">
      <c r="H2173" s="234" t="s">
        <v>4523</v>
      </c>
      <c r="I2173" s="306" t="s">
        <v>4524</v>
      </c>
      <c r="J2173" s="234">
        <f t="shared" si="70"/>
        <v>1.0085567073544746</v>
      </c>
      <c r="K2173" s="315">
        <f t="shared" si="71"/>
        <v>8.5203062358517045E-3</v>
      </c>
      <c r="L2173" s="234"/>
      <c r="M2173" s="234"/>
      <c r="N2173" s="234"/>
      <c r="O2173" s="234"/>
      <c r="P2173" s="234"/>
      <c r="Q2173" s="234"/>
      <c r="R2173" s="234"/>
    </row>
    <row r="2174" spans="8:18" ht="15" customHeight="1" x14ac:dyDescent="0.3">
      <c r="H2174" s="234" t="s">
        <v>4525</v>
      </c>
      <c r="I2174" s="306" t="s">
        <v>4526</v>
      </c>
      <c r="J2174" s="234">
        <f t="shared" si="70"/>
        <v>1.0034313499207559</v>
      </c>
      <c r="K2174" s="315">
        <f t="shared" si="71"/>
        <v>3.4254762721439625E-3</v>
      </c>
      <c r="L2174" s="234"/>
      <c r="M2174" s="234"/>
      <c r="N2174" s="234"/>
      <c r="O2174" s="234"/>
      <c r="P2174" s="234"/>
      <c r="Q2174" s="234"/>
      <c r="R2174" s="234"/>
    </row>
    <row r="2175" spans="8:18" ht="15" customHeight="1" x14ac:dyDescent="0.3">
      <c r="H2175" s="234" t="s">
        <v>4527</v>
      </c>
      <c r="I2175" s="306" t="s">
        <v>4528</v>
      </c>
      <c r="J2175" s="234">
        <f t="shared" si="70"/>
        <v>0.9957558299880489</v>
      </c>
      <c r="K2175" s="315">
        <f t="shared" si="71"/>
        <v>-4.2532020662714148E-3</v>
      </c>
      <c r="L2175" s="234"/>
      <c r="M2175" s="234"/>
      <c r="N2175" s="234"/>
      <c r="O2175" s="234"/>
      <c r="P2175" s="234"/>
      <c r="Q2175" s="234"/>
      <c r="R2175" s="234"/>
    </row>
    <row r="2176" spans="8:18" ht="15" customHeight="1" x14ac:dyDescent="0.3">
      <c r="H2176" s="234" t="s">
        <v>4529</v>
      </c>
      <c r="I2176" s="306" t="s">
        <v>4530</v>
      </c>
      <c r="J2176" s="234">
        <f t="shared" si="70"/>
        <v>0.9958041531255245</v>
      </c>
      <c r="K2176" s="315">
        <f t="shared" si="71"/>
        <v>-4.2046741405299681E-3</v>
      </c>
      <c r="L2176" s="234"/>
      <c r="M2176" s="234"/>
      <c r="N2176" s="234"/>
      <c r="O2176" s="234"/>
      <c r="P2176" s="234"/>
      <c r="Q2176" s="234"/>
      <c r="R2176" s="234"/>
    </row>
    <row r="2177" spans="8:18" ht="15" customHeight="1" x14ac:dyDescent="0.3">
      <c r="H2177" s="234" t="s">
        <v>4531</v>
      </c>
      <c r="I2177" s="306" t="s">
        <v>4532</v>
      </c>
      <c r="J2177" s="234">
        <f t="shared" si="70"/>
        <v>1.0140014852404233</v>
      </c>
      <c r="K2177" s="315">
        <f t="shared" si="71"/>
        <v>1.3904369902063993E-2</v>
      </c>
      <c r="L2177" s="234"/>
      <c r="M2177" s="234"/>
      <c r="N2177" s="234"/>
      <c r="O2177" s="234"/>
      <c r="P2177" s="234"/>
      <c r="Q2177" s="234"/>
      <c r="R2177" s="234"/>
    </row>
    <row r="2178" spans="8:18" ht="15" customHeight="1" x14ac:dyDescent="0.3">
      <c r="H2178" s="234" t="s">
        <v>4533</v>
      </c>
      <c r="I2178" s="306" t="s">
        <v>4534</v>
      </c>
      <c r="J2178" s="234">
        <f t="shared" si="70"/>
        <v>1.0051004540648132</v>
      </c>
      <c r="K2178" s="315">
        <f t="shared" si="71"/>
        <v>5.0874908092880004E-3</v>
      </c>
      <c r="L2178" s="234"/>
      <c r="M2178" s="234"/>
      <c r="N2178" s="234"/>
      <c r="O2178" s="234"/>
      <c r="P2178" s="234"/>
      <c r="Q2178" s="234"/>
      <c r="R2178" s="234"/>
    </row>
    <row r="2179" spans="8:18" ht="15" customHeight="1" x14ac:dyDescent="0.3">
      <c r="H2179" s="234" t="s">
        <v>4535</v>
      </c>
      <c r="I2179" s="306" t="s">
        <v>4536</v>
      </c>
      <c r="J2179" s="234">
        <f t="shared" si="70"/>
        <v>1.0075044258879193</v>
      </c>
      <c r="K2179" s="315">
        <f t="shared" si="71"/>
        <v>7.4764077699149174E-3</v>
      </c>
      <c r="L2179" s="234"/>
      <c r="M2179" s="234"/>
      <c r="N2179" s="234"/>
      <c r="O2179" s="234"/>
      <c r="P2179" s="234"/>
      <c r="Q2179" s="234"/>
      <c r="R2179" s="234"/>
    </row>
    <row r="2180" spans="8:18" ht="15" customHeight="1" x14ac:dyDescent="0.3">
      <c r="H2180" s="234" t="s">
        <v>4537</v>
      </c>
      <c r="I2180" s="306" t="s">
        <v>4538</v>
      </c>
      <c r="J2180" s="234">
        <f t="shared" si="70"/>
        <v>1.0043270289832269</v>
      </c>
      <c r="K2180" s="315">
        <f t="shared" si="71"/>
        <v>4.317694311226224E-3</v>
      </c>
      <c r="L2180" s="234"/>
      <c r="M2180" s="234"/>
      <c r="N2180" s="234"/>
      <c r="O2180" s="234"/>
      <c r="P2180" s="234"/>
      <c r="Q2180" s="234"/>
      <c r="R2180" s="234"/>
    </row>
    <row r="2181" spans="8:18" ht="15" customHeight="1" x14ac:dyDescent="0.3">
      <c r="H2181" s="234" t="s">
        <v>4539</v>
      </c>
      <c r="I2181" s="306" t="s">
        <v>4540</v>
      </c>
      <c r="J2181" s="234">
        <f t="shared" ref="J2181:J2244" si="72">I2181/I2182</f>
        <v>1.0005195132318445</v>
      </c>
      <c r="K2181" s="315">
        <f t="shared" ref="K2181:K2244" si="73">LN(J2181)</f>
        <v>5.1937833156511556E-4</v>
      </c>
      <c r="L2181" s="234"/>
      <c r="M2181" s="234"/>
      <c r="N2181" s="234"/>
      <c r="O2181" s="234"/>
      <c r="P2181" s="234"/>
      <c r="Q2181" s="234"/>
      <c r="R2181" s="234"/>
    </row>
    <row r="2182" spans="8:18" ht="15" customHeight="1" x14ac:dyDescent="0.3">
      <c r="H2182" s="234" t="s">
        <v>4541</v>
      </c>
      <c r="I2182" s="306" t="s">
        <v>4542</v>
      </c>
      <c r="J2182" s="234">
        <f t="shared" si="72"/>
        <v>1.0085900285805018</v>
      </c>
      <c r="K2182" s="315">
        <f t="shared" si="73"/>
        <v>8.5533442151287734E-3</v>
      </c>
      <c r="L2182" s="234"/>
      <c r="M2182" s="234"/>
      <c r="N2182" s="234"/>
      <c r="O2182" s="234"/>
      <c r="P2182" s="234"/>
      <c r="Q2182" s="234"/>
      <c r="R2182" s="234"/>
    </row>
    <row r="2183" spans="8:18" ht="15" customHeight="1" x14ac:dyDescent="0.3">
      <c r="H2183" s="234" t="s">
        <v>4543</v>
      </c>
      <c r="I2183" s="306" t="s">
        <v>4544</v>
      </c>
      <c r="J2183" s="234">
        <f t="shared" si="72"/>
        <v>0.97065532334627946</v>
      </c>
      <c r="K2183" s="315">
        <f t="shared" si="73"/>
        <v>-2.9783844514989572E-2</v>
      </c>
      <c r="L2183" s="234"/>
      <c r="M2183" s="234"/>
      <c r="N2183" s="234"/>
      <c r="O2183" s="234"/>
      <c r="P2183" s="234"/>
      <c r="Q2183" s="234"/>
      <c r="R2183" s="234"/>
    </row>
    <row r="2184" spans="8:18" ht="15" customHeight="1" x14ac:dyDescent="0.3">
      <c r="H2184" s="234" t="s">
        <v>4545</v>
      </c>
      <c r="I2184" s="306" t="s">
        <v>4546</v>
      </c>
      <c r="J2184" s="234">
        <f t="shared" si="72"/>
        <v>1.01049680735088</v>
      </c>
      <c r="K2184" s="315">
        <f t="shared" si="73"/>
        <v>1.0442098381911168E-2</v>
      </c>
      <c r="L2184" s="234"/>
      <c r="M2184" s="234"/>
      <c r="N2184" s="234"/>
      <c r="O2184" s="234"/>
      <c r="P2184" s="234"/>
      <c r="Q2184" s="234"/>
      <c r="R2184" s="234"/>
    </row>
    <row r="2185" spans="8:18" ht="15" customHeight="1" x14ac:dyDescent="0.3">
      <c r="H2185" s="234" t="s">
        <v>4547</v>
      </c>
      <c r="I2185" s="306" t="s">
        <v>4548</v>
      </c>
      <c r="J2185" s="234">
        <f t="shared" si="72"/>
        <v>0.97608804706383112</v>
      </c>
      <c r="K2185" s="315">
        <f t="shared" si="73"/>
        <v>-2.4202484482351693E-2</v>
      </c>
      <c r="L2185" s="234"/>
      <c r="M2185" s="234"/>
      <c r="N2185" s="234"/>
      <c r="O2185" s="234"/>
      <c r="P2185" s="234"/>
      <c r="Q2185" s="234"/>
      <c r="R2185" s="234"/>
    </row>
    <row r="2186" spans="8:18" ht="15" customHeight="1" x14ac:dyDescent="0.3">
      <c r="H2186" s="234" t="s">
        <v>4549</v>
      </c>
      <c r="I2186" s="306" t="s">
        <v>4550</v>
      </c>
      <c r="J2186" s="234">
        <f t="shared" si="72"/>
        <v>0.99322079961347987</v>
      </c>
      <c r="K2186" s="315">
        <f t="shared" si="73"/>
        <v>-6.8022835481960347E-3</v>
      </c>
      <c r="L2186" s="234"/>
      <c r="M2186" s="234"/>
      <c r="N2186" s="234"/>
      <c r="O2186" s="234"/>
      <c r="P2186" s="234"/>
      <c r="Q2186" s="234"/>
      <c r="R2186" s="234"/>
    </row>
    <row r="2187" spans="8:18" ht="15" customHeight="1" x14ac:dyDescent="0.3">
      <c r="H2187" s="234" t="s">
        <v>4551</v>
      </c>
      <c r="I2187" s="306" t="s">
        <v>4552</v>
      </c>
      <c r="J2187" s="234">
        <f t="shared" si="72"/>
        <v>1.0236468733578561</v>
      </c>
      <c r="K2187" s="315">
        <f t="shared" si="73"/>
        <v>2.3371616906330991E-2</v>
      </c>
      <c r="L2187" s="234"/>
      <c r="M2187" s="234"/>
      <c r="N2187" s="234"/>
      <c r="O2187" s="234"/>
      <c r="P2187" s="234"/>
      <c r="Q2187" s="234"/>
      <c r="R2187" s="234"/>
    </row>
    <row r="2188" spans="8:18" ht="15" customHeight="1" x14ac:dyDescent="0.3">
      <c r="H2188" s="234" t="s">
        <v>4553</v>
      </c>
      <c r="I2188" s="306" t="s">
        <v>4554</v>
      </c>
      <c r="J2188" s="234">
        <f t="shared" si="72"/>
        <v>0.98765092885164318</v>
      </c>
      <c r="K2188" s="315">
        <f t="shared" si="73"/>
        <v>-1.2425954542166467E-2</v>
      </c>
      <c r="L2188" s="234"/>
      <c r="M2188" s="234"/>
      <c r="N2188" s="234"/>
      <c r="O2188" s="234"/>
      <c r="P2188" s="234"/>
      <c r="Q2188" s="234"/>
      <c r="R2188" s="234"/>
    </row>
    <row r="2189" spans="8:18" ht="15" customHeight="1" x14ac:dyDescent="0.3">
      <c r="H2189" s="234" t="s">
        <v>4555</v>
      </c>
      <c r="I2189" s="306" t="s">
        <v>4556</v>
      </c>
      <c r="J2189" s="234">
        <f t="shared" si="72"/>
        <v>1.0129418313387142</v>
      </c>
      <c r="K2189" s="315">
        <f t="shared" si="73"/>
        <v>1.2858801444793891E-2</v>
      </c>
      <c r="L2189" s="234"/>
      <c r="M2189" s="234"/>
      <c r="N2189" s="234"/>
      <c r="O2189" s="234"/>
      <c r="P2189" s="234"/>
      <c r="Q2189" s="234"/>
      <c r="R2189" s="234"/>
    </row>
    <row r="2190" spans="8:18" ht="15" customHeight="1" x14ac:dyDescent="0.3">
      <c r="H2190" s="234" t="s">
        <v>4557</v>
      </c>
      <c r="I2190" s="306" t="s">
        <v>4558</v>
      </c>
      <c r="J2190" s="234">
        <f t="shared" si="72"/>
        <v>1.00136252438609</v>
      </c>
      <c r="K2190" s="315">
        <f t="shared" si="73"/>
        <v>1.3615969920410496E-3</v>
      </c>
      <c r="L2190" s="234"/>
      <c r="M2190" s="234"/>
      <c r="N2190" s="234"/>
      <c r="O2190" s="234"/>
      <c r="P2190" s="234"/>
      <c r="Q2190" s="234"/>
      <c r="R2190" s="234"/>
    </row>
    <row r="2191" spans="8:18" ht="15" customHeight="1" x14ac:dyDescent="0.3">
      <c r="H2191" s="234" t="s">
        <v>4559</v>
      </c>
      <c r="I2191" s="306" t="s">
        <v>4560</v>
      </c>
      <c r="J2191" s="234">
        <f t="shared" si="72"/>
        <v>0.99796038196483206</v>
      </c>
      <c r="K2191" s="315">
        <f t="shared" si="73"/>
        <v>-2.0417008886649073E-3</v>
      </c>
      <c r="L2191" s="234"/>
      <c r="M2191" s="234"/>
      <c r="N2191" s="234"/>
      <c r="O2191" s="234"/>
      <c r="P2191" s="234"/>
      <c r="Q2191" s="234"/>
      <c r="R2191" s="234"/>
    </row>
    <row r="2192" spans="8:18" ht="15" customHeight="1" x14ac:dyDescent="0.3">
      <c r="H2192" s="234" t="s">
        <v>4561</v>
      </c>
      <c r="I2192" s="306" t="s">
        <v>4562</v>
      </c>
      <c r="J2192" s="234">
        <f t="shared" si="72"/>
        <v>0.9843341242319158</v>
      </c>
      <c r="K2192" s="315">
        <f t="shared" si="73"/>
        <v>-1.578988242010864E-2</v>
      </c>
      <c r="L2192" s="234"/>
      <c r="M2192" s="234"/>
      <c r="N2192" s="234"/>
      <c r="O2192" s="234"/>
      <c r="P2192" s="234"/>
      <c r="Q2192" s="234"/>
      <c r="R2192" s="234"/>
    </row>
    <row r="2193" spans="8:18" ht="15" customHeight="1" x14ac:dyDescent="0.3">
      <c r="H2193" s="234" t="s">
        <v>4563</v>
      </c>
      <c r="I2193" s="306" t="s">
        <v>4564</v>
      </c>
      <c r="J2193" s="234">
        <f t="shared" si="72"/>
        <v>0.99103145772726586</v>
      </c>
      <c r="K2193" s="315">
        <f t="shared" si="73"/>
        <v>-9.0090017379325787E-3</v>
      </c>
      <c r="L2193" s="234"/>
      <c r="M2193" s="234"/>
      <c r="N2193" s="234"/>
      <c r="O2193" s="234"/>
      <c r="P2193" s="234"/>
      <c r="Q2193" s="234"/>
      <c r="R2193" s="234"/>
    </row>
    <row r="2194" spans="8:18" ht="15" customHeight="1" x14ac:dyDescent="0.3">
      <c r="H2194" s="234" t="s">
        <v>4565</v>
      </c>
      <c r="I2194" s="306" t="s">
        <v>4566</v>
      </c>
      <c r="J2194" s="234">
        <f t="shared" si="72"/>
        <v>0.99336687329679874</v>
      </c>
      <c r="K2194" s="315">
        <f t="shared" si="73"/>
        <v>-6.6552236569322031E-3</v>
      </c>
      <c r="L2194" s="234"/>
      <c r="M2194" s="234"/>
      <c r="N2194" s="234"/>
      <c r="O2194" s="234"/>
      <c r="P2194" s="234"/>
      <c r="Q2194" s="234"/>
      <c r="R2194" s="234"/>
    </row>
    <row r="2195" spans="8:18" ht="15" customHeight="1" x14ac:dyDescent="0.3">
      <c r="H2195" s="234" t="s">
        <v>4567</v>
      </c>
      <c r="I2195" s="306" t="s">
        <v>4568</v>
      </c>
      <c r="J2195" s="234">
        <f t="shared" si="72"/>
        <v>1.0140601275432737</v>
      </c>
      <c r="K2195" s="315">
        <f t="shared" si="73"/>
        <v>1.3962200790925604E-2</v>
      </c>
      <c r="L2195" s="234"/>
      <c r="M2195" s="234"/>
      <c r="N2195" s="234"/>
      <c r="O2195" s="234"/>
      <c r="P2195" s="234"/>
      <c r="Q2195" s="234"/>
      <c r="R2195" s="234"/>
    </row>
    <row r="2196" spans="8:18" ht="15" customHeight="1" x14ac:dyDescent="0.3">
      <c r="H2196" s="234" t="s">
        <v>4569</v>
      </c>
      <c r="I2196" s="306" t="s">
        <v>4570</v>
      </c>
      <c r="J2196" s="234">
        <f t="shared" si="72"/>
        <v>0.98298507462686568</v>
      </c>
      <c r="K2196" s="315">
        <f t="shared" si="73"/>
        <v>-1.7161342442747821E-2</v>
      </c>
      <c r="L2196" s="234"/>
      <c r="M2196" s="234"/>
      <c r="N2196" s="234"/>
      <c r="O2196" s="234"/>
      <c r="P2196" s="234"/>
      <c r="Q2196" s="234"/>
      <c r="R2196" s="234"/>
    </row>
    <row r="2197" spans="8:18" ht="15" customHeight="1" x14ac:dyDescent="0.3">
      <c r="H2197" s="234" t="s">
        <v>4571</v>
      </c>
      <c r="I2197" s="306" t="s">
        <v>4572</v>
      </c>
      <c r="J2197" s="234">
        <f t="shared" si="72"/>
        <v>1.0050854322617422</v>
      </c>
      <c r="K2197" s="315">
        <f t="shared" si="73"/>
        <v>5.0725451237437318E-3</v>
      </c>
      <c r="L2197" s="234"/>
      <c r="M2197" s="234"/>
      <c r="N2197" s="234"/>
      <c r="O2197" s="234"/>
      <c r="P2197" s="234"/>
      <c r="Q2197" s="234"/>
      <c r="R2197" s="234"/>
    </row>
    <row r="2198" spans="8:18" ht="15" customHeight="1" x14ac:dyDescent="0.3">
      <c r="H2198" s="234" t="s">
        <v>4573</v>
      </c>
      <c r="I2198" s="306" t="s">
        <v>4574</v>
      </c>
      <c r="J2198" s="234">
        <f t="shared" si="72"/>
        <v>0.98818524118710904</v>
      </c>
      <c r="K2198" s="315">
        <f t="shared" si="73"/>
        <v>-1.1885107728455266E-2</v>
      </c>
      <c r="L2198" s="234"/>
      <c r="M2198" s="234"/>
      <c r="N2198" s="234"/>
      <c r="O2198" s="234"/>
      <c r="P2198" s="234"/>
      <c r="Q2198" s="234"/>
      <c r="R2198" s="234"/>
    </row>
    <row r="2199" spans="8:18" ht="15" customHeight="1" x14ac:dyDescent="0.3">
      <c r="H2199" s="234" t="s">
        <v>4575</v>
      </c>
      <c r="I2199" s="306" t="s">
        <v>4576</v>
      </c>
      <c r="J2199" s="234">
        <f t="shared" si="72"/>
        <v>0.98349613646304124</v>
      </c>
      <c r="K2199" s="315">
        <f t="shared" si="73"/>
        <v>-1.6641569515552478E-2</v>
      </c>
      <c r="L2199" s="234"/>
      <c r="M2199" s="234"/>
      <c r="N2199" s="234"/>
      <c r="O2199" s="234"/>
      <c r="P2199" s="234"/>
      <c r="Q2199" s="234"/>
      <c r="R2199" s="234"/>
    </row>
    <row r="2200" spans="8:18" ht="15" customHeight="1" x14ac:dyDescent="0.3">
      <c r="H2200" s="234" t="s">
        <v>4577</v>
      </c>
      <c r="I2200" s="306" t="s">
        <v>4578</v>
      </c>
      <c r="J2200" s="234">
        <f t="shared" si="72"/>
        <v>0.99330939002490881</v>
      </c>
      <c r="K2200" s="315">
        <f t="shared" si="73"/>
        <v>-6.7130924430723804E-3</v>
      </c>
      <c r="L2200" s="234"/>
      <c r="M2200" s="234"/>
      <c r="N2200" s="234"/>
      <c r="O2200" s="234"/>
      <c r="P2200" s="234"/>
      <c r="Q2200" s="234"/>
      <c r="R2200" s="234"/>
    </row>
    <row r="2201" spans="8:18" ht="15" customHeight="1" x14ac:dyDescent="0.3">
      <c r="H2201" s="234" t="s">
        <v>4579</v>
      </c>
      <c r="I2201" s="306" t="s">
        <v>4580</v>
      </c>
      <c r="J2201" s="234">
        <f t="shared" si="72"/>
        <v>1.0075288899264621</v>
      </c>
      <c r="K2201" s="315">
        <f t="shared" si="73"/>
        <v>7.5006892925596601E-3</v>
      </c>
      <c r="L2201" s="234"/>
      <c r="M2201" s="234"/>
      <c r="N2201" s="234"/>
      <c r="O2201" s="234"/>
      <c r="P2201" s="234"/>
      <c r="Q2201" s="234"/>
      <c r="R2201" s="234"/>
    </row>
    <row r="2202" spans="8:18" ht="15" customHeight="1" x14ac:dyDescent="0.3">
      <c r="H2202" s="234" t="s">
        <v>4581</v>
      </c>
      <c r="I2202" s="306" t="s">
        <v>4582</v>
      </c>
      <c r="J2202" s="234">
        <f t="shared" si="72"/>
        <v>1.0115118956254796</v>
      </c>
      <c r="K2202" s="315">
        <f t="shared" si="73"/>
        <v>1.1446137937607357E-2</v>
      </c>
      <c r="L2202" s="234"/>
      <c r="M2202" s="234"/>
      <c r="N2202" s="234"/>
      <c r="O2202" s="234"/>
      <c r="P2202" s="234"/>
      <c r="Q2202" s="234"/>
      <c r="R2202" s="234"/>
    </row>
    <row r="2203" spans="8:18" ht="15" customHeight="1" x14ac:dyDescent="0.3">
      <c r="H2203" s="234" t="s">
        <v>4583</v>
      </c>
      <c r="I2203" s="306" t="s">
        <v>4584</v>
      </c>
      <c r="J2203" s="234">
        <f t="shared" si="72"/>
        <v>0.99914471937947913</v>
      </c>
      <c r="K2203" s="315">
        <f t="shared" si="73"/>
        <v>-8.5564658167198938E-4</v>
      </c>
      <c r="L2203" s="234"/>
      <c r="M2203" s="234"/>
      <c r="N2203" s="234"/>
      <c r="O2203" s="234"/>
      <c r="P2203" s="234"/>
      <c r="Q2203" s="234"/>
      <c r="R2203" s="234"/>
    </row>
    <row r="2204" spans="8:18" ht="15" customHeight="1" x14ac:dyDescent="0.3">
      <c r="H2204" s="234" t="s">
        <v>4585</v>
      </c>
      <c r="I2204" s="306" t="s">
        <v>4586</v>
      </c>
      <c r="J2204" s="234">
        <f t="shared" si="72"/>
        <v>0.99757277982906489</v>
      </c>
      <c r="K2204" s="315">
        <f t="shared" si="73"/>
        <v>-2.4301706450813873E-3</v>
      </c>
      <c r="L2204" s="234"/>
      <c r="M2204" s="234"/>
      <c r="N2204" s="234"/>
      <c r="O2204" s="234"/>
      <c r="P2204" s="234"/>
      <c r="Q2204" s="234"/>
      <c r="R2204" s="234"/>
    </row>
    <row r="2205" spans="8:18" ht="15" customHeight="1" x14ac:dyDescent="0.3">
      <c r="H2205" s="234" t="s">
        <v>4587</v>
      </c>
      <c r="I2205" s="306" t="s">
        <v>4588</v>
      </c>
      <c r="J2205" s="234">
        <f t="shared" si="72"/>
        <v>1.0189920853819403</v>
      </c>
      <c r="K2205" s="315">
        <f t="shared" si="73"/>
        <v>1.8813987166204593E-2</v>
      </c>
      <c r="L2205" s="234"/>
      <c r="M2205" s="234"/>
      <c r="N2205" s="234"/>
      <c r="O2205" s="234"/>
      <c r="P2205" s="234"/>
      <c r="Q2205" s="234"/>
      <c r="R2205" s="234"/>
    </row>
    <row r="2206" spans="8:18" ht="15" customHeight="1" x14ac:dyDescent="0.3">
      <c r="H2206" s="234" t="s">
        <v>4589</v>
      </c>
      <c r="I2206" s="306" t="s">
        <v>4590</v>
      </c>
      <c r="J2206" s="234">
        <f t="shared" si="72"/>
        <v>0.99613265443251553</v>
      </c>
      <c r="K2206" s="315">
        <f t="shared" si="73"/>
        <v>-3.8748430849235007E-3</v>
      </c>
      <c r="L2206" s="234"/>
      <c r="M2206" s="234"/>
      <c r="N2206" s="234"/>
      <c r="O2206" s="234"/>
      <c r="P2206" s="234"/>
      <c r="Q2206" s="234"/>
      <c r="R2206" s="234"/>
    </row>
    <row r="2207" spans="8:18" ht="15" customHeight="1" x14ac:dyDescent="0.3">
      <c r="H2207" s="234" t="s">
        <v>4591</v>
      </c>
      <c r="I2207" s="306" t="s">
        <v>4592</v>
      </c>
      <c r="J2207" s="234">
        <f t="shared" si="72"/>
        <v>1.0127939508506616</v>
      </c>
      <c r="K2207" s="315">
        <f t="shared" si="73"/>
        <v>1.2712799691144208E-2</v>
      </c>
      <c r="L2207" s="234"/>
      <c r="M2207" s="234"/>
      <c r="N2207" s="234"/>
      <c r="O2207" s="234"/>
      <c r="P2207" s="234"/>
      <c r="Q2207" s="234"/>
      <c r="R2207" s="234"/>
    </row>
    <row r="2208" spans="8:18" ht="15" customHeight="1" x14ac:dyDescent="0.3">
      <c r="H2208" s="234" t="s">
        <v>4593</v>
      </c>
      <c r="I2208" s="306" t="s">
        <v>4594</v>
      </c>
      <c r="J2208" s="234">
        <f t="shared" si="72"/>
        <v>1.0178557684907257</v>
      </c>
      <c r="K2208" s="315">
        <f t="shared" si="73"/>
        <v>1.7698226843763671E-2</v>
      </c>
      <c r="L2208" s="234"/>
      <c r="M2208" s="234"/>
      <c r="N2208" s="234"/>
      <c r="O2208" s="234"/>
      <c r="P2208" s="234"/>
      <c r="Q2208" s="234"/>
      <c r="R2208" s="234"/>
    </row>
    <row r="2209" spans="8:18" ht="15" customHeight="1" x14ac:dyDescent="0.3">
      <c r="H2209" s="234" t="s">
        <v>4595</v>
      </c>
      <c r="I2209" s="306" t="s">
        <v>4596</v>
      </c>
      <c r="J2209" s="234">
        <f t="shared" si="72"/>
        <v>1.0017733230531998</v>
      </c>
      <c r="K2209" s="315">
        <f t="shared" si="73"/>
        <v>1.771752572246875E-3</v>
      </c>
      <c r="L2209" s="234"/>
      <c r="M2209" s="234"/>
      <c r="N2209" s="234"/>
      <c r="O2209" s="234"/>
      <c r="P2209" s="234"/>
      <c r="Q2209" s="234"/>
      <c r="R2209" s="234"/>
    </row>
    <row r="2210" spans="8:18" ht="15" customHeight="1" x14ac:dyDescent="0.3">
      <c r="H2210" s="234" t="s">
        <v>4597</v>
      </c>
      <c r="I2210" s="306" t="s">
        <v>4598</v>
      </c>
      <c r="J2210" s="234">
        <f t="shared" si="72"/>
        <v>1.0101246105919004</v>
      </c>
      <c r="K2210" s="315">
        <f t="shared" si="73"/>
        <v>1.0073700066537482E-2</v>
      </c>
      <c r="L2210" s="234"/>
      <c r="M2210" s="234"/>
      <c r="N2210" s="234"/>
      <c r="O2210" s="234"/>
      <c r="P2210" s="234"/>
      <c r="Q2210" s="234"/>
      <c r="R2210" s="234"/>
    </row>
    <row r="2211" spans="8:18" ht="15" customHeight="1" x14ac:dyDescent="0.3">
      <c r="H2211" s="234" t="s">
        <v>4599</v>
      </c>
      <c r="I2211" s="306" t="s">
        <v>4600</v>
      </c>
      <c r="J2211" s="234">
        <f t="shared" si="72"/>
        <v>1.0027802942738433</v>
      </c>
      <c r="K2211" s="315">
        <f t="shared" si="73"/>
        <v>2.7764364047386729E-3</v>
      </c>
      <c r="L2211" s="234"/>
      <c r="M2211" s="234"/>
      <c r="N2211" s="234"/>
      <c r="O2211" s="234"/>
      <c r="P2211" s="234"/>
      <c r="Q2211" s="234"/>
      <c r="R2211" s="234"/>
    </row>
    <row r="2212" spans="8:18" ht="15" customHeight="1" x14ac:dyDescent="0.3">
      <c r="H2212" s="234" t="s">
        <v>4601</v>
      </c>
      <c r="I2212" s="306" t="s">
        <v>4602</v>
      </c>
      <c r="J2212" s="234">
        <f t="shared" si="72"/>
        <v>0.9856058623397016</v>
      </c>
      <c r="K2212" s="315">
        <f t="shared" si="73"/>
        <v>-1.449873822980228E-2</v>
      </c>
      <c r="L2212" s="234"/>
      <c r="M2212" s="234"/>
      <c r="N2212" s="234"/>
      <c r="O2212" s="234"/>
      <c r="P2212" s="234"/>
      <c r="Q2212" s="234"/>
      <c r="R2212" s="234"/>
    </row>
    <row r="2213" spans="8:18" ht="15" customHeight="1" x14ac:dyDescent="0.3">
      <c r="H2213" s="234" t="s">
        <v>4603</v>
      </c>
      <c r="I2213" s="306" t="s">
        <v>4604</v>
      </c>
      <c r="J2213" s="234">
        <f t="shared" si="72"/>
        <v>1.0058532959630839</v>
      </c>
      <c r="K2213" s="315">
        <f t="shared" si="73"/>
        <v>5.8362319809150418E-3</v>
      </c>
      <c r="L2213" s="234"/>
      <c r="M2213" s="234"/>
      <c r="N2213" s="234"/>
      <c r="O2213" s="234"/>
      <c r="P2213" s="234"/>
      <c r="Q2213" s="234"/>
      <c r="R2213" s="234"/>
    </row>
    <row r="2214" spans="8:18" ht="15" customHeight="1" x14ac:dyDescent="0.3">
      <c r="H2214" s="234" t="s">
        <v>4605</v>
      </c>
      <c r="I2214" s="306" t="s">
        <v>4606</v>
      </c>
      <c r="J2214" s="234">
        <f t="shared" si="72"/>
        <v>0.99605151538520864</v>
      </c>
      <c r="K2214" s="315">
        <f t="shared" si="73"/>
        <v>-3.9563004607836632E-3</v>
      </c>
      <c r="L2214" s="234"/>
      <c r="M2214" s="234"/>
      <c r="N2214" s="234"/>
      <c r="O2214" s="234"/>
      <c r="P2214" s="234"/>
      <c r="Q2214" s="234"/>
      <c r="R2214" s="234"/>
    </row>
    <row r="2215" spans="8:18" ht="15" customHeight="1" x14ac:dyDescent="0.3">
      <c r="H2215" s="234" t="s">
        <v>4607</v>
      </c>
      <c r="I2215" s="306" t="s">
        <v>4608</v>
      </c>
      <c r="J2215" s="234">
        <f t="shared" si="72"/>
        <v>1.0022879403898775</v>
      </c>
      <c r="K2215" s="315">
        <f t="shared" si="73"/>
        <v>2.285327039630948E-3</v>
      </c>
      <c r="L2215" s="234"/>
      <c r="M2215" s="234"/>
      <c r="N2215" s="234"/>
      <c r="O2215" s="234"/>
      <c r="P2215" s="234"/>
      <c r="Q2215" s="234"/>
      <c r="R2215" s="234"/>
    </row>
    <row r="2216" spans="8:18" ht="15" customHeight="1" x14ac:dyDescent="0.3">
      <c r="H2216" s="234" t="s">
        <v>4609</v>
      </c>
      <c r="I2216" s="306" t="s">
        <v>4610</v>
      </c>
      <c r="J2216" s="234">
        <f t="shared" si="72"/>
        <v>1.0058622298242885</v>
      </c>
      <c r="K2216" s="315">
        <f t="shared" si="73"/>
        <v>5.8451138144448187E-3</v>
      </c>
      <c r="L2216" s="234"/>
      <c r="M2216" s="234"/>
      <c r="N2216" s="234"/>
      <c r="O2216" s="234"/>
      <c r="P2216" s="234"/>
      <c r="Q2216" s="234"/>
      <c r="R2216" s="234"/>
    </row>
    <row r="2217" spans="8:18" ht="15" customHeight="1" x14ac:dyDescent="0.3">
      <c r="H2217" s="234" t="s">
        <v>4611</v>
      </c>
      <c r="I2217" s="306" t="s">
        <v>4612</v>
      </c>
      <c r="J2217" s="234">
        <f t="shared" si="72"/>
        <v>0.97402499053388869</v>
      </c>
      <c r="K2217" s="315">
        <f t="shared" si="73"/>
        <v>-2.6318318036424117E-2</v>
      </c>
      <c r="L2217" s="234"/>
      <c r="M2217" s="234"/>
      <c r="N2217" s="234"/>
      <c r="O2217" s="234"/>
      <c r="P2217" s="234"/>
      <c r="Q2217" s="234"/>
      <c r="R2217" s="234"/>
    </row>
    <row r="2218" spans="8:18" ht="15" customHeight="1" x14ac:dyDescent="0.3">
      <c r="H2218" s="234" t="s">
        <v>4613</v>
      </c>
      <c r="I2218" s="306" t="s">
        <v>4614</v>
      </c>
      <c r="J2218" s="234">
        <f t="shared" si="72"/>
        <v>0.99743183019865544</v>
      </c>
      <c r="K2218" s="315">
        <f t="shared" si="73"/>
        <v>-2.5714732064243519E-3</v>
      </c>
      <c r="L2218" s="234"/>
      <c r="M2218" s="234"/>
      <c r="N2218" s="234"/>
      <c r="O2218" s="234"/>
      <c r="P2218" s="234"/>
      <c r="Q2218" s="234"/>
      <c r="R2218" s="234"/>
    </row>
    <row r="2219" spans="8:18" ht="15" customHeight="1" x14ac:dyDescent="0.3">
      <c r="H2219" s="234" t="s">
        <v>4615</v>
      </c>
      <c r="I2219" s="306" t="s">
        <v>4616</v>
      </c>
      <c r="J2219" s="234">
        <f t="shared" si="72"/>
        <v>1.0053613195224933</v>
      </c>
      <c r="K2219" s="315">
        <f t="shared" si="73"/>
        <v>5.3469988114507412E-3</v>
      </c>
      <c r="L2219" s="234"/>
      <c r="M2219" s="234"/>
      <c r="N2219" s="234"/>
      <c r="O2219" s="234"/>
      <c r="P2219" s="234"/>
      <c r="Q2219" s="234"/>
      <c r="R2219" s="234"/>
    </row>
    <row r="2220" spans="8:18" ht="15" customHeight="1" x14ac:dyDescent="0.3">
      <c r="H2220" s="234" t="s">
        <v>4617</v>
      </c>
      <c r="I2220" s="306" t="s">
        <v>4618</v>
      </c>
      <c r="J2220" s="234">
        <f t="shared" si="72"/>
        <v>1.0013687796568926</v>
      </c>
      <c r="K2220" s="315">
        <f t="shared" si="73"/>
        <v>1.3678437319707261E-3</v>
      </c>
      <c r="L2220" s="234"/>
      <c r="M2220" s="234"/>
      <c r="N2220" s="234"/>
      <c r="O2220" s="234"/>
      <c r="P2220" s="234"/>
      <c r="Q2220" s="234"/>
      <c r="R2220" s="234"/>
    </row>
    <row r="2221" spans="8:18" ht="15" customHeight="1" x14ac:dyDescent="0.3">
      <c r="H2221" s="234" t="s">
        <v>4619</v>
      </c>
      <c r="I2221" s="306" t="s">
        <v>4620</v>
      </c>
      <c r="J2221" s="234">
        <f t="shared" si="72"/>
        <v>1.0191106495760938</v>
      </c>
      <c r="K2221" s="315">
        <f t="shared" si="73"/>
        <v>1.89303347793583E-2</v>
      </c>
      <c r="L2221" s="234"/>
      <c r="M2221" s="234"/>
      <c r="N2221" s="234"/>
      <c r="O2221" s="234"/>
      <c r="P2221" s="234"/>
      <c r="Q2221" s="234"/>
      <c r="R2221" s="234"/>
    </row>
    <row r="2222" spans="8:18" ht="15" customHeight="1" x14ac:dyDescent="0.3">
      <c r="H2222" s="234" t="s">
        <v>4621</v>
      </c>
      <c r="I2222" s="306" t="s">
        <v>4622</v>
      </c>
      <c r="J2222" s="234">
        <f t="shared" si="72"/>
        <v>1.0088818001282231</v>
      </c>
      <c r="K2222" s="315">
        <f t="shared" si="73"/>
        <v>8.8425889476733167E-3</v>
      </c>
      <c r="L2222" s="234"/>
      <c r="M2222" s="234"/>
      <c r="N2222" s="234"/>
      <c r="O2222" s="234"/>
      <c r="P2222" s="234"/>
      <c r="Q2222" s="234"/>
      <c r="R2222" s="234"/>
    </row>
    <row r="2223" spans="8:18" ht="15" customHeight="1" x14ac:dyDescent="0.3">
      <c r="H2223" s="234" t="s">
        <v>4623</v>
      </c>
      <c r="I2223" s="306" t="s">
        <v>4624</v>
      </c>
      <c r="J2223" s="234">
        <f t="shared" si="72"/>
        <v>0.99697560215137582</v>
      </c>
      <c r="K2223" s="315">
        <f t="shared" si="73"/>
        <v>-3.0289805821363657E-3</v>
      </c>
      <c r="L2223" s="234"/>
      <c r="M2223" s="234"/>
      <c r="N2223" s="234"/>
      <c r="O2223" s="234"/>
      <c r="P2223" s="234"/>
      <c r="Q2223" s="234"/>
      <c r="R2223" s="234"/>
    </row>
    <row r="2224" spans="8:18" ht="15" customHeight="1" x14ac:dyDescent="0.3">
      <c r="H2224" s="234" t="s">
        <v>4625</v>
      </c>
      <c r="I2224" s="306" t="s">
        <v>4626</v>
      </c>
      <c r="J2224" s="234">
        <f t="shared" si="72"/>
        <v>0.99665941578620265</v>
      </c>
      <c r="K2224" s="315">
        <f t="shared" si="73"/>
        <v>-3.3461764228788753E-3</v>
      </c>
      <c r="L2224" s="234"/>
      <c r="M2224" s="234"/>
      <c r="N2224" s="234"/>
      <c r="O2224" s="234"/>
      <c r="P2224" s="234"/>
      <c r="Q2224" s="234"/>
      <c r="R2224" s="234"/>
    </row>
    <row r="2225" spans="8:18" ht="15" customHeight="1" x14ac:dyDescent="0.3">
      <c r="H2225" s="234" t="s">
        <v>4627</v>
      </c>
      <c r="I2225" s="306" t="s">
        <v>4628</v>
      </c>
      <c r="J2225" s="234">
        <f t="shared" si="72"/>
        <v>1.0083506979804784</v>
      </c>
      <c r="K2225" s="315">
        <f t="shared" si="73"/>
        <v>8.3160238040775169E-3</v>
      </c>
      <c r="L2225" s="234"/>
      <c r="M2225" s="234"/>
      <c r="N2225" s="234"/>
      <c r="O2225" s="234"/>
      <c r="P2225" s="234"/>
      <c r="Q2225" s="234"/>
      <c r="R2225" s="234"/>
    </row>
    <row r="2226" spans="8:18" ht="15" customHeight="1" x14ac:dyDescent="0.3">
      <c r="H2226" s="234" t="s">
        <v>4629</v>
      </c>
      <c r="I2226" s="306" t="s">
        <v>4630</v>
      </c>
      <c r="J2226" s="234">
        <f t="shared" si="72"/>
        <v>1.0027493244517061</v>
      </c>
      <c r="K2226" s="315">
        <f t="shared" si="73"/>
        <v>2.7455519721673095E-3</v>
      </c>
      <c r="L2226" s="234"/>
      <c r="M2226" s="234"/>
      <c r="N2226" s="234"/>
      <c r="O2226" s="234"/>
      <c r="P2226" s="234"/>
      <c r="Q2226" s="234"/>
      <c r="R2226" s="234"/>
    </row>
    <row r="2227" spans="8:18" ht="15" customHeight="1" x14ac:dyDescent="0.3">
      <c r="H2227" s="234" t="s">
        <v>4631</v>
      </c>
      <c r="I2227" s="306" t="s">
        <v>4632</v>
      </c>
      <c r="J2227" s="234">
        <f t="shared" si="72"/>
        <v>0.99549577729121053</v>
      </c>
      <c r="K2227" s="315">
        <f t="shared" si="73"/>
        <v>-4.5143972837579293E-3</v>
      </c>
      <c r="L2227" s="234"/>
      <c r="M2227" s="234"/>
      <c r="N2227" s="234"/>
      <c r="O2227" s="234"/>
      <c r="P2227" s="234"/>
      <c r="Q2227" s="234"/>
      <c r="R2227" s="234"/>
    </row>
    <row r="2228" spans="8:18" ht="15" customHeight="1" x14ac:dyDescent="0.3">
      <c r="H2228" s="234" t="s">
        <v>4633</v>
      </c>
      <c r="I2228" s="306" t="s">
        <v>4634</v>
      </c>
      <c r="J2228" s="234">
        <f t="shared" si="72"/>
        <v>1.0238918780425315</v>
      </c>
      <c r="K2228" s="315">
        <f t="shared" si="73"/>
        <v>2.3610933193436306E-2</v>
      </c>
      <c r="L2228" s="234"/>
      <c r="M2228" s="234"/>
      <c r="N2228" s="234"/>
      <c r="O2228" s="234"/>
      <c r="P2228" s="234"/>
      <c r="Q2228" s="234"/>
      <c r="R2228" s="234"/>
    </row>
    <row r="2229" spans="8:18" ht="15" customHeight="1" x14ac:dyDescent="0.3">
      <c r="H2229" s="234" t="s">
        <v>4635</v>
      </c>
      <c r="I2229" s="306" t="s">
        <v>4636</v>
      </c>
      <c r="J2229" s="234">
        <f t="shared" si="72"/>
        <v>1.0050535938455596</v>
      </c>
      <c r="K2229" s="315">
        <f t="shared" si="73"/>
        <v>5.040867298706014E-3</v>
      </c>
      <c r="L2229" s="234"/>
      <c r="M2229" s="234"/>
      <c r="N2229" s="234"/>
      <c r="O2229" s="234"/>
      <c r="P2229" s="234"/>
      <c r="Q2229" s="234"/>
      <c r="R2229" s="234"/>
    </row>
    <row r="2230" spans="8:18" ht="15" customHeight="1" x14ac:dyDescent="0.3">
      <c r="H2230" s="234" t="s">
        <v>4637</v>
      </c>
      <c r="I2230" s="306" t="s">
        <v>4638</v>
      </c>
      <c r="J2230" s="234">
        <f t="shared" si="72"/>
        <v>1.0068708475125587</v>
      </c>
      <c r="K2230" s="315">
        <f t="shared" si="73"/>
        <v>6.847350806577627E-3</v>
      </c>
      <c r="L2230" s="234"/>
      <c r="M2230" s="234"/>
      <c r="N2230" s="234"/>
      <c r="O2230" s="234"/>
      <c r="P2230" s="234"/>
      <c r="Q2230" s="234"/>
      <c r="R2230" s="234"/>
    </row>
    <row r="2231" spans="8:18" ht="15" customHeight="1" x14ac:dyDescent="0.3">
      <c r="H2231" s="234" t="s">
        <v>4639</v>
      </c>
      <c r="I2231" s="306" t="s">
        <v>4640</v>
      </c>
      <c r="J2231" s="234">
        <f t="shared" si="72"/>
        <v>1.0004863813229572</v>
      </c>
      <c r="K2231" s="315">
        <f t="shared" si="73"/>
        <v>4.8626307790144004E-4</v>
      </c>
      <c r="L2231" s="234"/>
      <c r="M2231" s="234"/>
      <c r="N2231" s="234"/>
      <c r="O2231" s="234"/>
      <c r="P2231" s="234"/>
      <c r="Q2231" s="234"/>
      <c r="R2231" s="234"/>
    </row>
    <row r="2232" spans="8:18" ht="15" customHeight="1" x14ac:dyDescent="0.3">
      <c r="H2232" s="234" t="s">
        <v>4641</v>
      </c>
      <c r="I2232" s="306" t="s">
        <v>4642</v>
      </c>
      <c r="J2232" s="234">
        <f t="shared" si="72"/>
        <v>0.99368475318984406</v>
      </c>
      <c r="K2232" s="315">
        <f t="shared" si="73"/>
        <v>-6.3352723365740831E-3</v>
      </c>
      <c r="L2232" s="234"/>
      <c r="M2232" s="234"/>
      <c r="N2232" s="234"/>
      <c r="O2232" s="234"/>
      <c r="P2232" s="234"/>
      <c r="Q2232" s="234"/>
      <c r="R2232" s="234"/>
    </row>
    <row r="2233" spans="8:18" ht="15" customHeight="1" x14ac:dyDescent="0.3">
      <c r="H2233" s="234" t="s">
        <v>4643</v>
      </c>
      <c r="I2233" s="306" t="s">
        <v>4644</v>
      </c>
      <c r="J2233" s="234">
        <f t="shared" si="72"/>
        <v>1.0077604961522226</v>
      </c>
      <c r="K2233" s="315">
        <f t="shared" si="73"/>
        <v>7.7305383935176971E-3</v>
      </c>
      <c r="L2233" s="234"/>
      <c r="M2233" s="234"/>
      <c r="N2233" s="234"/>
      <c r="O2233" s="234"/>
      <c r="P2233" s="234"/>
      <c r="Q2233" s="234"/>
      <c r="R2233" s="234"/>
    </row>
    <row r="2234" spans="8:18" ht="15" customHeight="1" x14ac:dyDescent="0.3">
      <c r="H2234" s="234" t="s">
        <v>4645</v>
      </c>
      <c r="I2234" s="306" t="s">
        <v>4646</v>
      </c>
      <c r="J2234" s="234">
        <f t="shared" si="72"/>
        <v>0.99648929802138775</v>
      </c>
      <c r="K2234" s="315">
        <f t="shared" si="73"/>
        <v>-3.516878954054298E-3</v>
      </c>
      <c r="L2234" s="234"/>
      <c r="M2234" s="234"/>
      <c r="N2234" s="234"/>
      <c r="O2234" s="234"/>
      <c r="P2234" s="234"/>
      <c r="Q2234" s="234"/>
      <c r="R2234" s="234"/>
    </row>
    <row r="2235" spans="8:18" ht="15" customHeight="1" x14ac:dyDescent="0.3">
      <c r="H2235" s="234" t="s">
        <v>4647</v>
      </c>
      <c r="I2235" s="306" t="s">
        <v>4648</v>
      </c>
      <c r="J2235" s="234">
        <f t="shared" si="72"/>
        <v>1.0365581660545689</v>
      </c>
      <c r="K2235" s="315">
        <f t="shared" si="73"/>
        <v>3.5905769075612971E-2</v>
      </c>
      <c r="L2235" s="234"/>
      <c r="M2235" s="234"/>
      <c r="N2235" s="234"/>
      <c r="O2235" s="234"/>
      <c r="P2235" s="234"/>
      <c r="Q2235" s="234"/>
      <c r="R2235" s="234"/>
    </row>
    <row r="2236" spans="8:18" ht="15" customHeight="1" x14ac:dyDescent="0.3">
      <c r="H2236" s="234" t="s">
        <v>4649</v>
      </c>
      <c r="I2236" s="306" t="s">
        <v>4650</v>
      </c>
      <c r="J2236" s="234">
        <f t="shared" si="72"/>
        <v>0.99010410613180133</v>
      </c>
      <c r="K2236" s="315">
        <f t="shared" si="73"/>
        <v>-9.9451836732954903E-3</v>
      </c>
      <c r="L2236" s="234"/>
      <c r="M2236" s="234"/>
      <c r="N2236" s="234"/>
      <c r="O2236" s="234"/>
      <c r="P2236" s="234"/>
      <c r="Q2236" s="234"/>
      <c r="R2236" s="234"/>
    </row>
    <row r="2237" spans="8:18" ht="15" customHeight="1" x14ac:dyDescent="0.3">
      <c r="H2237" s="234" t="s">
        <v>4651</v>
      </c>
      <c r="I2237" s="306" t="s">
        <v>4652</v>
      </c>
      <c r="J2237" s="234">
        <f t="shared" si="72"/>
        <v>1.0074437121541602</v>
      </c>
      <c r="K2237" s="315">
        <f t="shared" si="73"/>
        <v>7.4161444483621117E-3</v>
      </c>
      <c r="L2237" s="234"/>
      <c r="M2237" s="234"/>
      <c r="N2237" s="234"/>
      <c r="O2237" s="234"/>
      <c r="P2237" s="234"/>
      <c r="Q2237" s="234"/>
      <c r="R2237" s="234"/>
    </row>
    <row r="2238" spans="8:18" ht="15" customHeight="1" x14ac:dyDescent="0.3">
      <c r="H2238" s="234" t="s">
        <v>4653</v>
      </c>
      <c r="I2238" s="306" t="s">
        <v>4654</v>
      </c>
      <c r="J2238" s="234">
        <f t="shared" si="72"/>
        <v>1.0186409487459105</v>
      </c>
      <c r="K2238" s="315">
        <f t="shared" si="73"/>
        <v>1.8469335667505356E-2</v>
      </c>
      <c r="L2238" s="234"/>
      <c r="M2238" s="234"/>
      <c r="N2238" s="234"/>
      <c r="O2238" s="234"/>
      <c r="P2238" s="234"/>
      <c r="Q2238" s="234"/>
      <c r="R2238" s="234"/>
    </row>
    <row r="2239" spans="8:18" ht="15" customHeight="1" x14ac:dyDescent="0.3">
      <c r="H2239" s="234" t="s">
        <v>4655</v>
      </c>
      <c r="I2239" s="306" t="s">
        <v>4656</v>
      </c>
      <c r="J2239" s="234">
        <f t="shared" si="72"/>
        <v>1.001040476231088</v>
      </c>
      <c r="K2239" s="315">
        <f t="shared" si="73"/>
        <v>1.0399353108715575E-3</v>
      </c>
      <c r="L2239" s="234"/>
      <c r="M2239" s="234"/>
      <c r="N2239" s="234"/>
      <c r="O2239" s="234"/>
      <c r="P2239" s="234"/>
      <c r="Q2239" s="234"/>
      <c r="R2239" s="234"/>
    </row>
    <row r="2240" spans="8:18" ht="15" customHeight="1" x14ac:dyDescent="0.3">
      <c r="H2240" s="234" t="s">
        <v>4657</v>
      </c>
      <c r="I2240" s="306" t="s">
        <v>4658</v>
      </c>
      <c r="J2240" s="234">
        <f t="shared" si="72"/>
        <v>1.0118396299684163</v>
      </c>
      <c r="K2240" s="315">
        <f t="shared" si="73"/>
        <v>1.1770089897172683E-2</v>
      </c>
      <c r="L2240" s="234"/>
      <c r="M2240" s="234"/>
      <c r="N2240" s="234"/>
      <c r="O2240" s="234"/>
      <c r="P2240" s="234"/>
      <c r="Q2240" s="234"/>
      <c r="R2240" s="234"/>
    </row>
    <row r="2241" spans="8:18" ht="15" customHeight="1" x14ac:dyDescent="0.3">
      <c r="H2241" s="234" t="s">
        <v>4659</v>
      </c>
      <c r="I2241" s="306" t="s">
        <v>4660</v>
      </c>
      <c r="J2241" s="234">
        <f t="shared" si="72"/>
        <v>1.0119814863330714</v>
      </c>
      <c r="K2241" s="315">
        <f t="shared" si="73"/>
        <v>1.1910276560652796E-2</v>
      </c>
      <c r="L2241" s="234"/>
      <c r="M2241" s="234"/>
      <c r="N2241" s="234"/>
      <c r="O2241" s="234"/>
      <c r="P2241" s="234"/>
      <c r="Q2241" s="234"/>
      <c r="R2241" s="234"/>
    </row>
    <row r="2242" spans="8:18" ht="15" customHeight="1" x14ac:dyDescent="0.3">
      <c r="H2242" s="234" t="s">
        <v>4661</v>
      </c>
      <c r="I2242" s="306" t="s">
        <v>4662</v>
      </c>
      <c r="J2242" s="234">
        <f t="shared" si="72"/>
        <v>0.99321722235714538</v>
      </c>
      <c r="K2242" s="315">
        <f t="shared" si="73"/>
        <v>-6.8058852274781711E-3</v>
      </c>
      <c r="L2242" s="234"/>
      <c r="M2242" s="234"/>
      <c r="N2242" s="234"/>
      <c r="O2242" s="234"/>
      <c r="P2242" s="234"/>
      <c r="Q2242" s="234"/>
      <c r="R2242" s="234"/>
    </row>
    <row r="2243" spans="8:18" ht="15" customHeight="1" x14ac:dyDescent="0.3">
      <c r="H2243" s="234" t="s">
        <v>4663</v>
      </c>
      <c r="I2243" s="306" t="s">
        <v>4664</v>
      </c>
      <c r="J2243" s="234">
        <f t="shared" si="72"/>
        <v>1.0010940729034612</v>
      </c>
      <c r="K2243" s="315">
        <f t="shared" si="73"/>
        <v>1.0934748418777198E-3</v>
      </c>
      <c r="L2243" s="234"/>
      <c r="M2243" s="234"/>
      <c r="N2243" s="234"/>
      <c r="O2243" s="234"/>
      <c r="P2243" s="234"/>
      <c r="Q2243" s="234"/>
      <c r="R2243" s="234"/>
    </row>
    <row r="2244" spans="8:18" ht="15" customHeight="1" x14ac:dyDescent="0.3">
      <c r="H2244" s="234" t="s">
        <v>4665</v>
      </c>
      <c r="I2244" s="306" t="s">
        <v>4666</v>
      </c>
      <c r="J2244" s="234">
        <f t="shared" si="72"/>
        <v>1.0081763428811541</v>
      </c>
      <c r="K2244" s="315">
        <f t="shared" si="73"/>
        <v>8.1430976828544954E-3</v>
      </c>
      <c r="L2244" s="234"/>
      <c r="M2244" s="234"/>
      <c r="N2244" s="234"/>
      <c r="O2244" s="234"/>
      <c r="P2244" s="234"/>
      <c r="Q2244" s="234"/>
      <c r="R2244" s="234"/>
    </row>
    <row r="2245" spans="8:18" ht="15" customHeight="1" x14ac:dyDescent="0.3">
      <c r="H2245" s="234" t="s">
        <v>4667</v>
      </c>
      <c r="I2245" s="306" t="s">
        <v>4668</v>
      </c>
      <c r="J2245" s="234">
        <f t="shared" ref="J2245:J2308" si="74">I2245/I2246</f>
        <v>0.97818119541017301</v>
      </c>
      <c r="K2245" s="315">
        <f t="shared" ref="K2245:K2308" si="75">LN(J2245)</f>
        <v>-2.2060354727397393E-2</v>
      </c>
      <c r="L2245" s="234"/>
      <c r="M2245" s="234"/>
      <c r="N2245" s="234"/>
      <c r="O2245" s="234"/>
      <c r="P2245" s="234"/>
      <c r="Q2245" s="234"/>
      <c r="R2245" s="234"/>
    </row>
    <row r="2246" spans="8:18" ht="15" customHeight="1" x14ac:dyDescent="0.3">
      <c r="H2246" s="234" t="s">
        <v>4669</v>
      </c>
      <c r="I2246" s="306" t="s">
        <v>4670</v>
      </c>
      <c r="J2246" s="234">
        <f t="shared" si="74"/>
        <v>0.99986300900715774</v>
      </c>
      <c r="K2246" s="315">
        <f t="shared" si="75"/>
        <v>-1.3700037696535297E-4</v>
      </c>
      <c r="L2246" s="234"/>
      <c r="M2246" s="234"/>
      <c r="N2246" s="234"/>
      <c r="O2246" s="234"/>
      <c r="P2246" s="234"/>
      <c r="Q2246" s="234"/>
      <c r="R2246" s="234"/>
    </row>
    <row r="2247" spans="8:18" ht="15" customHeight="1" x14ac:dyDescent="0.3">
      <c r="H2247" s="234" t="s">
        <v>4671</v>
      </c>
      <c r="I2247" s="306" t="s">
        <v>4672</v>
      </c>
      <c r="J2247" s="234">
        <f t="shared" si="74"/>
        <v>1.0031607517092109</v>
      </c>
      <c r="K2247" s="315">
        <f t="shared" si="75"/>
        <v>3.1557670343118232E-3</v>
      </c>
      <c r="L2247" s="234"/>
      <c r="M2247" s="234"/>
      <c r="N2247" s="234"/>
      <c r="O2247" s="234"/>
      <c r="P2247" s="234"/>
      <c r="Q2247" s="234"/>
      <c r="R2247" s="234"/>
    </row>
    <row r="2248" spans="8:18" ht="15" customHeight="1" x14ac:dyDescent="0.3">
      <c r="H2248" s="234" t="s">
        <v>4673</v>
      </c>
      <c r="I2248" s="306" t="s">
        <v>4674</v>
      </c>
      <c r="J2248" s="234">
        <f t="shared" si="74"/>
        <v>0.98201754385964912</v>
      </c>
      <c r="K2248" s="315">
        <f t="shared" si="75"/>
        <v>-1.8146105349731628E-2</v>
      </c>
      <c r="L2248" s="234"/>
      <c r="M2248" s="234"/>
      <c r="N2248" s="234"/>
      <c r="O2248" s="234"/>
      <c r="P2248" s="234"/>
      <c r="Q2248" s="234"/>
      <c r="R2248" s="234"/>
    </row>
    <row r="2249" spans="8:18" ht="15" customHeight="1" x14ac:dyDescent="0.3">
      <c r="H2249" s="234" t="s">
        <v>4675</v>
      </c>
      <c r="I2249" s="306" t="s">
        <v>4676</v>
      </c>
      <c r="J2249" s="234">
        <f t="shared" si="74"/>
        <v>1.0017236135050187</v>
      </c>
      <c r="K2249" s="315">
        <f t="shared" si="75"/>
        <v>1.7221297879199261E-3</v>
      </c>
      <c r="L2249" s="234"/>
      <c r="M2249" s="234"/>
      <c r="N2249" s="234"/>
      <c r="O2249" s="234"/>
      <c r="P2249" s="234"/>
      <c r="Q2249" s="234"/>
      <c r="R2249" s="234"/>
    </row>
    <row r="2250" spans="8:18" ht="15" customHeight="1" x14ac:dyDescent="0.3">
      <c r="H2250" s="234" t="s">
        <v>4677</v>
      </c>
      <c r="I2250" s="306" t="s">
        <v>4678</v>
      </c>
      <c r="J2250" s="234">
        <f t="shared" si="74"/>
        <v>0.97787398582216567</v>
      </c>
      <c r="K2250" s="315">
        <f t="shared" si="75"/>
        <v>-2.2374466101637583E-2</v>
      </c>
      <c r="L2250" s="234"/>
      <c r="M2250" s="234"/>
      <c r="N2250" s="234"/>
      <c r="O2250" s="234"/>
      <c r="P2250" s="234"/>
      <c r="Q2250" s="234"/>
      <c r="R2250" s="234"/>
    </row>
    <row r="2251" spans="8:18" ht="15" customHeight="1" x14ac:dyDescent="0.3">
      <c r="H2251" s="234" t="s">
        <v>4679</v>
      </c>
      <c r="I2251" s="306" t="s">
        <v>4680</v>
      </c>
      <c r="J2251" s="234">
        <f t="shared" si="74"/>
        <v>0.99718230951753228</v>
      </c>
      <c r="K2251" s="315">
        <f t="shared" si="75"/>
        <v>-2.8216676449940837E-3</v>
      </c>
      <c r="L2251" s="234"/>
      <c r="M2251" s="234"/>
      <c r="N2251" s="234"/>
      <c r="O2251" s="234"/>
      <c r="P2251" s="234"/>
      <c r="Q2251" s="234"/>
      <c r="R2251" s="234"/>
    </row>
    <row r="2252" spans="8:18" ht="15" customHeight="1" x14ac:dyDescent="0.3">
      <c r="H2252" s="234" t="s">
        <v>4681</v>
      </c>
      <c r="I2252" s="306" t="s">
        <v>4682</v>
      </c>
      <c r="J2252" s="234">
        <f t="shared" si="74"/>
        <v>0.98792121113462472</v>
      </c>
      <c r="K2252" s="315">
        <f t="shared" si="75"/>
        <v>-1.2152330229292975E-2</v>
      </c>
      <c r="L2252" s="234"/>
      <c r="M2252" s="234"/>
      <c r="N2252" s="234"/>
      <c r="O2252" s="234"/>
      <c r="P2252" s="234"/>
      <c r="Q2252" s="234"/>
      <c r="R2252" s="234"/>
    </row>
    <row r="2253" spans="8:18" ht="15" customHeight="1" x14ac:dyDescent="0.3">
      <c r="H2253" s="234" t="s">
        <v>4683</v>
      </c>
      <c r="I2253" s="306" t="s">
        <v>4684</v>
      </c>
      <c r="J2253" s="234">
        <f t="shared" si="74"/>
        <v>1.0052200094909263</v>
      </c>
      <c r="K2253" s="315">
        <f t="shared" si="75"/>
        <v>5.206432469009821E-3</v>
      </c>
      <c r="L2253" s="234"/>
      <c r="M2253" s="234"/>
      <c r="N2253" s="234"/>
      <c r="O2253" s="234"/>
      <c r="P2253" s="234"/>
      <c r="Q2253" s="234"/>
      <c r="R2253" s="234"/>
    </row>
    <row r="2254" spans="8:18" ht="15" customHeight="1" x14ac:dyDescent="0.3">
      <c r="H2254" s="234" t="s">
        <v>4685</v>
      </c>
      <c r="I2254" s="306" t="s">
        <v>4686</v>
      </c>
      <c r="J2254" s="234">
        <f t="shared" si="74"/>
        <v>1.0214448084508925</v>
      </c>
      <c r="K2254" s="315">
        <f t="shared" si="75"/>
        <v>2.121810390974592E-2</v>
      </c>
      <c r="L2254" s="234"/>
      <c r="M2254" s="234"/>
      <c r="N2254" s="234"/>
      <c r="O2254" s="234"/>
      <c r="P2254" s="234"/>
      <c r="Q2254" s="234"/>
      <c r="R2254" s="234"/>
    </row>
    <row r="2255" spans="8:18" ht="15" customHeight="1" x14ac:dyDescent="0.3">
      <c r="H2255" s="234" t="s">
        <v>4687</v>
      </c>
      <c r="I2255" s="306" t="s">
        <v>4688</v>
      </c>
      <c r="J2255" s="234">
        <f t="shared" si="74"/>
        <v>0.99181061635887402</v>
      </c>
      <c r="K2255" s="315">
        <f t="shared" si="75"/>
        <v>-8.2231008516297031E-3</v>
      </c>
      <c r="L2255" s="234"/>
      <c r="M2255" s="234"/>
      <c r="N2255" s="234"/>
      <c r="O2255" s="234"/>
      <c r="P2255" s="234"/>
      <c r="Q2255" s="234"/>
      <c r="R2255" s="234"/>
    </row>
    <row r="2256" spans="8:18" ht="15" customHeight="1" x14ac:dyDescent="0.3">
      <c r="H2256" s="234" t="s">
        <v>4689</v>
      </c>
      <c r="I2256" s="306" t="s">
        <v>4690</v>
      </c>
      <c r="J2256" s="234">
        <f t="shared" si="74"/>
        <v>1.0138321652464748</v>
      </c>
      <c r="K2256" s="315">
        <f t="shared" si="75"/>
        <v>1.3737373961049428E-2</v>
      </c>
      <c r="L2256" s="234"/>
      <c r="M2256" s="234"/>
      <c r="N2256" s="234"/>
      <c r="O2256" s="234"/>
      <c r="P2256" s="234"/>
      <c r="Q2256" s="234"/>
      <c r="R2256" s="234"/>
    </row>
    <row r="2257" spans="8:18" ht="15" customHeight="1" x14ac:dyDescent="0.3">
      <c r="H2257" s="234" t="s">
        <v>4691</v>
      </c>
      <c r="I2257" s="306" t="s">
        <v>4692</v>
      </c>
      <c r="J2257" s="234">
        <f t="shared" si="74"/>
        <v>0.96111846993829353</v>
      </c>
      <c r="K2257" s="315">
        <f t="shared" si="75"/>
        <v>-3.9657599838547331E-2</v>
      </c>
      <c r="L2257" s="234"/>
      <c r="M2257" s="234"/>
      <c r="N2257" s="234"/>
      <c r="O2257" s="234"/>
      <c r="P2257" s="234"/>
      <c r="Q2257" s="234"/>
      <c r="R2257" s="234"/>
    </row>
    <row r="2258" spans="8:18" ht="15" customHeight="1" x14ac:dyDescent="0.3">
      <c r="H2258" s="234" t="s">
        <v>4693</v>
      </c>
      <c r="I2258" s="306" t="s">
        <v>4694</v>
      </c>
      <c r="J2258" s="234">
        <f t="shared" si="74"/>
        <v>1.0149522903892185</v>
      </c>
      <c r="K2258" s="315">
        <f t="shared" si="75"/>
        <v>1.4841606846360674E-2</v>
      </c>
      <c r="L2258" s="234"/>
      <c r="M2258" s="234"/>
      <c r="N2258" s="234"/>
      <c r="O2258" s="234"/>
      <c r="P2258" s="234"/>
      <c r="Q2258" s="234"/>
      <c r="R2258" s="234"/>
    </row>
    <row r="2259" spans="8:18" ht="15" customHeight="1" x14ac:dyDescent="0.3">
      <c r="H2259" s="234" t="s">
        <v>4695</v>
      </c>
      <c r="I2259" s="306" t="s">
        <v>4696</v>
      </c>
      <c r="J2259" s="234">
        <f t="shared" si="74"/>
        <v>0.97033042205571196</v>
      </c>
      <c r="K2259" s="315">
        <f t="shared" si="75"/>
        <v>-3.0118624195233666E-2</v>
      </c>
      <c r="L2259" s="234"/>
      <c r="M2259" s="234"/>
      <c r="N2259" s="234"/>
      <c r="O2259" s="234"/>
      <c r="P2259" s="234"/>
      <c r="Q2259" s="234"/>
      <c r="R2259" s="234"/>
    </row>
    <row r="2260" spans="8:18" ht="15" customHeight="1" x14ac:dyDescent="0.3">
      <c r="H2260" s="234" t="s">
        <v>4697</v>
      </c>
      <c r="I2260" s="306" t="s">
        <v>4698</v>
      </c>
      <c r="J2260" s="234">
        <f t="shared" si="74"/>
        <v>1.0211179518835589</v>
      </c>
      <c r="K2260" s="315">
        <f t="shared" si="75"/>
        <v>2.0898058350832461E-2</v>
      </c>
      <c r="L2260" s="234"/>
      <c r="M2260" s="234"/>
      <c r="N2260" s="234"/>
      <c r="O2260" s="234"/>
      <c r="P2260" s="234"/>
      <c r="Q2260" s="234"/>
      <c r="R2260" s="234"/>
    </row>
    <row r="2261" spans="8:18" ht="15" customHeight="1" x14ac:dyDescent="0.3">
      <c r="H2261" s="234" t="s">
        <v>4699</v>
      </c>
      <c r="I2261" s="306" t="s">
        <v>4700</v>
      </c>
      <c r="J2261" s="234">
        <f t="shared" si="74"/>
        <v>1.0026875590448578</v>
      </c>
      <c r="K2261" s="315">
        <f t="shared" si="75"/>
        <v>2.6839540157558841E-3</v>
      </c>
      <c r="L2261" s="234"/>
      <c r="M2261" s="234"/>
      <c r="N2261" s="234"/>
      <c r="O2261" s="234"/>
      <c r="P2261" s="234"/>
      <c r="Q2261" s="234"/>
      <c r="R2261" s="234"/>
    </row>
    <row r="2262" spans="8:18" ht="15" customHeight="1" x14ac:dyDescent="0.3">
      <c r="H2262" s="234" t="s">
        <v>4701</v>
      </c>
      <c r="I2262" s="306" t="s">
        <v>4702</v>
      </c>
      <c r="J2262" s="234">
        <f t="shared" si="74"/>
        <v>0.99024177809319502</v>
      </c>
      <c r="K2262" s="315">
        <f t="shared" si="75"/>
        <v>-9.8061453742668784E-3</v>
      </c>
      <c r="L2262" s="234"/>
      <c r="M2262" s="234"/>
      <c r="N2262" s="234"/>
      <c r="O2262" s="234"/>
      <c r="P2262" s="234"/>
      <c r="Q2262" s="234"/>
      <c r="R2262" s="234"/>
    </row>
    <row r="2263" spans="8:18" ht="15" customHeight="1" x14ac:dyDescent="0.3">
      <c r="H2263" s="234" t="s">
        <v>4703</v>
      </c>
      <c r="I2263" s="306" t="s">
        <v>4704</v>
      </c>
      <c r="J2263" s="234">
        <f t="shared" si="74"/>
        <v>1.0006940409322744</v>
      </c>
      <c r="K2263" s="315">
        <f t="shared" si="75"/>
        <v>6.9380019724679719E-4</v>
      </c>
      <c r="L2263" s="234"/>
      <c r="M2263" s="234"/>
      <c r="N2263" s="234"/>
      <c r="O2263" s="234"/>
      <c r="P2263" s="234"/>
      <c r="Q2263" s="234"/>
      <c r="R2263" s="234"/>
    </row>
    <row r="2264" spans="8:18" ht="15" customHeight="1" x14ac:dyDescent="0.3">
      <c r="H2264" s="234" t="s">
        <v>4705</v>
      </c>
      <c r="I2264" s="306" t="s">
        <v>4706</v>
      </c>
      <c r="J2264" s="234">
        <f t="shared" si="74"/>
        <v>1.0144747183652083</v>
      </c>
      <c r="K2264" s="315">
        <f t="shared" si="75"/>
        <v>1.4370959682638473E-2</v>
      </c>
      <c r="L2264" s="234"/>
      <c r="M2264" s="234"/>
      <c r="N2264" s="234"/>
      <c r="O2264" s="234"/>
      <c r="P2264" s="234"/>
      <c r="Q2264" s="234"/>
      <c r="R2264" s="234"/>
    </row>
    <row r="2265" spans="8:18" ht="15" customHeight="1" x14ac:dyDescent="0.3">
      <c r="H2265" s="234" t="s">
        <v>4707</v>
      </c>
      <c r="I2265" s="306" t="s">
        <v>4708</v>
      </c>
      <c r="J2265" s="234">
        <f t="shared" si="74"/>
        <v>1.0184947384220269</v>
      </c>
      <c r="K2265" s="315">
        <f t="shared" si="75"/>
        <v>1.8325790664533124E-2</v>
      </c>
      <c r="L2265" s="234"/>
      <c r="M2265" s="234"/>
      <c r="N2265" s="234"/>
      <c r="O2265" s="234"/>
      <c r="P2265" s="234"/>
      <c r="Q2265" s="234"/>
      <c r="R2265" s="234"/>
    </row>
    <row r="2266" spans="8:18" ht="15" customHeight="1" x14ac:dyDescent="0.3">
      <c r="H2266" s="234" t="s">
        <v>4709</v>
      </c>
      <c r="I2266" s="306" t="s">
        <v>4710</v>
      </c>
      <c r="J2266" s="234">
        <f t="shared" si="74"/>
        <v>1.0032290446712397</v>
      </c>
      <c r="K2266" s="315">
        <f t="shared" si="75"/>
        <v>3.2238425021779283E-3</v>
      </c>
      <c r="L2266" s="234"/>
      <c r="M2266" s="234"/>
      <c r="N2266" s="234"/>
      <c r="O2266" s="234"/>
      <c r="P2266" s="234"/>
      <c r="Q2266" s="234"/>
      <c r="R2266" s="234"/>
    </row>
    <row r="2267" spans="8:18" ht="15" customHeight="1" x14ac:dyDescent="0.3">
      <c r="H2267" s="234" t="s">
        <v>4711</v>
      </c>
      <c r="I2267" s="306" t="s">
        <v>4712</v>
      </c>
      <c r="J2267" s="234">
        <f t="shared" si="74"/>
        <v>0.98365781808008168</v>
      </c>
      <c r="K2267" s="315">
        <f t="shared" si="75"/>
        <v>-1.6477188261069461E-2</v>
      </c>
      <c r="L2267" s="234"/>
      <c r="M2267" s="234"/>
      <c r="N2267" s="234"/>
      <c r="O2267" s="234"/>
      <c r="P2267" s="234"/>
      <c r="Q2267" s="234"/>
      <c r="R2267" s="234"/>
    </row>
    <row r="2268" spans="8:18" ht="15" customHeight="1" x14ac:dyDescent="0.3">
      <c r="H2268" s="234" t="s">
        <v>4713</v>
      </c>
      <c r="I2268" s="306" t="s">
        <v>4714</v>
      </c>
      <c r="J2268" s="234">
        <f t="shared" si="74"/>
        <v>1.0185222434543566</v>
      </c>
      <c r="K2268" s="315">
        <f t="shared" si="75"/>
        <v>1.8352795871240897E-2</v>
      </c>
      <c r="L2268" s="234"/>
      <c r="M2268" s="234"/>
      <c r="N2268" s="234"/>
      <c r="O2268" s="234"/>
      <c r="P2268" s="234"/>
      <c r="Q2268" s="234"/>
      <c r="R2268" s="234"/>
    </row>
    <row r="2269" spans="8:18" ht="15" customHeight="1" x14ac:dyDescent="0.3">
      <c r="H2269" s="234" t="s">
        <v>4715</v>
      </c>
      <c r="I2269" s="306" t="s">
        <v>4716</v>
      </c>
      <c r="J2269" s="234">
        <f t="shared" si="74"/>
        <v>1.0080259533987801</v>
      </c>
      <c r="K2269" s="315">
        <f t="shared" si="75"/>
        <v>7.9939167371424567E-3</v>
      </c>
      <c r="L2269" s="234"/>
      <c r="M2269" s="234"/>
      <c r="N2269" s="234"/>
      <c r="O2269" s="234"/>
      <c r="P2269" s="234"/>
      <c r="Q2269" s="234"/>
      <c r="R2269" s="234"/>
    </row>
    <row r="2270" spans="8:18" ht="15" customHeight="1" x14ac:dyDescent="0.3">
      <c r="H2270" s="234" t="s">
        <v>4717</v>
      </c>
      <c r="I2270" s="306" t="s">
        <v>4718</v>
      </c>
      <c r="J2270" s="234">
        <f t="shared" si="74"/>
        <v>0.96705828526609916</v>
      </c>
      <c r="K2270" s="315">
        <f t="shared" si="75"/>
        <v>-3.3496511026653075E-2</v>
      </c>
      <c r="L2270" s="234"/>
      <c r="M2270" s="234"/>
      <c r="N2270" s="234"/>
      <c r="O2270" s="234"/>
      <c r="P2270" s="234"/>
      <c r="Q2270" s="234"/>
      <c r="R2270" s="234"/>
    </row>
    <row r="2271" spans="8:18" ht="15" customHeight="1" x14ac:dyDescent="0.3">
      <c r="H2271" s="234" t="s">
        <v>4719</v>
      </c>
      <c r="I2271" s="306" t="s">
        <v>4720</v>
      </c>
      <c r="J2271" s="234">
        <f t="shared" si="74"/>
        <v>0.96740487820300025</v>
      </c>
      <c r="K2271" s="315">
        <f t="shared" si="75"/>
        <v>-3.313817601448546E-2</v>
      </c>
      <c r="L2271" s="234"/>
      <c r="M2271" s="234"/>
      <c r="N2271" s="234"/>
      <c r="O2271" s="234"/>
      <c r="P2271" s="234"/>
      <c r="Q2271" s="234"/>
      <c r="R2271" s="234"/>
    </row>
    <row r="2272" spans="8:18" ht="15" customHeight="1" x14ac:dyDescent="0.3">
      <c r="H2272" s="234" t="s">
        <v>4721</v>
      </c>
      <c r="I2272" s="306" t="s">
        <v>4722</v>
      </c>
      <c r="J2272" s="234">
        <f t="shared" si="74"/>
        <v>0.98603425970665715</v>
      </c>
      <c r="K2272" s="315">
        <f t="shared" si="75"/>
        <v>-1.4064178830338926E-2</v>
      </c>
      <c r="L2272" s="234"/>
      <c r="M2272" s="234"/>
      <c r="N2272" s="234"/>
      <c r="O2272" s="234"/>
      <c r="P2272" s="234"/>
      <c r="Q2272" s="234"/>
      <c r="R2272" s="234"/>
    </row>
    <row r="2273" spans="8:18" ht="15" customHeight="1" x14ac:dyDescent="0.3">
      <c r="H2273" s="234" t="s">
        <v>4723</v>
      </c>
      <c r="I2273" s="306" t="s">
        <v>4724</v>
      </c>
      <c r="J2273" s="234">
        <f t="shared" si="74"/>
        <v>1.0016392930743772</v>
      </c>
      <c r="K2273" s="315">
        <f t="shared" si="75"/>
        <v>1.6379509000964392E-3</v>
      </c>
      <c r="L2273" s="234"/>
      <c r="M2273" s="234"/>
      <c r="N2273" s="234"/>
      <c r="O2273" s="234"/>
      <c r="P2273" s="234"/>
      <c r="Q2273" s="234"/>
      <c r="R2273" s="234"/>
    </row>
    <row r="2274" spans="8:18" ht="15" customHeight="1" x14ac:dyDescent="0.3">
      <c r="H2274" s="234" t="s">
        <v>4725</v>
      </c>
      <c r="I2274" s="306" t="s">
        <v>4726</v>
      </c>
      <c r="J2274" s="234">
        <f t="shared" si="74"/>
        <v>1.0397883151247544</v>
      </c>
      <c r="K2274" s="315">
        <f t="shared" si="75"/>
        <v>3.901714928628857E-2</v>
      </c>
      <c r="L2274" s="234"/>
      <c r="M2274" s="234"/>
      <c r="N2274" s="234"/>
      <c r="O2274" s="234"/>
      <c r="P2274" s="234"/>
      <c r="Q2274" s="234"/>
      <c r="R2274" s="234"/>
    </row>
    <row r="2275" spans="8:18" ht="15" customHeight="1" x14ac:dyDescent="0.3">
      <c r="H2275" s="234" t="s">
        <v>4727</v>
      </c>
      <c r="I2275" s="306" t="s">
        <v>4728</v>
      </c>
      <c r="J2275" s="234">
        <f t="shared" si="74"/>
        <v>0.99760320005182268</v>
      </c>
      <c r="K2275" s="315">
        <f t="shared" si="75"/>
        <v>-2.3996768710314803E-3</v>
      </c>
      <c r="L2275" s="234"/>
      <c r="M2275" s="234"/>
      <c r="N2275" s="234"/>
      <c r="O2275" s="234"/>
      <c r="P2275" s="234"/>
      <c r="Q2275" s="234"/>
      <c r="R2275" s="234"/>
    </row>
    <row r="2276" spans="8:18" ht="15" customHeight="1" x14ac:dyDescent="0.3">
      <c r="H2276" s="234" t="s">
        <v>4729</v>
      </c>
      <c r="I2276" s="306" t="s">
        <v>4730</v>
      </c>
      <c r="J2276" s="234">
        <f t="shared" si="74"/>
        <v>0.9751125148045795</v>
      </c>
      <c r="K2276" s="315">
        <f t="shared" si="75"/>
        <v>-2.5202414842765808E-2</v>
      </c>
      <c r="L2276" s="234"/>
      <c r="M2276" s="234"/>
      <c r="N2276" s="234"/>
      <c r="O2276" s="234"/>
      <c r="P2276" s="234"/>
      <c r="Q2276" s="234"/>
      <c r="R2276" s="234"/>
    </row>
    <row r="2277" spans="8:18" ht="15" customHeight="1" x14ac:dyDescent="0.3">
      <c r="H2277" s="234" t="s">
        <v>4731</v>
      </c>
      <c r="I2277" s="306" t="s">
        <v>4732</v>
      </c>
      <c r="J2277" s="234">
        <f t="shared" si="74"/>
        <v>0.97540125073164718</v>
      </c>
      <c r="K2277" s="315">
        <f t="shared" si="75"/>
        <v>-2.4906353431379317E-2</v>
      </c>
      <c r="L2277" s="234"/>
      <c r="M2277" s="234"/>
      <c r="N2277" s="234"/>
      <c r="O2277" s="234"/>
      <c r="P2277" s="234"/>
      <c r="Q2277" s="234"/>
      <c r="R2277" s="234"/>
    </row>
    <row r="2278" spans="8:18" ht="15" customHeight="1" x14ac:dyDescent="0.3">
      <c r="H2278" s="234" t="s">
        <v>4733</v>
      </c>
      <c r="I2278" s="306" t="s">
        <v>4734</v>
      </c>
      <c r="J2278" s="234">
        <f t="shared" si="74"/>
        <v>1.0094850105734543</v>
      </c>
      <c r="K2278" s="315">
        <f t="shared" si="75"/>
        <v>9.4403102934583986E-3</v>
      </c>
      <c r="L2278" s="234"/>
      <c r="M2278" s="234"/>
      <c r="N2278" s="234"/>
      <c r="O2278" s="234"/>
      <c r="P2278" s="234"/>
      <c r="Q2278" s="234"/>
      <c r="R2278" s="234"/>
    </row>
    <row r="2279" spans="8:18" ht="15" customHeight="1" x14ac:dyDescent="0.3">
      <c r="H2279" s="234" t="s">
        <v>4735</v>
      </c>
      <c r="I2279" s="306" t="s">
        <v>4736</v>
      </c>
      <c r="J2279" s="234">
        <f t="shared" si="74"/>
        <v>1.0009494015657343</v>
      </c>
      <c r="K2279" s="315">
        <f t="shared" si="75"/>
        <v>9.4895116911675984E-4</v>
      </c>
      <c r="L2279" s="234"/>
      <c r="M2279" s="234"/>
      <c r="N2279" s="234"/>
      <c r="O2279" s="234"/>
      <c r="P2279" s="234"/>
      <c r="Q2279" s="234"/>
      <c r="R2279" s="234"/>
    </row>
    <row r="2280" spans="8:18" ht="15" customHeight="1" x14ac:dyDescent="0.3">
      <c r="H2280" s="234" t="s">
        <v>4737</v>
      </c>
      <c r="I2280" s="306" t="s">
        <v>4738</v>
      </c>
      <c r="J2280" s="234">
        <f t="shared" si="74"/>
        <v>1.0066429567424444</v>
      </c>
      <c r="K2280" s="315">
        <f t="shared" si="75"/>
        <v>6.6209895364380206E-3</v>
      </c>
      <c r="L2280" s="234"/>
      <c r="M2280" s="234"/>
      <c r="N2280" s="234"/>
      <c r="O2280" s="234"/>
      <c r="P2280" s="234"/>
      <c r="Q2280" s="234"/>
      <c r="R2280" s="234"/>
    </row>
    <row r="2281" spans="8:18" ht="15" customHeight="1" x14ac:dyDescent="0.3">
      <c r="H2281" s="234" t="s">
        <v>4739</v>
      </c>
      <c r="I2281" s="306" t="s">
        <v>4630</v>
      </c>
      <c r="J2281" s="234">
        <f t="shared" si="74"/>
        <v>0.99948324459755711</v>
      </c>
      <c r="K2281" s="315">
        <f t="shared" si="75"/>
        <v>-5.1688896653116062E-4</v>
      </c>
      <c r="L2281" s="234"/>
      <c r="M2281" s="234"/>
      <c r="N2281" s="234"/>
      <c r="O2281" s="234"/>
      <c r="P2281" s="234"/>
      <c r="Q2281" s="234"/>
      <c r="R2281" s="234"/>
    </row>
    <row r="2282" spans="8:18" ht="15" customHeight="1" x14ac:dyDescent="0.3">
      <c r="H2282" s="234" t="s">
        <v>4740</v>
      </c>
      <c r="I2282" s="306" t="s">
        <v>4741</v>
      </c>
      <c r="J2282" s="234">
        <f t="shared" si="74"/>
        <v>0.99689348881499862</v>
      </c>
      <c r="K2282" s="315">
        <f t="shared" si="75"/>
        <v>-3.1113464072506144E-3</v>
      </c>
      <c r="L2282" s="234"/>
      <c r="M2282" s="234"/>
      <c r="N2282" s="234"/>
      <c r="O2282" s="234"/>
      <c r="P2282" s="234"/>
      <c r="Q2282" s="234"/>
      <c r="R2282" s="234"/>
    </row>
    <row r="2283" spans="8:18" ht="15" customHeight="1" x14ac:dyDescent="0.3">
      <c r="H2283" s="234" t="s">
        <v>4742</v>
      </c>
      <c r="I2283" s="306" t="s">
        <v>4743</v>
      </c>
      <c r="J2283" s="234">
        <f t="shared" si="74"/>
        <v>0.99872156654869737</v>
      </c>
      <c r="K2283" s="315">
        <f t="shared" si="75"/>
        <v>-1.2792513445030007E-3</v>
      </c>
      <c r="L2283" s="234"/>
      <c r="M2283" s="234"/>
      <c r="N2283" s="234"/>
      <c r="O2283" s="234"/>
      <c r="P2283" s="234"/>
      <c r="Q2283" s="234"/>
      <c r="R2283" s="234"/>
    </row>
    <row r="2284" spans="8:18" ht="15" customHeight="1" x14ac:dyDescent="0.3">
      <c r="H2284" s="234" t="s">
        <v>4744</v>
      </c>
      <c r="I2284" s="306" t="s">
        <v>4745</v>
      </c>
      <c r="J2284" s="234">
        <f t="shared" si="74"/>
        <v>1.0047463892979103</v>
      </c>
      <c r="K2284" s="315">
        <f t="shared" si="75"/>
        <v>4.7351607083801926E-3</v>
      </c>
      <c r="L2284" s="234"/>
      <c r="M2284" s="234"/>
      <c r="N2284" s="234"/>
      <c r="O2284" s="234"/>
      <c r="P2284" s="234"/>
      <c r="Q2284" s="234"/>
      <c r="R2284" s="234"/>
    </row>
    <row r="2285" spans="8:18" ht="15" customHeight="1" x14ac:dyDescent="0.3">
      <c r="H2285" s="234" t="s">
        <v>4746</v>
      </c>
      <c r="I2285" s="306" t="s">
        <v>4747</v>
      </c>
      <c r="J2285" s="234">
        <f t="shared" si="74"/>
        <v>1.0054020001574928</v>
      </c>
      <c r="K2285" s="315">
        <f t="shared" si="75"/>
        <v>5.3874616890126183E-3</v>
      </c>
      <c r="L2285" s="234"/>
      <c r="M2285" s="234"/>
      <c r="N2285" s="234"/>
      <c r="O2285" s="234"/>
      <c r="P2285" s="234"/>
      <c r="Q2285" s="234"/>
      <c r="R2285" s="234"/>
    </row>
    <row r="2286" spans="8:18" ht="15" customHeight="1" x14ac:dyDescent="0.3">
      <c r="H2286" s="234" t="s">
        <v>4748</v>
      </c>
      <c r="I2286" s="306" t="s">
        <v>4749</v>
      </c>
      <c r="J2286" s="234">
        <f t="shared" si="74"/>
        <v>0.9954690831556503</v>
      </c>
      <c r="K2286" s="315">
        <f t="shared" si="75"/>
        <v>-4.5412125591976294E-3</v>
      </c>
      <c r="L2286" s="234"/>
      <c r="M2286" s="234"/>
      <c r="N2286" s="234"/>
      <c r="O2286" s="234"/>
      <c r="P2286" s="234"/>
      <c r="Q2286" s="234"/>
      <c r="R2286" s="234"/>
    </row>
    <row r="2287" spans="8:18" ht="15" customHeight="1" x14ac:dyDescent="0.3">
      <c r="H2287" s="234" t="s">
        <v>4750</v>
      </c>
      <c r="I2287" s="306" t="s">
        <v>4751</v>
      </c>
      <c r="J2287" s="234">
        <f t="shared" si="74"/>
        <v>1.0172724517950271</v>
      </c>
      <c r="K2287" s="315">
        <f t="shared" si="75"/>
        <v>1.712497872518522E-2</v>
      </c>
      <c r="L2287" s="234"/>
      <c r="M2287" s="234"/>
      <c r="N2287" s="234"/>
      <c r="O2287" s="234"/>
      <c r="P2287" s="234"/>
      <c r="Q2287" s="234"/>
      <c r="R2287" s="234"/>
    </row>
    <row r="2288" spans="8:18" ht="15" customHeight="1" x14ac:dyDescent="0.3">
      <c r="H2288" s="234" t="s">
        <v>4752</v>
      </c>
      <c r="I2288" s="306" t="s">
        <v>4753</v>
      </c>
      <c r="J2288" s="234">
        <f t="shared" si="74"/>
        <v>1.0151049086905841</v>
      </c>
      <c r="K2288" s="315">
        <f t="shared" si="75"/>
        <v>1.4991965468494378E-2</v>
      </c>
      <c r="L2288" s="234"/>
      <c r="M2288" s="234"/>
      <c r="N2288" s="234"/>
      <c r="O2288" s="234"/>
      <c r="P2288" s="234"/>
      <c r="Q2288" s="234"/>
      <c r="R2288" s="234"/>
    </row>
    <row r="2289" spans="8:18" ht="15" customHeight="1" x14ac:dyDescent="0.3">
      <c r="H2289" s="234" t="s">
        <v>4754</v>
      </c>
      <c r="I2289" s="306" t="s">
        <v>4755</v>
      </c>
      <c r="J2289" s="234">
        <f t="shared" si="74"/>
        <v>1.0106020942408378</v>
      </c>
      <c r="K2289" s="315">
        <f t="shared" si="75"/>
        <v>1.0546286148249703E-2</v>
      </c>
      <c r="L2289" s="234"/>
      <c r="M2289" s="234"/>
      <c r="N2289" s="234"/>
      <c r="O2289" s="234"/>
      <c r="P2289" s="234"/>
      <c r="Q2289" s="234"/>
      <c r="R2289" s="234"/>
    </row>
    <row r="2290" spans="8:18" ht="15" customHeight="1" x14ac:dyDescent="0.3">
      <c r="H2290" s="234" t="s">
        <v>4756</v>
      </c>
      <c r="I2290" s="306" t="s">
        <v>4757</v>
      </c>
      <c r="J2290" s="234">
        <f t="shared" si="74"/>
        <v>1.0016388069485416</v>
      </c>
      <c r="K2290" s="315">
        <f t="shared" si="75"/>
        <v>1.6374655697415771E-3</v>
      </c>
      <c r="L2290" s="234"/>
      <c r="M2290" s="234"/>
      <c r="N2290" s="234"/>
      <c r="O2290" s="234"/>
      <c r="P2290" s="234"/>
      <c r="Q2290" s="234"/>
      <c r="R2290" s="234"/>
    </row>
    <row r="2291" spans="8:18" ht="15" customHeight="1" x14ac:dyDescent="0.3">
      <c r="H2291" s="234" t="s">
        <v>4758</v>
      </c>
      <c r="I2291" s="306" t="s">
        <v>4759</v>
      </c>
      <c r="J2291" s="234">
        <f t="shared" si="74"/>
        <v>0.989492119089317</v>
      </c>
      <c r="K2291" s="315">
        <f t="shared" si="75"/>
        <v>-1.0563478509569259E-2</v>
      </c>
      <c r="L2291" s="234"/>
      <c r="M2291" s="234"/>
      <c r="N2291" s="234"/>
      <c r="O2291" s="234"/>
      <c r="P2291" s="234"/>
      <c r="Q2291" s="234"/>
      <c r="R2291" s="234"/>
    </row>
    <row r="2292" spans="8:18" ht="15" customHeight="1" x14ac:dyDescent="0.3">
      <c r="H2292" s="234" t="s">
        <v>4760</v>
      </c>
      <c r="I2292" s="306" t="s">
        <v>4761</v>
      </c>
      <c r="J2292" s="234">
        <f t="shared" si="74"/>
        <v>1.0088009160804843</v>
      </c>
      <c r="K2292" s="315">
        <f t="shared" si="75"/>
        <v>8.7624137574588892E-3</v>
      </c>
      <c r="L2292" s="234"/>
      <c r="M2292" s="234"/>
      <c r="N2292" s="234"/>
      <c r="O2292" s="234"/>
      <c r="P2292" s="234"/>
      <c r="Q2292" s="234"/>
      <c r="R2292" s="234"/>
    </row>
    <row r="2293" spans="8:18" ht="15" customHeight="1" x14ac:dyDescent="0.3">
      <c r="H2293" s="234" t="s">
        <v>4762</v>
      </c>
      <c r="I2293" s="306" t="s">
        <v>4763</v>
      </c>
      <c r="J2293" s="234">
        <f t="shared" si="74"/>
        <v>1.0079973616951108</v>
      </c>
      <c r="K2293" s="315">
        <f t="shared" si="75"/>
        <v>7.9655522797900408E-3</v>
      </c>
      <c r="L2293" s="234"/>
      <c r="M2293" s="234"/>
      <c r="N2293" s="234"/>
      <c r="O2293" s="234"/>
      <c r="P2293" s="234"/>
      <c r="Q2293" s="234"/>
      <c r="R2293" s="234"/>
    </row>
    <row r="2294" spans="8:18" ht="15" customHeight="1" x14ac:dyDescent="0.3">
      <c r="H2294" s="234" t="s">
        <v>4764</v>
      </c>
      <c r="I2294" s="306" t="s">
        <v>4765</v>
      </c>
      <c r="J2294" s="234">
        <f t="shared" si="74"/>
        <v>1.0064891957380422</v>
      </c>
      <c r="K2294" s="315">
        <f t="shared" si="75"/>
        <v>6.4682315523068995E-3</v>
      </c>
      <c r="L2294" s="234"/>
      <c r="M2294" s="234"/>
      <c r="N2294" s="234"/>
      <c r="O2294" s="234"/>
      <c r="P2294" s="234"/>
      <c r="Q2294" s="234"/>
      <c r="R2294" s="234"/>
    </row>
    <row r="2295" spans="8:18" ht="15" customHeight="1" x14ac:dyDescent="0.3">
      <c r="H2295" s="234" t="s">
        <v>4766</v>
      </c>
      <c r="I2295" s="306" t="s">
        <v>4767</v>
      </c>
      <c r="J2295" s="234">
        <f t="shared" si="74"/>
        <v>1.0154027637344119</v>
      </c>
      <c r="K2295" s="315">
        <f t="shared" si="75"/>
        <v>1.5285345345861123E-2</v>
      </c>
      <c r="L2295" s="234"/>
      <c r="M2295" s="234"/>
      <c r="N2295" s="234"/>
      <c r="O2295" s="234"/>
      <c r="P2295" s="234"/>
      <c r="Q2295" s="234"/>
      <c r="R2295" s="234"/>
    </row>
    <row r="2296" spans="8:18" ht="15" customHeight="1" x14ac:dyDescent="0.3">
      <c r="H2296" s="234" t="s">
        <v>4768</v>
      </c>
      <c r="I2296" s="306" t="s">
        <v>4769</v>
      </c>
      <c r="J2296" s="234">
        <f t="shared" si="74"/>
        <v>0.99796505272363401</v>
      </c>
      <c r="K2296" s="315">
        <f t="shared" si="75"/>
        <v>-2.0370205947813956E-3</v>
      </c>
      <c r="L2296" s="234"/>
      <c r="M2296" s="234"/>
      <c r="N2296" s="234"/>
      <c r="O2296" s="234"/>
      <c r="P2296" s="234"/>
      <c r="Q2296" s="234"/>
      <c r="R2296" s="234"/>
    </row>
    <row r="2297" spans="8:18" ht="15" customHeight="1" x14ac:dyDescent="0.3">
      <c r="H2297" s="234" t="s">
        <v>4770</v>
      </c>
      <c r="I2297" s="306" t="s">
        <v>4771</v>
      </c>
      <c r="J2297" s="234">
        <f t="shared" si="74"/>
        <v>1.0186911084461197</v>
      </c>
      <c r="K2297" s="315">
        <f t="shared" si="75"/>
        <v>1.8518576241757578E-2</v>
      </c>
      <c r="L2297" s="234"/>
      <c r="M2297" s="234"/>
      <c r="N2297" s="234"/>
      <c r="O2297" s="234"/>
      <c r="P2297" s="234"/>
      <c r="Q2297" s="234"/>
      <c r="R2297" s="234"/>
    </row>
    <row r="2298" spans="8:18" ht="15" customHeight="1" x14ac:dyDescent="0.3">
      <c r="H2298" s="234" t="s">
        <v>4772</v>
      </c>
      <c r="I2298" s="306" t="s">
        <v>4773</v>
      </c>
      <c r="J2298" s="234">
        <f t="shared" si="74"/>
        <v>1.0003427592116538</v>
      </c>
      <c r="K2298" s="315">
        <f t="shared" si="75"/>
        <v>3.4270048313468865E-4</v>
      </c>
      <c r="L2298" s="234"/>
      <c r="M2298" s="234"/>
      <c r="N2298" s="234"/>
      <c r="O2298" s="234"/>
      <c r="P2298" s="234"/>
      <c r="Q2298" s="234"/>
      <c r="R2298" s="234"/>
    </row>
    <row r="2299" spans="8:18" ht="15" customHeight="1" x14ac:dyDescent="0.3">
      <c r="H2299" s="234" t="s">
        <v>4774</v>
      </c>
      <c r="I2299" s="306" t="s">
        <v>4775</v>
      </c>
      <c r="J2299" s="234">
        <f t="shared" si="74"/>
        <v>0.98321706601961378</v>
      </c>
      <c r="K2299" s="315">
        <f t="shared" si="75"/>
        <v>-1.6925363253193711E-2</v>
      </c>
      <c r="L2299" s="234"/>
      <c r="M2299" s="234"/>
      <c r="N2299" s="234"/>
      <c r="O2299" s="234"/>
      <c r="P2299" s="234"/>
      <c r="Q2299" s="234"/>
      <c r="R2299" s="234"/>
    </row>
    <row r="2300" spans="8:18" ht="15" customHeight="1" x14ac:dyDescent="0.3">
      <c r="H2300" s="234" t="s">
        <v>4776</v>
      </c>
      <c r="I2300" s="306" t="s">
        <v>4777</v>
      </c>
      <c r="J2300" s="234">
        <f t="shared" si="74"/>
        <v>1.0164945275165715</v>
      </c>
      <c r="K2300" s="315">
        <f t="shared" si="75"/>
        <v>1.6359970418620903E-2</v>
      </c>
      <c r="L2300" s="234"/>
      <c r="M2300" s="234"/>
      <c r="N2300" s="234"/>
      <c r="O2300" s="234"/>
      <c r="P2300" s="234"/>
      <c r="Q2300" s="234"/>
      <c r="R2300" s="234"/>
    </row>
    <row r="2301" spans="8:18" ht="15" customHeight="1" x14ac:dyDescent="0.3">
      <c r="H2301" s="234" t="s">
        <v>4778</v>
      </c>
      <c r="I2301" s="306" t="s">
        <v>4779</v>
      </c>
      <c r="J2301" s="234">
        <f t="shared" si="74"/>
        <v>1.005459304928874</v>
      </c>
      <c r="K2301" s="315">
        <f t="shared" si="75"/>
        <v>5.4444569390100003E-3</v>
      </c>
      <c r="L2301" s="234"/>
      <c r="M2301" s="234"/>
      <c r="N2301" s="234"/>
      <c r="O2301" s="234"/>
      <c r="P2301" s="234"/>
      <c r="Q2301" s="234"/>
      <c r="R2301" s="234"/>
    </row>
    <row r="2302" spans="8:18" ht="15" customHeight="1" x14ac:dyDescent="0.3">
      <c r="H2302" s="234" t="s">
        <v>4780</v>
      </c>
      <c r="I2302" s="306" t="s">
        <v>4781</v>
      </c>
      <c r="J2302" s="234">
        <f t="shared" si="74"/>
        <v>0.98924987648431773</v>
      </c>
      <c r="K2302" s="315">
        <f t="shared" si="75"/>
        <v>-1.0808323574515926E-2</v>
      </c>
      <c r="L2302" s="234"/>
      <c r="M2302" s="234"/>
      <c r="N2302" s="234"/>
      <c r="O2302" s="234"/>
      <c r="P2302" s="234"/>
      <c r="Q2302" s="234"/>
      <c r="R2302" s="234"/>
    </row>
    <row r="2303" spans="8:18" ht="15" customHeight="1" x14ac:dyDescent="0.3">
      <c r="H2303" s="234" t="s">
        <v>4782</v>
      </c>
      <c r="I2303" s="306" t="s">
        <v>4783</v>
      </c>
      <c r="J2303" s="234">
        <f t="shared" si="74"/>
        <v>0.99499932194195828</v>
      </c>
      <c r="K2303" s="315">
        <f t="shared" si="75"/>
        <v>-5.0132232891450411E-3</v>
      </c>
      <c r="L2303" s="234"/>
      <c r="M2303" s="234"/>
      <c r="N2303" s="234"/>
      <c r="O2303" s="234"/>
      <c r="P2303" s="234"/>
      <c r="Q2303" s="234"/>
      <c r="R2303" s="234"/>
    </row>
    <row r="2304" spans="8:18" ht="15" customHeight="1" x14ac:dyDescent="0.3">
      <c r="H2304" s="234" t="s">
        <v>4784</v>
      </c>
      <c r="I2304" s="306" t="s">
        <v>4785</v>
      </c>
      <c r="J2304" s="234">
        <f t="shared" si="74"/>
        <v>1.0099986303246131</v>
      </c>
      <c r="K2304" s="315">
        <f t="shared" si="75"/>
        <v>9.9489747380041259E-3</v>
      </c>
      <c r="L2304" s="234"/>
      <c r="M2304" s="234"/>
      <c r="N2304" s="234"/>
      <c r="O2304" s="234"/>
      <c r="P2304" s="234"/>
      <c r="Q2304" s="234"/>
      <c r="R2304" s="234"/>
    </row>
    <row r="2305" spans="8:18" ht="15" customHeight="1" x14ac:dyDescent="0.3">
      <c r="H2305" s="234" t="s">
        <v>4786</v>
      </c>
      <c r="I2305" s="306" t="s">
        <v>4787</v>
      </c>
      <c r="J2305" s="234">
        <f t="shared" si="74"/>
        <v>1.0116391852570321</v>
      </c>
      <c r="K2305" s="315">
        <f t="shared" si="75"/>
        <v>1.1571970983812626E-2</v>
      </c>
      <c r="L2305" s="234"/>
      <c r="M2305" s="234"/>
      <c r="N2305" s="234"/>
      <c r="O2305" s="234"/>
      <c r="P2305" s="234"/>
      <c r="Q2305" s="234"/>
      <c r="R2305" s="234"/>
    </row>
    <row r="2306" spans="8:18" ht="15" customHeight="1" x14ac:dyDescent="0.3">
      <c r="H2306" s="234" t="s">
        <v>4788</v>
      </c>
      <c r="I2306" s="306" t="s">
        <v>4789</v>
      </c>
      <c r="J2306" s="234">
        <f t="shared" si="74"/>
        <v>1.006625287676965</v>
      </c>
      <c r="K2306" s="315">
        <f t="shared" si="75"/>
        <v>6.6034369171794312E-3</v>
      </c>
      <c r="L2306" s="234"/>
      <c r="M2306" s="234"/>
      <c r="N2306" s="234"/>
      <c r="O2306" s="234"/>
      <c r="P2306" s="234"/>
      <c r="Q2306" s="234"/>
      <c r="R2306" s="234"/>
    </row>
    <row r="2307" spans="8:18" ht="15" customHeight="1" x14ac:dyDescent="0.3">
      <c r="H2307" s="234" t="s">
        <v>4790</v>
      </c>
      <c r="I2307" s="306" t="s">
        <v>4791</v>
      </c>
      <c r="J2307" s="234">
        <f t="shared" si="74"/>
        <v>1.0047825096788887</v>
      </c>
      <c r="K2307" s="315">
        <f t="shared" si="75"/>
        <v>4.7711098116757214E-3</v>
      </c>
      <c r="L2307" s="234"/>
      <c r="M2307" s="234"/>
      <c r="N2307" s="234"/>
      <c r="O2307" s="234"/>
      <c r="P2307" s="234"/>
      <c r="Q2307" s="234"/>
      <c r="R2307" s="234"/>
    </row>
    <row r="2308" spans="8:18" ht="15" customHeight="1" x14ac:dyDescent="0.3">
      <c r="H2308" s="234" t="s">
        <v>4792</v>
      </c>
      <c r="I2308" s="306" t="s">
        <v>4793</v>
      </c>
      <c r="J2308" s="234">
        <f t="shared" si="74"/>
        <v>0.98573624134417792</v>
      </c>
      <c r="K2308" s="315">
        <f t="shared" si="75"/>
        <v>-1.4366463872730741E-2</v>
      </c>
      <c r="L2308" s="234"/>
      <c r="M2308" s="234"/>
      <c r="N2308" s="234"/>
      <c r="O2308" s="234"/>
      <c r="P2308" s="234"/>
      <c r="Q2308" s="234"/>
      <c r="R2308" s="234"/>
    </row>
    <row r="2309" spans="8:18" ht="15" customHeight="1" x14ac:dyDescent="0.3">
      <c r="H2309" s="234" t="s">
        <v>4794</v>
      </c>
      <c r="I2309" s="306" t="s">
        <v>4795</v>
      </c>
      <c r="J2309" s="234">
        <f t="shared" ref="J2309:J2372" si="76">I2309/I2310</f>
        <v>1.0147368052148313</v>
      </c>
      <c r="K2309" s="315">
        <f t="shared" ref="K2309:K2372" si="77">LN(J2309)</f>
        <v>1.4629273661279776E-2</v>
      </c>
      <c r="L2309" s="234"/>
      <c r="M2309" s="234"/>
      <c r="N2309" s="234"/>
      <c r="O2309" s="234"/>
      <c r="P2309" s="234"/>
      <c r="Q2309" s="234"/>
      <c r="R2309" s="234"/>
    </row>
    <row r="2310" spans="8:18" ht="15" customHeight="1" x14ac:dyDescent="0.3">
      <c r="H2310" s="234" t="s">
        <v>4796</v>
      </c>
      <c r="I2310" s="306" t="s">
        <v>4797</v>
      </c>
      <c r="J2310" s="234">
        <f t="shared" si="76"/>
        <v>1.0045060902626206</v>
      </c>
      <c r="K2310" s="315">
        <f t="shared" si="77"/>
        <v>4.4959682336864152E-3</v>
      </c>
      <c r="L2310" s="234"/>
      <c r="M2310" s="234"/>
      <c r="N2310" s="234"/>
      <c r="O2310" s="234"/>
      <c r="P2310" s="234"/>
      <c r="Q2310" s="234"/>
      <c r="R2310" s="234"/>
    </row>
    <row r="2311" spans="8:18" ht="15" customHeight="1" x14ac:dyDescent="0.3">
      <c r="H2311" s="234" t="s">
        <v>4798</v>
      </c>
      <c r="I2311" s="306" t="s">
        <v>4799</v>
      </c>
      <c r="J2311" s="234">
        <f t="shared" si="76"/>
        <v>0.96981905087060427</v>
      </c>
      <c r="K2311" s="315">
        <f t="shared" si="77"/>
        <v>-3.0645770380705838E-2</v>
      </c>
      <c r="L2311" s="234"/>
      <c r="M2311" s="234"/>
      <c r="N2311" s="234"/>
      <c r="O2311" s="234"/>
      <c r="P2311" s="234"/>
      <c r="Q2311" s="234"/>
      <c r="R2311" s="234"/>
    </row>
    <row r="2312" spans="8:18" ht="15" customHeight="1" x14ac:dyDescent="0.3">
      <c r="H2312" s="234" t="s">
        <v>4800</v>
      </c>
      <c r="I2312" s="306" t="s">
        <v>4801</v>
      </c>
      <c r="J2312" s="234">
        <f t="shared" si="76"/>
        <v>1.0100348287871996</v>
      </c>
      <c r="K2312" s="315">
        <f t="shared" si="77"/>
        <v>9.9848142063328361E-3</v>
      </c>
      <c r="L2312" s="234"/>
      <c r="M2312" s="234"/>
      <c r="N2312" s="234"/>
      <c r="O2312" s="234"/>
      <c r="P2312" s="234"/>
      <c r="Q2312" s="234"/>
      <c r="R2312" s="234"/>
    </row>
    <row r="2313" spans="8:18" ht="15" customHeight="1" x14ac:dyDescent="0.3">
      <c r="H2313" s="234" t="s">
        <v>4802</v>
      </c>
      <c r="I2313" s="306" t="s">
        <v>4803</v>
      </c>
      <c r="J2313" s="234">
        <f t="shared" si="76"/>
        <v>0.96310195948189969</v>
      </c>
      <c r="K2313" s="315">
        <f t="shared" si="77"/>
        <v>-3.7595995860333117E-2</v>
      </c>
      <c r="L2313" s="234"/>
      <c r="M2313" s="234"/>
      <c r="N2313" s="234"/>
      <c r="O2313" s="234"/>
      <c r="P2313" s="234"/>
      <c r="Q2313" s="234"/>
      <c r="R2313" s="234"/>
    </row>
    <row r="2314" spans="8:18" ht="15" customHeight="1" x14ac:dyDescent="0.3">
      <c r="H2314" s="234" t="s">
        <v>4804</v>
      </c>
      <c r="I2314" s="306" t="s">
        <v>4805</v>
      </c>
      <c r="J2314" s="234">
        <f t="shared" si="76"/>
        <v>1.0015134128290841</v>
      </c>
      <c r="K2314" s="315">
        <f t="shared" si="77"/>
        <v>1.5122687740281157E-3</v>
      </c>
      <c r="L2314" s="234"/>
      <c r="M2314" s="234"/>
      <c r="N2314" s="234"/>
      <c r="O2314" s="234"/>
      <c r="P2314" s="234"/>
      <c r="Q2314" s="234"/>
      <c r="R2314" s="234"/>
    </row>
    <row r="2315" spans="8:18" ht="15" customHeight="1" x14ac:dyDescent="0.3">
      <c r="H2315" s="234" t="s">
        <v>4806</v>
      </c>
      <c r="I2315" s="306" t="s">
        <v>4807</v>
      </c>
      <c r="J2315" s="234">
        <f t="shared" si="76"/>
        <v>1.0094517006345902</v>
      </c>
      <c r="K2315" s="315">
        <f t="shared" si="77"/>
        <v>9.4073127867191509E-3</v>
      </c>
      <c r="L2315" s="234"/>
      <c r="M2315" s="234"/>
      <c r="N2315" s="234"/>
      <c r="O2315" s="234"/>
      <c r="P2315" s="234"/>
      <c r="Q2315" s="234"/>
      <c r="R2315" s="234"/>
    </row>
    <row r="2316" spans="8:18" ht="15" customHeight="1" x14ac:dyDescent="0.3">
      <c r="H2316" s="234" t="s">
        <v>4808</v>
      </c>
      <c r="I2316" s="306" t="s">
        <v>4809</v>
      </c>
      <c r="J2316" s="234">
        <f t="shared" si="76"/>
        <v>0.99916129898013961</v>
      </c>
      <c r="K2316" s="315">
        <f t="shared" si="77"/>
        <v>-8.390529263373848E-4</v>
      </c>
      <c r="L2316" s="234"/>
      <c r="M2316" s="234"/>
      <c r="N2316" s="234"/>
      <c r="O2316" s="234"/>
      <c r="P2316" s="234"/>
      <c r="Q2316" s="234"/>
      <c r="R2316" s="234"/>
    </row>
    <row r="2317" spans="8:18" ht="15" customHeight="1" x14ac:dyDescent="0.3">
      <c r="H2317" s="234" t="s">
        <v>4810</v>
      </c>
      <c r="I2317" s="306" t="s">
        <v>4811</v>
      </c>
      <c r="J2317" s="234">
        <f t="shared" si="76"/>
        <v>1.0236087979258597</v>
      </c>
      <c r="K2317" s="315">
        <f t="shared" si="77"/>
        <v>2.3334420348485409E-2</v>
      </c>
      <c r="L2317" s="234"/>
      <c r="M2317" s="234"/>
      <c r="N2317" s="234"/>
      <c r="O2317" s="234"/>
      <c r="P2317" s="234"/>
      <c r="Q2317" s="234"/>
      <c r="R2317" s="234"/>
    </row>
    <row r="2318" spans="8:18" ht="15" customHeight="1" x14ac:dyDescent="0.3">
      <c r="H2318" s="234" t="s">
        <v>4812</v>
      </c>
      <c r="I2318" s="306" t="s">
        <v>4813</v>
      </c>
      <c r="J2318" s="234">
        <f t="shared" si="76"/>
        <v>1.0058720920191362</v>
      </c>
      <c r="K2318" s="315">
        <f t="shared" si="77"/>
        <v>5.8549184837201401E-3</v>
      </c>
      <c r="L2318" s="234"/>
      <c r="M2318" s="234"/>
      <c r="N2318" s="234"/>
      <c r="O2318" s="234"/>
      <c r="P2318" s="234"/>
      <c r="Q2318" s="234"/>
      <c r="R2318" s="234"/>
    </row>
    <row r="2319" spans="8:18" ht="15" customHeight="1" x14ac:dyDescent="0.3">
      <c r="H2319" s="234" t="s">
        <v>4814</v>
      </c>
      <c r="I2319" s="306" t="s">
        <v>4815</v>
      </c>
      <c r="J2319" s="234">
        <f t="shared" si="76"/>
        <v>0.98840901331512465</v>
      </c>
      <c r="K2319" s="315">
        <f t="shared" si="77"/>
        <v>-1.1658685812615012E-2</v>
      </c>
      <c r="L2319" s="234"/>
      <c r="M2319" s="234"/>
      <c r="N2319" s="234"/>
      <c r="O2319" s="234"/>
      <c r="P2319" s="234"/>
      <c r="Q2319" s="234"/>
      <c r="R2319" s="234"/>
    </row>
    <row r="2320" spans="8:18" ht="15" customHeight="1" x14ac:dyDescent="0.3">
      <c r="H2320" s="234" t="s">
        <v>4816</v>
      </c>
      <c r="I2320" s="306" t="s">
        <v>4801</v>
      </c>
      <c r="J2320" s="234">
        <f t="shared" si="76"/>
        <v>0.99948814195529778</v>
      </c>
      <c r="K2320" s="315">
        <f t="shared" si="77"/>
        <v>-5.1198908875038933E-4</v>
      </c>
      <c r="L2320" s="234"/>
      <c r="M2320" s="234"/>
      <c r="N2320" s="234"/>
      <c r="O2320" s="234"/>
      <c r="P2320" s="234"/>
      <c r="Q2320" s="234"/>
      <c r="R2320" s="234"/>
    </row>
    <row r="2321" spans="8:18" ht="15" customHeight="1" x14ac:dyDescent="0.3">
      <c r="H2321" s="234" t="s">
        <v>4817</v>
      </c>
      <c r="I2321" s="306" t="s">
        <v>4818</v>
      </c>
      <c r="J2321" s="234">
        <f t="shared" si="76"/>
        <v>1.0154720446315644</v>
      </c>
      <c r="K2321" s="315">
        <f t="shared" si="77"/>
        <v>1.5353572985392624E-2</v>
      </c>
      <c r="L2321" s="234"/>
      <c r="M2321" s="234"/>
      <c r="N2321" s="234"/>
      <c r="O2321" s="234"/>
      <c r="P2321" s="234"/>
      <c r="Q2321" s="234"/>
      <c r="R2321" s="234"/>
    </row>
    <row r="2322" spans="8:18" ht="15" customHeight="1" x14ac:dyDescent="0.3">
      <c r="H2322" s="234" t="s">
        <v>4819</v>
      </c>
      <c r="I2322" s="306" t="s">
        <v>4820</v>
      </c>
      <c r="J2322" s="234">
        <f t="shared" si="76"/>
        <v>0.99986141186660893</v>
      </c>
      <c r="K2322" s="315">
        <f t="shared" si="77"/>
        <v>-1.3859773761379387E-4</v>
      </c>
      <c r="L2322" s="234"/>
      <c r="M2322" s="234"/>
      <c r="N2322" s="234"/>
      <c r="O2322" s="234"/>
      <c r="P2322" s="234"/>
      <c r="Q2322" s="234"/>
      <c r="R2322" s="234"/>
    </row>
    <row r="2323" spans="8:18" ht="15" customHeight="1" x14ac:dyDescent="0.3">
      <c r="H2323" s="234" t="s">
        <v>4821</v>
      </c>
      <c r="I2323" s="306" t="s">
        <v>4822</v>
      </c>
      <c r="J2323" s="234">
        <f t="shared" si="76"/>
        <v>1.0001212793236078</v>
      </c>
      <c r="K2323" s="315">
        <f t="shared" si="77"/>
        <v>1.2127196986523478E-4</v>
      </c>
      <c r="L2323" s="234"/>
      <c r="M2323" s="234"/>
      <c r="N2323" s="234"/>
      <c r="O2323" s="234"/>
      <c r="P2323" s="234"/>
      <c r="Q2323" s="234"/>
      <c r="R2323" s="234"/>
    </row>
    <row r="2324" spans="8:18" ht="15" customHeight="1" x14ac:dyDescent="0.3">
      <c r="H2324" s="234" t="s">
        <v>4823</v>
      </c>
      <c r="I2324" s="306" t="s">
        <v>4824</v>
      </c>
      <c r="J2324" s="234">
        <f t="shared" si="76"/>
        <v>0.99481204433030557</v>
      </c>
      <c r="K2324" s="315">
        <f t="shared" si="77"/>
        <v>-5.2014598379758444E-3</v>
      </c>
      <c r="L2324" s="234"/>
      <c r="M2324" s="234"/>
      <c r="N2324" s="234"/>
      <c r="O2324" s="234"/>
      <c r="P2324" s="234"/>
      <c r="Q2324" s="234"/>
      <c r="R2324" s="234"/>
    </row>
    <row r="2325" spans="8:18" ht="15" customHeight="1" x14ac:dyDescent="0.3">
      <c r="H2325" s="234" t="s">
        <v>4825</v>
      </c>
      <c r="I2325" s="306" t="s">
        <v>4826</v>
      </c>
      <c r="J2325" s="234">
        <f t="shared" si="76"/>
        <v>1.0041190010557104</v>
      </c>
      <c r="K2325" s="315">
        <f t="shared" si="77"/>
        <v>4.1105411936924767E-3</v>
      </c>
      <c r="L2325" s="234"/>
      <c r="M2325" s="234"/>
      <c r="N2325" s="234"/>
      <c r="O2325" s="234"/>
      <c r="P2325" s="234"/>
      <c r="Q2325" s="234"/>
      <c r="R2325" s="234"/>
    </row>
    <row r="2326" spans="8:18" ht="15" customHeight="1" x14ac:dyDescent="0.3">
      <c r="H2326" s="234" t="s">
        <v>4827</v>
      </c>
      <c r="I2326" s="306" t="s">
        <v>4828</v>
      </c>
      <c r="J2326" s="234">
        <f t="shared" si="76"/>
        <v>0.97801286391333786</v>
      </c>
      <c r="K2326" s="315">
        <f t="shared" si="77"/>
        <v>-2.2232455748201888E-2</v>
      </c>
      <c r="L2326" s="234"/>
      <c r="M2326" s="234"/>
      <c r="N2326" s="234"/>
      <c r="O2326" s="234"/>
      <c r="P2326" s="234"/>
      <c r="Q2326" s="234"/>
      <c r="R2326" s="234"/>
    </row>
    <row r="2327" spans="8:18" ht="15" customHeight="1" x14ac:dyDescent="0.3">
      <c r="H2327" s="234" t="s">
        <v>4829</v>
      </c>
      <c r="I2327" s="306" t="s">
        <v>4830</v>
      </c>
      <c r="J2327" s="234">
        <f t="shared" si="76"/>
        <v>0.99868149700801245</v>
      </c>
      <c r="K2327" s="315">
        <f t="shared" si="77"/>
        <v>-1.3193729818644071E-3</v>
      </c>
      <c r="L2327" s="234"/>
      <c r="M2327" s="234"/>
      <c r="N2327" s="234"/>
      <c r="O2327" s="234"/>
      <c r="P2327" s="234"/>
      <c r="Q2327" s="234"/>
      <c r="R2327" s="234"/>
    </row>
    <row r="2328" spans="8:18" ht="15" customHeight="1" x14ac:dyDescent="0.3">
      <c r="H2328" s="234" t="s">
        <v>4831</v>
      </c>
      <c r="I2328" s="306" t="s">
        <v>4832</v>
      </c>
      <c r="J2328" s="234">
        <f t="shared" si="76"/>
        <v>0.99720180702582428</v>
      </c>
      <c r="K2328" s="315">
        <f t="shared" si="77"/>
        <v>-2.8021152346726329E-3</v>
      </c>
      <c r="L2328" s="234"/>
      <c r="M2328" s="234"/>
      <c r="N2328" s="234"/>
      <c r="O2328" s="234"/>
      <c r="P2328" s="234"/>
      <c r="Q2328" s="234"/>
      <c r="R2328" s="234"/>
    </row>
    <row r="2329" spans="8:18" ht="15" customHeight="1" x14ac:dyDescent="0.3">
      <c r="H2329" s="234" t="s">
        <v>4833</v>
      </c>
      <c r="I2329" s="306" t="s">
        <v>4834</v>
      </c>
      <c r="J2329" s="234">
        <f t="shared" si="76"/>
        <v>1.0081057657994461</v>
      </c>
      <c r="K2329" s="315">
        <f t="shared" si="77"/>
        <v>8.0730905331278142E-3</v>
      </c>
      <c r="L2329" s="234"/>
      <c r="M2329" s="234"/>
      <c r="N2329" s="234"/>
      <c r="O2329" s="234"/>
      <c r="P2329" s="234"/>
      <c r="Q2329" s="234"/>
      <c r="R2329" s="234"/>
    </row>
    <row r="2330" spans="8:18" ht="15" customHeight="1" x14ac:dyDescent="0.3">
      <c r="H2330" s="234" t="s">
        <v>4835</v>
      </c>
      <c r="I2330" s="306" t="s">
        <v>4836</v>
      </c>
      <c r="J2330" s="234">
        <f t="shared" si="76"/>
        <v>0.99497835790612743</v>
      </c>
      <c r="K2330" s="315">
        <f t="shared" si="77"/>
        <v>-5.0342929082105442E-3</v>
      </c>
      <c r="L2330" s="234"/>
      <c r="M2330" s="234"/>
      <c r="N2330" s="234"/>
      <c r="O2330" s="234"/>
      <c r="P2330" s="234"/>
      <c r="Q2330" s="234"/>
      <c r="R2330" s="234"/>
    </row>
    <row r="2331" spans="8:18" ht="15" customHeight="1" x14ac:dyDescent="0.3">
      <c r="H2331" s="234" t="s">
        <v>4837</v>
      </c>
      <c r="I2331" s="306" t="s">
        <v>4838</v>
      </c>
      <c r="J2331" s="234">
        <f t="shared" si="76"/>
        <v>1.0141985046985389</v>
      </c>
      <c r="K2331" s="315">
        <f t="shared" si="77"/>
        <v>1.4098650012223346E-2</v>
      </c>
      <c r="L2331" s="234"/>
      <c r="M2331" s="234"/>
      <c r="N2331" s="234"/>
      <c r="O2331" s="234"/>
      <c r="P2331" s="234"/>
      <c r="Q2331" s="234"/>
      <c r="R2331" s="234"/>
    </row>
    <row r="2332" spans="8:18" ht="15" customHeight="1" x14ac:dyDescent="0.3">
      <c r="H2332" s="234" t="s">
        <v>4839</v>
      </c>
      <c r="I2332" s="306" t="s">
        <v>4840</v>
      </c>
      <c r="J2332" s="234">
        <f t="shared" si="76"/>
        <v>1.0002744425385934</v>
      </c>
      <c r="K2332" s="315">
        <f t="shared" si="77"/>
        <v>2.7440488612873979E-4</v>
      </c>
      <c r="L2332" s="234"/>
      <c r="M2332" s="234"/>
      <c r="N2332" s="234"/>
      <c r="O2332" s="234"/>
      <c r="P2332" s="234"/>
      <c r="Q2332" s="234"/>
      <c r="R2332" s="234"/>
    </row>
    <row r="2333" spans="8:18" ht="15" customHeight="1" x14ac:dyDescent="0.3">
      <c r="H2333" s="234" t="s">
        <v>4841</v>
      </c>
      <c r="I2333" s="306" t="s">
        <v>4842</v>
      </c>
      <c r="J2333" s="234">
        <f t="shared" si="76"/>
        <v>1.0241545893719808</v>
      </c>
      <c r="K2333" s="315">
        <f t="shared" si="77"/>
        <v>2.3867481406643486E-2</v>
      </c>
      <c r="L2333" s="234"/>
      <c r="M2333" s="234"/>
      <c r="N2333" s="234"/>
      <c r="O2333" s="234"/>
      <c r="P2333" s="234"/>
      <c r="Q2333" s="234"/>
      <c r="R2333" s="234"/>
    </row>
    <row r="2334" spans="8:18" ht="15" customHeight="1" x14ac:dyDescent="0.3">
      <c r="H2334" s="234" t="s">
        <v>4843</v>
      </c>
      <c r="I2334" s="306" t="s">
        <v>4844</v>
      </c>
      <c r="J2334" s="234">
        <f t="shared" si="76"/>
        <v>0.98673946957878311</v>
      </c>
      <c r="K2334" s="315">
        <f t="shared" si="77"/>
        <v>-1.3349236318994779E-2</v>
      </c>
      <c r="L2334" s="234"/>
      <c r="M2334" s="234"/>
      <c r="N2334" s="234"/>
      <c r="O2334" s="234"/>
      <c r="P2334" s="234"/>
      <c r="Q2334" s="234"/>
      <c r="R2334" s="234"/>
    </row>
    <row r="2335" spans="8:18" ht="15" customHeight="1" x14ac:dyDescent="0.3">
      <c r="H2335" s="234" t="s">
        <v>4845</v>
      </c>
      <c r="I2335" s="306" t="s">
        <v>4846</v>
      </c>
      <c r="J2335" s="234">
        <f t="shared" si="76"/>
        <v>1.0009195482068809</v>
      </c>
      <c r="K2335" s="315">
        <f t="shared" si="77"/>
        <v>9.1912568143034609E-4</v>
      </c>
      <c r="L2335" s="234"/>
      <c r="M2335" s="234"/>
      <c r="N2335" s="234"/>
      <c r="O2335" s="234"/>
      <c r="P2335" s="234"/>
      <c r="Q2335" s="234"/>
      <c r="R2335" s="234"/>
    </row>
    <row r="2336" spans="8:18" ht="15" customHeight="1" x14ac:dyDescent="0.3">
      <c r="H2336" s="234" t="s">
        <v>4847</v>
      </c>
      <c r="I2336" s="306" t="s">
        <v>4848</v>
      </c>
      <c r="J2336" s="234">
        <f t="shared" si="76"/>
        <v>0.99968779810944408</v>
      </c>
      <c r="K2336" s="315">
        <f t="shared" si="77"/>
        <v>-3.1225063571196931E-4</v>
      </c>
      <c r="L2336" s="234"/>
      <c r="M2336" s="234"/>
      <c r="N2336" s="234"/>
      <c r="O2336" s="234"/>
      <c r="P2336" s="234"/>
      <c r="Q2336" s="234"/>
      <c r="R2336" s="234"/>
    </row>
    <row r="2337" spans="8:18" ht="15" customHeight="1" x14ac:dyDescent="0.3">
      <c r="H2337" s="234" t="s">
        <v>4849</v>
      </c>
      <c r="I2337" s="306" t="s">
        <v>4850</v>
      </c>
      <c r="J2337" s="234">
        <f t="shared" si="76"/>
        <v>1.0007984863476194</v>
      </c>
      <c r="K2337" s="315">
        <f t="shared" si="77"/>
        <v>7.981677269938962E-4</v>
      </c>
      <c r="L2337" s="234"/>
      <c r="M2337" s="234"/>
      <c r="N2337" s="234"/>
      <c r="O2337" s="234"/>
      <c r="P2337" s="234"/>
      <c r="Q2337" s="234"/>
      <c r="R2337" s="234"/>
    </row>
    <row r="2338" spans="8:18" ht="15" customHeight="1" x14ac:dyDescent="0.3">
      <c r="H2338" s="234" t="s">
        <v>4851</v>
      </c>
      <c r="I2338" s="306" t="s">
        <v>4852</v>
      </c>
      <c r="J2338" s="234">
        <f t="shared" si="76"/>
        <v>1.0093384259583713</v>
      </c>
      <c r="K2338" s="315">
        <f t="shared" si="77"/>
        <v>9.2950924277569666E-3</v>
      </c>
      <c r="L2338" s="234"/>
      <c r="M2338" s="234"/>
      <c r="N2338" s="234"/>
      <c r="O2338" s="234"/>
      <c r="P2338" s="234"/>
      <c r="Q2338" s="234"/>
      <c r="R2338" s="234"/>
    </row>
    <row r="2339" spans="8:18" ht="15" customHeight="1" x14ac:dyDescent="0.3">
      <c r="H2339" s="234" t="s">
        <v>4853</v>
      </c>
      <c r="I2339" s="306" t="s">
        <v>4854</v>
      </c>
      <c r="J2339" s="234">
        <f t="shared" si="76"/>
        <v>1.0163648343038267</v>
      </c>
      <c r="K2339" s="315">
        <f t="shared" si="77"/>
        <v>1.6232373581026954E-2</v>
      </c>
      <c r="L2339" s="234"/>
      <c r="M2339" s="234"/>
      <c r="N2339" s="234"/>
      <c r="O2339" s="234"/>
      <c r="P2339" s="234"/>
      <c r="Q2339" s="234"/>
      <c r="R2339" s="234"/>
    </row>
    <row r="2340" spans="8:18" ht="15" customHeight="1" x14ac:dyDescent="0.3">
      <c r="H2340" s="234" t="s">
        <v>4855</v>
      </c>
      <c r="I2340" s="306" t="s">
        <v>4856</v>
      </c>
      <c r="J2340" s="234">
        <f t="shared" si="76"/>
        <v>0.98944604975685391</v>
      </c>
      <c r="K2340" s="315">
        <f t="shared" si="77"/>
        <v>-1.0610038157765117E-2</v>
      </c>
      <c r="L2340" s="234"/>
      <c r="M2340" s="234"/>
      <c r="N2340" s="234"/>
      <c r="O2340" s="234"/>
      <c r="P2340" s="234"/>
      <c r="Q2340" s="234"/>
      <c r="R2340" s="234"/>
    </row>
    <row r="2341" spans="8:18" ht="15" customHeight="1" x14ac:dyDescent="0.3">
      <c r="H2341" s="234" t="s">
        <v>4857</v>
      </c>
      <c r="I2341" s="306" t="s">
        <v>4858</v>
      </c>
      <c r="J2341" s="234">
        <f t="shared" si="76"/>
        <v>0.99035055575913034</v>
      </c>
      <c r="K2341" s="315">
        <f t="shared" si="77"/>
        <v>-9.6963018045575014E-3</v>
      </c>
      <c r="L2341" s="234"/>
      <c r="M2341" s="234"/>
      <c r="N2341" s="234"/>
      <c r="O2341" s="234"/>
      <c r="P2341" s="234"/>
      <c r="Q2341" s="234"/>
      <c r="R2341" s="234"/>
    </row>
    <row r="2342" spans="8:18" ht="15" customHeight="1" x14ac:dyDescent="0.3">
      <c r="H2342" s="234" t="s">
        <v>4859</v>
      </c>
      <c r="I2342" s="306" t="s">
        <v>4860</v>
      </c>
      <c r="J2342" s="234">
        <f t="shared" si="76"/>
        <v>1.0113828886065226</v>
      </c>
      <c r="K2342" s="315">
        <f t="shared" si="77"/>
        <v>1.131859099830286E-2</v>
      </c>
      <c r="L2342" s="234"/>
      <c r="M2342" s="234"/>
      <c r="N2342" s="234"/>
      <c r="O2342" s="234"/>
      <c r="P2342" s="234"/>
      <c r="Q2342" s="234"/>
      <c r="R2342" s="234"/>
    </row>
    <row r="2343" spans="8:18" ht="15" customHeight="1" x14ac:dyDescent="0.3">
      <c r="H2343" s="234" t="s">
        <v>4861</v>
      </c>
      <c r="I2343" s="306" t="s">
        <v>4862</v>
      </c>
      <c r="J2343" s="234">
        <f t="shared" si="76"/>
        <v>0.99667563716954255</v>
      </c>
      <c r="K2343" s="315">
        <f t="shared" si="77"/>
        <v>-3.3299008014611884E-3</v>
      </c>
      <c r="L2343" s="234"/>
      <c r="M2343" s="234"/>
      <c r="N2343" s="234"/>
      <c r="O2343" s="234"/>
      <c r="P2343" s="234"/>
      <c r="Q2343" s="234"/>
      <c r="R2343" s="234"/>
    </row>
    <row r="2344" spans="8:18" ht="15" customHeight="1" x14ac:dyDescent="0.3">
      <c r="H2344" s="234" t="s">
        <v>4863</v>
      </c>
      <c r="I2344" s="306" t="s">
        <v>4864</v>
      </c>
      <c r="J2344" s="234">
        <f t="shared" si="76"/>
        <v>1.001144608015778</v>
      </c>
      <c r="K2344" s="315">
        <f t="shared" si="77"/>
        <v>1.1439534514551904E-3</v>
      </c>
      <c r="L2344" s="234"/>
      <c r="M2344" s="234"/>
      <c r="N2344" s="234"/>
      <c r="O2344" s="234"/>
      <c r="P2344" s="234"/>
      <c r="Q2344" s="234"/>
      <c r="R2344" s="234"/>
    </row>
    <row r="2345" spans="8:18" ht="15" customHeight="1" x14ac:dyDescent="0.3">
      <c r="H2345" s="234" t="s">
        <v>4865</v>
      </c>
      <c r="I2345" s="306" t="s">
        <v>4866</v>
      </c>
      <c r="J2345" s="234">
        <f t="shared" si="76"/>
        <v>0.99845277445671288</v>
      </c>
      <c r="K2345" s="315">
        <f t="shared" si="77"/>
        <v>-1.5484237328004548E-3</v>
      </c>
      <c r="L2345" s="234"/>
      <c r="M2345" s="234"/>
      <c r="N2345" s="234"/>
      <c r="O2345" s="234"/>
      <c r="P2345" s="234"/>
      <c r="Q2345" s="234"/>
      <c r="R2345" s="234"/>
    </row>
    <row r="2346" spans="8:18" ht="15" customHeight="1" x14ac:dyDescent="0.3">
      <c r="H2346" s="234" t="s">
        <v>4867</v>
      </c>
      <c r="I2346" s="306" t="s">
        <v>4868</v>
      </c>
      <c r="J2346" s="234">
        <f t="shared" si="76"/>
        <v>0.99771953829421467</v>
      </c>
      <c r="K2346" s="315">
        <f t="shared" si="77"/>
        <v>-2.2830659185393977E-3</v>
      </c>
      <c r="L2346" s="234"/>
      <c r="M2346" s="234"/>
      <c r="N2346" s="234"/>
      <c r="O2346" s="234"/>
      <c r="P2346" s="234"/>
      <c r="Q2346" s="234"/>
      <c r="R2346" s="234"/>
    </row>
    <row r="2347" spans="8:18" ht="15" customHeight="1" x14ac:dyDescent="0.3">
      <c r="H2347" s="234" t="s">
        <v>4869</v>
      </c>
      <c r="I2347" s="306" t="s">
        <v>4870</v>
      </c>
      <c r="J2347" s="234">
        <f t="shared" si="76"/>
        <v>1.0064440952666796</v>
      </c>
      <c r="K2347" s="315">
        <f t="shared" si="77"/>
        <v>6.4234208558255753E-3</v>
      </c>
      <c r="L2347" s="234"/>
      <c r="M2347" s="234"/>
      <c r="N2347" s="234"/>
      <c r="O2347" s="234"/>
      <c r="P2347" s="234"/>
      <c r="Q2347" s="234"/>
      <c r="R2347" s="234"/>
    </row>
    <row r="2348" spans="8:18" ht="15" customHeight="1" x14ac:dyDescent="0.3">
      <c r="H2348" s="234" t="s">
        <v>4871</v>
      </c>
      <c r="I2348" s="306" t="s">
        <v>4872</v>
      </c>
      <c r="J2348" s="234">
        <f t="shared" si="76"/>
        <v>1.0011135070168617</v>
      </c>
      <c r="K2348" s="315">
        <f t="shared" si="77"/>
        <v>1.1128875277511148E-3</v>
      </c>
      <c r="L2348" s="234"/>
      <c r="M2348" s="234"/>
      <c r="N2348" s="234"/>
      <c r="O2348" s="234"/>
      <c r="P2348" s="234"/>
      <c r="Q2348" s="234"/>
      <c r="R2348" s="234"/>
    </row>
    <row r="2349" spans="8:18" ht="15" customHeight="1" x14ac:dyDescent="0.3">
      <c r="H2349" s="234" t="s">
        <v>4873</v>
      </c>
      <c r="I2349" s="306" t="s">
        <v>4874</v>
      </c>
      <c r="J2349" s="234">
        <f t="shared" si="76"/>
        <v>0.99786592356126214</v>
      </c>
      <c r="K2349" s="315">
        <f t="shared" si="77"/>
        <v>-2.136356824784105E-3</v>
      </c>
      <c r="L2349" s="234"/>
      <c r="M2349" s="234"/>
      <c r="N2349" s="234"/>
      <c r="O2349" s="234"/>
      <c r="P2349" s="234"/>
      <c r="Q2349" s="234"/>
      <c r="R2349" s="234"/>
    </row>
    <row r="2350" spans="8:18" ht="15" customHeight="1" x14ac:dyDescent="0.3">
      <c r="H2350" s="234" t="s">
        <v>4875</v>
      </c>
      <c r="I2350" s="306" t="s">
        <v>4876</v>
      </c>
      <c r="J2350" s="234">
        <f t="shared" si="76"/>
        <v>1.0037530759289748</v>
      </c>
      <c r="K2350" s="315">
        <f t="shared" si="77"/>
        <v>3.7460507114737735E-3</v>
      </c>
      <c r="L2350" s="234"/>
      <c r="M2350" s="234"/>
      <c r="N2350" s="234"/>
      <c r="O2350" s="234"/>
      <c r="P2350" s="234"/>
      <c r="Q2350" s="234"/>
      <c r="R2350" s="234"/>
    </row>
    <row r="2351" spans="8:18" ht="15" customHeight="1" x14ac:dyDescent="0.3">
      <c r="H2351" s="234" t="s">
        <v>4877</v>
      </c>
      <c r="I2351" s="306" t="s">
        <v>4878</v>
      </c>
      <c r="J2351" s="234">
        <f t="shared" si="76"/>
        <v>1.0164468356935923</v>
      </c>
      <c r="K2351" s="315">
        <f t="shared" si="77"/>
        <v>1.6313051384111519E-2</v>
      </c>
      <c r="L2351" s="234"/>
      <c r="M2351" s="234"/>
      <c r="N2351" s="234"/>
      <c r="O2351" s="234"/>
      <c r="P2351" s="234"/>
      <c r="Q2351" s="234"/>
      <c r="R2351" s="234"/>
    </row>
    <row r="2352" spans="8:18" ht="15" customHeight="1" x14ac:dyDescent="0.3">
      <c r="H2352" s="234" t="s">
        <v>4879</v>
      </c>
      <c r="I2352" s="306" t="s">
        <v>4880</v>
      </c>
      <c r="J2352" s="234">
        <f t="shared" si="76"/>
        <v>1.0016401715871814</v>
      </c>
      <c r="K2352" s="315">
        <f t="shared" si="77"/>
        <v>1.638827974733082E-3</v>
      </c>
      <c r="L2352" s="234"/>
      <c r="M2352" s="234"/>
      <c r="N2352" s="234"/>
      <c r="O2352" s="234"/>
      <c r="P2352" s="234"/>
      <c r="Q2352" s="234"/>
      <c r="R2352" s="234"/>
    </row>
    <row r="2353" spans="8:18" ht="15" customHeight="1" x14ac:dyDescent="0.3">
      <c r="H2353" s="234" t="s">
        <v>4881</v>
      </c>
      <c r="I2353" s="306" t="s">
        <v>4882</v>
      </c>
      <c r="J2353" s="234">
        <f t="shared" si="76"/>
        <v>1.0161352356183952</v>
      </c>
      <c r="K2353" s="315">
        <f t="shared" si="77"/>
        <v>1.6006446222100078E-2</v>
      </c>
      <c r="L2353" s="234"/>
      <c r="M2353" s="234"/>
      <c r="N2353" s="234"/>
      <c r="O2353" s="234"/>
      <c r="P2353" s="234"/>
      <c r="Q2353" s="234"/>
      <c r="R2353" s="234"/>
    </row>
    <row r="2354" spans="8:18" ht="15" customHeight="1" x14ac:dyDescent="0.3">
      <c r="H2354" s="234" t="s">
        <v>4883</v>
      </c>
      <c r="I2354" s="306" t="s">
        <v>4884</v>
      </c>
      <c r="J2354" s="234">
        <f t="shared" si="76"/>
        <v>1.0063587437334121</v>
      </c>
      <c r="K2354" s="315">
        <f t="shared" si="77"/>
        <v>6.3386122181737573E-3</v>
      </c>
      <c r="L2354" s="234"/>
      <c r="M2354" s="234"/>
      <c r="N2354" s="234"/>
      <c r="O2354" s="234"/>
      <c r="P2354" s="234"/>
      <c r="Q2354" s="234"/>
      <c r="R2354" s="234"/>
    </row>
    <row r="2355" spans="8:18" ht="15" customHeight="1" x14ac:dyDescent="0.3">
      <c r="H2355" s="234" t="s">
        <v>4885</v>
      </c>
      <c r="I2355" s="306" t="s">
        <v>4886</v>
      </c>
      <c r="J2355" s="234">
        <f t="shared" si="76"/>
        <v>1.0054669112877819</v>
      </c>
      <c r="K2355" s="315">
        <f t="shared" si="77"/>
        <v>5.4520219693393462E-3</v>
      </c>
      <c r="L2355" s="234"/>
      <c r="M2355" s="234"/>
      <c r="N2355" s="234"/>
      <c r="O2355" s="234"/>
      <c r="P2355" s="234"/>
      <c r="Q2355" s="234"/>
      <c r="R2355" s="234"/>
    </row>
    <row r="2356" spans="8:18" ht="15" customHeight="1" x14ac:dyDescent="0.3">
      <c r="H2356" s="234" t="s">
        <v>4887</v>
      </c>
      <c r="I2356" s="306" t="s">
        <v>4888</v>
      </c>
      <c r="J2356" s="234">
        <f t="shared" si="76"/>
        <v>1.015392431740775</v>
      </c>
      <c r="K2356" s="315">
        <f t="shared" si="77"/>
        <v>1.5275170027680364E-2</v>
      </c>
      <c r="L2356" s="234"/>
      <c r="M2356" s="234"/>
      <c r="N2356" s="234"/>
      <c r="O2356" s="234"/>
      <c r="P2356" s="234"/>
      <c r="Q2356" s="234"/>
      <c r="R2356" s="234"/>
    </row>
    <row r="2357" spans="8:18" ht="15" customHeight="1" x14ac:dyDescent="0.3">
      <c r="H2357" s="234" t="s">
        <v>4889</v>
      </c>
      <c r="I2357" s="306" t="s">
        <v>4890</v>
      </c>
      <c r="J2357" s="234">
        <f t="shared" si="76"/>
        <v>1.0215878508266052</v>
      </c>
      <c r="K2357" s="315">
        <f t="shared" si="77"/>
        <v>2.1358133365757689E-2</v>
      </c>
      <c r="L2357" s="234"/>
      <c r="M2357" s="234"/>
      <c r="N2357" s="234"/>
      <c r="O2357" s="234"/>
      <c r="P2357" s="234"/>
      <c r="Q2357" s="234"/>
      <c r="R2357" s="234"/>
    </row>
    <row r="2358" spans="8:18" ht="15" customHeight="1" x14ac:dyDescent="0.3">
      <c r="H2358" s="234" t="s">
        <v>4891</v>
      </c>
      <c r="I2358" s="306" t="s">
        <v>4892</v>
      </c>
      <c r="J2358" s="234">
        <f t="shared" si="76"/>
        <v>1.0022735154714655</v>
      </c>
      <c r="K2358" s="315">
        <f t="shared" si="77"/>
        <v>2.2709349456694074E-3</v>
      </c>
      <c r="L2358" s="234"/>
      <c r="M2358" s="234"/>
      <c r="N2358" s="234"/>
      <c r="O2358" s="234"/>
      <c r="P2358" s="234"/>
      <c r="Q2358" s="234"/>
      <c r="R2358" s="234"/>
    </row>
    <row r="2359" spans="8:18" ht="15" customHeight="1" x14ac:dyDescent="0.3">
      <c r="H2359" s="234" t="s">
        <v>4893</v>
      </c>
      <c r="I2359" s="306" t="s">
        <v>4894</v>
      </c>
      <c r="J2359" s="234">
        <f t="shared" si="76"/>
        <v>1.0011573627560666</v>
      </c>
      <c r="K2359" s="315">
        <f t="shared" si="77"/>
        <v>1.1566935281019388E-3</v>
      </c>
      <c r="L2359" s="234"/>
      <c r="M2359" s="234"/>
      <c r="N2359" s="234"/>
      <c r="O2359" s="234"/>
      <c r="P2359" s="234"/>
      <c r="Q2359" s="234"/>
      <c r="R2359" s="234"/>
    </row>
    <row r="2360" spans="8:18" ht="15" customHeight="1" x14ac:dyDescent="0.3">
      <c r="H2360" s="234" t="s">
        <v>4895</v>
      </c>
      <c r="I2360" s="306" t="s">
        <v>4896</v>
      </c>
      <c r="J2360" s="234">
        <f t="shared" si="76"/>
        <v>0.98624560068486633</v>
      </c>
      <c r="K2360" s="315">
        <f t="shared" si="77"/>
        <v>-1.3849867481059999E-2</v>
      </c>
      <c r="L2360" s="234"/>
      <c r="M2360" s="234"/>
      <c r="N2360" s="234"/>
      <c r="O2360" s="234"/>
      <c r="P2360" s="234"/>
      <c r="Q2360" s="234"/>
      <c r="R2360" s="234"/>
    </row>
    <row r="2361" spans="8:18" ht="15" customHeight="1" x14ac:dyDescent="0.3">
      <c r="H2361" s="234" t="s">
        <v>4897</v>
      </c>
      <c r="I2361" s="306" t="s">
        <v>4898</v>
      </c>
      <c r="J2361" s="234">
        <f t="shared" si="76"/>
        <v>1.0062020252292261</v>
      </c>
      <c r="K2361" s="315">
        <f t="shared" si="77"/>
        <v>6.1828718232305345E-3</v>
      </c>
      <c r="L2361" s="234"/>
      <c r="M2361" s="234"/>
      <c r="N2361" s="234"/>
      <c r="O2361" s="234"/>
      <c r="P2361" s="234"/>
      <c r="Q2361" s="234"/>
      <c r="R2361" s="234"/>
    </row>
    <row r="2362" spans="8:18" ht="15" customHeight="1" x14ac:dyDescent="0.3">
      <c r="H2362" s="234" t="s">
        <v>4899</v>
      </c>
      <c r="I2362" s="306" t="s">
        <v>4900</v>
      </c>
      <c r="J2362" s="234">
        <f t="shared" si="76"/>
        <v>1.0136010865347302</v>
      </c>
      <c r="K2362" s="315">
        <f t="shared" si="77"/>
        <v>1.3509421980344619E-2</v>
      </c>
      <c r="L2362" s="234"/>
      <c r="M2362" s="234"/>
      <c r="N2362" s="234"/>
      <c r="O2362" s="234"/>
      <c r="P2362" s="234"/>
      <c r="Q2362" s="234"/>
      <c r="R2362" s="234"/>
    </row>
    <row r="2363" spans="8:18" ht="15" customHeight="1" x14ac:dyDescent="0.3">
      <c r="H2363" s="234" t="s">
        <v>4901</v>
      </c>
      <c r="I2363" s="306" t="s">
        <v>4902</v>
      </c>
      <c r="J2363" s="234">
        <f t="shared" si="76"/>
        <v>1.0105684202270544</v>
      </c>
      <c r="K2363" s="315">
        <f t="shared" si="77"/>
        <v>1.0512964848987246E-2</v>
      </c>
      <c r="L2363" s="234"/>
      <c r="M2363" s="234"/>
      <c r="N2363" s="234"/>
      <c r="O2363" s="234"/>
      <c r="P2363" s="234"/>
      <c r="Q2363" s="234"/>
      <c r="R2363" s="234"/>
    </row>
    <row r="2364" spans="8:18" ht="15" customHeight="1" x14ac:dyDescent="0.3">
      <c r="H2364" s="234" t="s">
        <v>4903</v>
      </c>
      <c r="I2364" s="306" t="s">
        <v>4904</v>
      </c>
      <c r="J2364" s="234">
        <f t="shared" si="76"/>
        <v>1.0198364294427003</v>
      </c>
      <c r="K2364" s="315">
        <f t="shared" si="77"/>
        <v>1.9642251145141929E-2</v>
      </c>
      <c r="L2364" s="234"/>
      <c r="M2364" s="234"/>
      <c r="N2364" s="234"/>
      <c r="O2364" s="234"/>
      <c r="P2364" s="234"/>
      <c r="Q2364" s="234"/>
      <c r="R2364" s="234"/>
    </row>
    <row r="2365" spans="8:18" ht="15" customHeight="1" x14ac:dyDescent="0.3">
      <c r="H2365" s="234" t="s">
        <v>4905</v>
      </c>
      <c r="I2365" s="306" t="s">
        <v>4906</v>
      </c>
      <c r="J2365" s="234">
        <f t="shared" si="76"/>
        <v>1.0153699342158693</v>
      </c>
      <c r="K2365" s="315">
        <f t="shared" si="77"/>
        <v>1.5253013299464647E-2</v>
      </c>
      <c r="L2365" s="234"/>
      <c r="M2365" s="234"/>
      <c r="N2365" s="234"/>
      <c r="O2365" s="234"/>
      <c r="P2365" s="234"/>
      <c r="Q2365" s="234"/>
      <c r="R2365" s="234"/>
    </row>
    <row r="2366" spans="8:18" ht="15" customHeight="1" x14ac:dyDescent="0.3">
      <c r="H2366" s="234" t="s">
        <v>4907</v>
      </c>
      <c r="I2366" s="306" t="s">
        <v>4908</v>
      </c>
      <c r="J2366" s="234">
        <f t="shared" si="76"/>
        <v>0.98295613299804419</v>
      </c>
      <c r="K2366" s="315">
        <f t="shared" si="77"/>
        <v>-1.7190785468522287E-2</v>
      </c>
      <c r="L2366" s="234"/>
      <c r="M2366" s="234"/>
      <c r="N2366" s="234"/>
      <c r="O2366" s="234"/>
      <c r="P2366" s="234"/>
      <c r="Q2366" s="234"/>
      <c r="R2366" s="234"/>
    </row>
    <row r="2367" spans="8:18" ht="15" customHeight="1" x14ac:dyDescent="0.3">
      <c r="H2367" s="234" t="s">
        <v>4909</v>
      </c>
      <c r="I2367" s="306" t="s">
        <v>4910</v>
      </c>
      <c r="J2367" s="234">
        <f t="shared" si="76"/>
        <v>0.97178099726537503</v>
      </c>
      <c r="K2367" s="315">
        <f t="shared" si="77"/>
        <v>-2.8624811363512723E-2</v>
      </c>
      <c r="L2367" s="234"/>
      <c r="M2367" s="234"/>
      <c r="N2367" s="234"/>
      <c r="O2367" s="234"/>
      <c r="P2367" s="234"/>
      <c r="Q2367" s="234"/>
      <c r="R2367" s="234"/>
    </row>
    <row r="2368" spans="8:18" ht="15" customHeight="1" x14ac:dyDescent="0.3">
      <c r="H2368" s="234" t="s">
        <v>4911</v>
      </c>
      <c r="I2368" s="306" t="s">
        <v>4912</v>
      </c>
      <c r="J2368" s="234">
        <f t="shared" si="76"/>
        <v>1.0279101293833854</v>
      </c>
      <c r="K2368" s="315">
        <f t="shared" si="77"/>
        <v>2.7527740432571571E-2</v>
      </c>
      <c r="L2368" s="234"/>
      <c r="M2368" s="234"/>
      <c r="N2368" s="234"/>
      <c r="O2368" s="234"/>
      <c r="P2368" s="234"/>
      <c r="Q2368" s="234"/>
      <c r="R2368" s="234"/>
    </row>
    <row r="2369" spans="8:18" ht="15" customHeight="1" x14ac:dyDescent="0.3">
      <c r="H2369" s="234" t="s">
        <v>4913</v>
      </c>
      <c r="I2369" s="306" t="s">
        <v>4914</v>
      </c>
      <c r="J2369" s="234">
        <f t="shared" si="76"/>
        <v>0.98674141831415363</v>
      </c>
      <c r="K2369" s="315">
        <f t="shared" si="77"/>
        <v>-1.3347261397035846E-2</v>
      </c>
      <c r="L2369" s="234"/>
      <c r="M2369" s="234"/>
      <c r="N2369" s="234"/>
      <c r="O2369" s="234"/>
      <c r="P2369" s="234"/>
      <c r="Q2369" s="234"/>
      <c r="R2369" s="234"/>
    </row>
    <row r="2370" spans="8:18" ht="15" customHeight="1" x14ac:dyDescent="0.3">
      <c r="H2370" s="234" t="s">
        <v>4915</v>
      </c>
      <c r="I2370" s="306" t="s">
        <v>4916</v>
      </c>
      <c r="J2370" s="234">
        <f t="shared" si="76"/>
        <v>1.0101140563525812</v>
      </c>
      <c r="K2370" s="315">
        <f t="shared" si="77"/>
        <v>1.0063251559148768E-2</v>
      </c>
      <c r="L2370" s="234"/>
      <c r="M2370" s="234"/>
      <c r="N2370" s="234"/>
      <c r="O2370" s="234"/>
      <c r="P2370" s="234"/>
      <c r="Q2370" s="234"/>
      <c r="R2370" s="234"/>
    </row>
    <row r="2371" spans="8:18" ht="15" customHeight="1" x14ac:dyDescent="0.3">
      <c r="H2371" s="234" t="s">
        <v>4917</v>
      </c>
      <c r="I2371" s="306" t="s">
        <v>4918</v>
      </c>
      <c r="J2371" s="234">
        <f t="shared" si="76"/>
        <v>1.0158864732836754</v>
      </c>
      <c r="K2371" s="315">
        <f t="shared" si="77"/>
        <v>1.5761604019014604E-2</v>
      </c>
      <c r="L2371" s="234"/>
      <c r="M2371" s="234"/>
      <c r="N2371" s="234"/>
      <c r="O2371" s="234"/>
      <c r="P2371" s="234"/>
      <c r="Q2371" s="234"/>
      <c r="R2371" s="234"/>
    </row>
    <row r="2372" spans="8:18" ht="15" customHeight="1" x14ac:dyDescent="0.3">
      <c r="H2372" s="234" t="s">
        <v>4919</v>
      </c>
      <c r="I2372" s="306" t="s">
        <v>4920</v>
      </c>
      <c r="J2372" s="234">
        <f t="shared" si="76"/>
        <v>1.0026310995972394</v>
      </c>
      <c r="K2372" s="315">
        <f t="shared" si="77"/>
        <v>2.6276443141630204E-3</v>
      </c>
      <c r="L2372" s="234"/>
      <c r="M2372" s="234"/>
      <c r="N2372" s="234"/>
      <c r="O2372" s="234"/>
      <c r="P2372" s="234"/>
      <c r="Q2372" s="234"/>
      <c r="R2372" s="234"/>
    </row>
    <row r="2373" spans="8:18" ht="15" customHeight="1" x14ac:dyDescent="0.3">
      <c r="H2373" s="234" t="s">
        <v>4921</v>
      </c>
      <c r="I2373" s="306" t="s">
        <v>4922</v>
      </c>
      <c r="J2373" s="234">
        <f t="shared" ref="J2373:J2436" si="78">I2373/I2374</f>
        <v>1.0103883356168586</v>
      </c>
      <c r="K2373" s="315">
        <f t="shared" ref="K2373:K2436" si="79">LN(J2373)</f>
        <v>1.0334747665317475E-2</v>
      </c>
      <c r="L2373" s="234"/>
      <c r="M2373" s="234"/>
      <c r="N2373" s="234"/>
      <c r="O2373" s="234"/>
      <c r="P2373" s="234"/>
      <c r="Q2373" s="234"/>
      <c r="R2373" s="234"/>
    </row>
    <row r="2374" spans="8:18" ht="15" customHeight="1" x14ac:dyDescent="0.3">
      <c r="H2374" s="234" t="s">
        <v>4923</v>
      </c>
      <c r="I2374" s="306" t="s">
        <v>4924</v>
      </c>
      <c r="J2374" s="234">
        <f t="shared" si="78"/>
        <v>1.0051799625891591</v>
      </c>
      <c r="K2374" s="315">
        <f t="shared" si="79"/>
        <v>5.1665927333068417E-3</v>
      </c>
      <c r="L2374" s="234"/>
      <c r="M2374" s="234"/>
      <c r="N2374" s="234"/>
      <c r="O2374" s="234"/>
      <c r="P2374" s="234"/>
      <c r="Q2374" s="234"/>
      <c r="R2374" s="234"/>
    </row>
    <row r="2375" spans="8:18" ht="15" customHeight="1" x14ac:dyDescent="0.3">
      <c r="H2375" s="234" t="s">
        <v>4925</v>
      </c>
      <c r="I2375" s="306" t="s">
        <v>4926</v>
      </c>
      <c r="J2375" s="234">
        <f t="shared" si="78"/>
        <v>0.97960211026539401</v>
      </c>
      <c r="K2375" s="315">
        <f t="shared" si="79"/>
        <v>-2.0608799695140061E-2</v>
      </c>
      <c r="L2375" s="234"/>
      <c r="M2375" s="234"/>
      <c r="N2375" s="234"/>
      <c r="O2375" s="234"/>
      <c r="P2375" s="234"/>
      <c r="Q2375" s="234"/>
      <c r="R2375" s="234"/>
    </row>
    <row r="2376" spans="8:18" ht="15" customHeight="1" x14ac:dyDescent="0.3">
      <c r="H2376" s="234" t="s">
        <v>4927</v>
      </c>
      <c r="I2376" s="306" t="s">
        <v>4928</v>
      </c>
      <c r="J2376" s="234">
        <f t="shared" si="78"/>
        <v>1.0049171371334911</v>
      </c>
      <c r="K2376" s="315">
        <f t="shared" si="79"/>
        <v>4.9050874983586736E-3</v>
      </c>
      <c r="L2376" s="234"/>
      <c r="M2376" s="234"/>
      <c r="N2376" s="234"/>
      <c r="O2376" s="234"/>
      <c r="P2376" s="234"/>
      <c r="Q2376" s="234"/>
      <c r="R2376" s="234"/>
    </row>
    <row r="2377" spans="8:18" ht="15" customHeight="1" x14ac:dyDescent="0.3">
      <c r="H2377" s="234" t="s">
        <v>4929</v>
      </c>
      <c r="I2377" s="306" t="s">
        <v>4930</v>
      </c>
      <c r="J2377" s="234">
        <f t="shared" si="78"/>
        <v>0.96678208815071309</v>
      </c>
      <c r="K2377" s="315">
        <f t="shared" si="79"/>
        <v>-3.3782157268256841E-2</v>
      </c>
      <c r="L2377" s="234"/>
      <c r="M2377" s="234"/>
      <c r="N2377" s="234"/>
      <c r="O2377" s="234"/>
      <c r="P2377" s="234"/>
      <c r="Q2377" s="234"/>
      <c r="R2377" s="234"/>
    </row>
    <row r="2378" spans="8:18" ht="15" customHeight="1" x14ac:dyDescent="0.3">
      <c r="H2378" s="234" t="s">
        <v>4931</v>
      </c>
      <c r="I2378" s="306" t="s">
        <v>4932</v>
      </c>
      <c r="J2378" s="234">
        <f t="shared" si="78"/>
        <v>0.99000639126140255</v>
      </c>
      <c r="K2378" s="315">
        <f t="shared" si="79"/>
        <v>-1.0043880054741617E-2</v>
      </c>
      <c r="L2378" s="234"/>
      <c r="M2378" s="234"/>
      <c r="N2378" s="234"/>
      <c r="O2378" s="234"/>
      <c r="P2378" s="234"/>
      <c r="Q2378" s="234"/>
      <c r="R2378" s="234"/>
    </row>
    <row r="2379" spans="8:18" ht="15" customHeight="1" x14ac:dyDescent="0.3">
      <c r="H2379" s="234" t="s">
        <v>4933</v>
      </c>
      <c r="I2379" s="306" t="s">
        <v>4934</v>
      </c>
      <c r="J2379" s="234">
        <f t="shared" si="78"/>
        <v>1.022638146167558</v>
      </c>
      <c r="K2379" s="315">
        <f t="shared" si="79"/>
        <v>2.2385706085129121E-2</v>
      </c>
      <c r="L2379" s="234"/>
      <c r="M2379" s="234"/>
      <c r="N2379" s="234"/>
      <c r="O2379" s="234"/>
      <c r="P2379" s="234"/>
      <c r="Q2379" s="234"/>
      <c r="R2379" s="234"/>
    </row>
    <row r="2380" spans="8:18" ht="15" customHeight="1" x14ac:dyDescent="0.3">
      <c r="H2380" s="234" t="s">
        <v>4935</v>
      </c>
      <c r="I2380" s="306" t="s">
        <v>4936</v>
      </c>
      <c r="J2380" s="234">
        <f t="shared" si="78"/>
        <v>1.0011500634517767</v>
      </c>
      <c r="K2380" s="315">
        <f t="shared" si="79"/>
        <v>1.1494026354104568E-3</v>
      </c>
      <c r="L2380" s="234"/>
      <c r="M2380" s="234"/>
      <c r="N2380" s="234"/>
      <c r="O2380" s="234"/>
      <c r="P2380" s="234"/>
      <c r="Q2380" s="234"/>
      <c r="R2380" s="234"/>
    </row>
    <row r="2381" spans="8:18" ht="15" customHeight="1" x14ac:dyDescent="0.3">
      <c r="H2381" s="234" t="s">
        <v>4937</v>
      </c>
      <c r="I2381" s="306" t="s">
        <v>4938</v>
      </c>
      <c r="J2381" s="234">
        <f t="shared" si="78"/>
        <v>0.99614830031406165</v>
      </c>
      <c r="K2381" s="315">
        <f t="shared" si="79"/>
        <v>-3.8591365837805087E-3</v>
      </c>
      <c r="L2381" s="234"/>
      <c r="M2381" s="234"/>
      <c r="N2381" s="234"/>
      <c r="O2381" s="234"/>
      <c r="P2381" s="234"/>
      <c r="Q2381" s="234"/>
      <c r="R2381" s="234"/>
    </row>
    <row r="2382" spans="8:18" ht="15" customHeight="1" x14ac:dyDescent="0.3">
      <c r="H2382" s="234" t="s">
        <v>4939</v>
      </c>
      <c r="I2382" s="306" t="s">
        <v>4940</v>
      </c>
      <c r="J2382" s="234">
        <f t="shared" si="78"/>
        <v>1.0148131815266197</v>
      </c>
      <c r="K2382" s="315">
        <f t="shared" si="79"/>
        <v>1.4704537943828481E-2</v>
      </c>
      <c r="L2382" s="234"/>
      <c r="M2382" s="234"/>
      <c r="N2382" s="234"/>
      <c r="O2382" s="234"/>
      <c r="P2382" s="234"/>
      <c r="Q2382" s="234"/>
      <c r="R2382" s="234"/>
    </row>
    <row r="2383" spans="8:18" ht="15" customHeight="1" x14ac:dyDescent="0.3">
      <c r="H2383" s="234" t="s">
        <v>4941</v>
      </c>
      <c r="I2383" s="306" t="s">
        <v>4942</v>
      </c>
      <c r="J2383" s="234">
        <f t="shared" si="78"/>
        <v>1.0179562520404832</v>
      </c>
      <c r="K2383" s="315">
        <f t="shared" si="79"/>
        <v>1.7796942784946628E-2</v>
      </c>
      <c r="L2383" s="234"/>
      <c r="M2383" s="234"/>
      <c r="N2383" s="234"/>
      <c r="O2383" s="234"/>
      <c r="P2383" s="234"/>
      <c r="Q2383" s="234"/>
      <c r="R2383" s="234"/>
    </row>
    <row r="2384" spans="8:18" ht="15" customHeight="1" x14ac:dyDescent="0.3">
      <c r="H2384" s="234" t="s">
        <v>4943</v>
      </c>
      <c r="I2384" s="306" t="s">
        <v>4944</v>
      </c>
      <c r="J2384" s="234">
        <f t="shared" si="78"/>
        <v>1.0111413716266402</v>
      </c>
      <c r="K2384" s="315">
        <f t="shared" si="79"/>
        <v>1.1079763721143247E-2</v>
      </c>
      <c r="L2384" s="234"/>
      <c r="M2384" s="234"/>
      <c r="N2384" s="234"/>
      <c r="O2384" s="234"/>
      <c r="P2384" s="234"/>
      <c r="Q2384" s="234"/>
      <c r="R2384" s="234"/>
    </row>
    <row r="2385" spans="8:18" ht="15" customHeight="1" x14ac:dyDescent="0.3">
      <c r="H2385" s="234" t="s">
        <v>4945</v>
      </c>
      <c r="I2385" s="306" t="s">
        <v>4946</v>
      </c>
      <c r="J2385" s="234">
        <f t="shared" si="78"/>
        <v>0.98989032534771149</v>
      </c>
      <c r="K2385" s="315">
        <f t="shared" si="79"/>
        <v>-1.0161124467392398E-2</v>
      </c>
      <c r="L2385" s="234"/>
      <c r="M2385" s="234"/>
      <c r="N2385" s="234"/>
      <c r="O2385" s="234"/>
      <c r="P2385" s="234"/>
      <c r="Q2385" s="234"/>
      <c r="R2385" s="234"/>
    </row>
    <row r="2386" spans="8:18" ht="15" customHeight="1" x14ac:dyDescent="0.3">
      <c r="H2386" s="234" t="s">
        <v>4947</v>
      </c>
      <c r="I2386" s="306" t="s">
        <v>4948</v>
      </c>
      <c r="J2386" s="234">
        <f t="shared" si="78"/>
        <v>0.99820594891031789</v>
      </c>
      <c r="K2386" s="315">
        <f t="shared" si="79"/>
        <v>-1.7956623267210703E-3</v>
      </c>
      <c r="L2386" s="234"/>
      <c r="M2386" s="234"/>
      <c r="N2386" s="234"/>
      <c r="O2386" s="234"/>
      <c r="P2386" s="234"/>
      <c r="Q2386" s="234"/>
      <c r="R2386" s="234"/>
    </row>
    <row r="2387" spans="8:18" ht="15" customHeight="1" x14ac:dyDescent="0.3">
      <c r="H2387" s="234" t="s">
        <v>4949</v>
      </c>
      <c r="I2387" s="306" t="s">
        <v>4950</v>
      </c>
      <c r="J2387" s="234">
        <f t="shared" si="78"/>
        <v>0.99130979567914956</v>
      </c>
      <c r="K2387" s="315">
        <f t="shared" si="79"/>
        <v>-8.7281843426082195E-3</v>
      </c>
      <c r="L2387" s="234"/>
      <c r="M2387" s="234"/>
      <c r="N2387" s="234"/>
      <c r="O2387" s="234"/>
      <c r="P2387" s="234"/>
      <c r="Q2387" s="234"/>
      <c r="R2387" s="234"/>
    </row>
    <row r="2388" spans="8:18" ht="15" customHeight="1" x14ac:dyDescent="0.3">
      <c r="H2388" s="234" t="s">
        <v>4951</v>
      </c>
      <c r="I2388" s="306" t="s">
        <v>4952</v>
      </c>
      <c r="J2388" s="234">
        <f t="shared" si="78"/>
        <v>1.0027154639593086</v>
      </c>
      <c r="K2388" s="315">
        <f t="shared" si="79"/>
        <v>2.711783747866992E-3</v>
      </c>
      <c r="L2388" s="234"/>
      <c r="M2388" s="234"/>
      <c r="N2388" s="234"/>
      <c r="O2388" s="234"/>
      <c r="P2388" s="234"/>
      <c r="Q2388" s="234"/>
      <c r="R2388" s="234"/>
    </row>
    <row r="2389" spans="8:18" ht="15" customHeight="1" x14ac:dyDescent="0.3">
      <c r="H2389" s="234" t="s">
        <v>4953</v>
      </c>
      <c r="I2389" s="306" t="s">
        <v>4954</v>
      </c>
      <c r="J2389" s="234">
        <f t="shared" si="78"/>
        <v>1.0003446178795865</v>
      </c>
      <c r="K2389" s="315">
        <f t="shared" si="79"/>
        <v>3.4455851248395926E-4</v>
      </c>
      <c r="L2389" s="234"/>
      <c r="M2389" s="234"/>
      <c r="N2389" s="234"/>
      <c r="O2389" s="234"/>
      <c r="P2389" s="234"/>
      <c r="Q2389" s="234"/>
      <c r="R2389" s="234"/>
    </row>
    <row r="2390" spans="8:18" ht="15" customHeight="1" x14ac:dyDescent="0.3">
      <c r="H2390" s="234" t="s">
        <v>4955</v>
      </c>
      <c r="I2390" s="306" t="s">
        <v>4956</v>
      </c>
      <c r="J2390" s="234">
        <f t="shared" si="78"/>
        <v>0.99237562614415897</v>
      </c>
      <c r="K2390" s="315">
        <f t="shared" si="79"/>
        <v>-7.653587981866326E-3</v>
      </c>
      <c r="L2390" s="234"/>
      <c r="M2390" s="234"/>
      <c r="N2390" s="234"/>
      <c r="O2390" s="234"/>
      <c r="P2390" s="234"/>
      <c r="Q2390" s="234"/>
      <c r="R2390" s="234"/>
    </row>
    <row r="2391" spans="8:18" ht="15" customHeight="1" x14ac:dyDescent="0.3">
      <c r="H2391" s="234" t="s">
        <v>4957</v>
      </c>
      <c r="I2391" s="306" t="s">
        <v>4958</v>
      </c>
      <c r="J2391" s="234">
        <f t="shared" si="78"/>
        <v>0.99154249695809149</v>
      </c>
      <c r="K2391" s="315">
        <f t="shared" si="79"/>
        <v>-8.4934706618420824E-3</v>
      </c>
      <c r="L2391" s="234"/>
      <c r="M2391" s="234"/>
      <c r="N2391" s="234"/>
      <c r="O2391" s="234"/>
      <c r="P2391" s="234"/>
      <c r="Q2391" s="234"/>
      <c r="R2391" s="234"/>
    </row>
    <row r="2392" spans="8:18" ht="15" customHeight="1" x14ac:dyDescent="0.3">
      <c r="H2392" s="234" t="s">
        <v>4959</v>
      </c>
      <c r="I2392" s="306" t="s">
        <v>4960</v>
      </c>
      <c r="J2392" s="234">
        <f t="shared" si="78"/>
        <v>0.9916330405886542</v>
      </c>
      <c r="K2392" s="315">
        <f t="shared" si="79"/>
        <v>-8.4021588955244843E-3</v>
      </c>
      <c r="L2392" s="234"/>
      <c r="M2392" s="234"/>
      <c r="N2392" s="234"/>
      <c r="O2392" s="234"/>
      <c r="P2392" s="234"/>
      <c r="Q2392" s="234"/>
      <c r="R2392" s="234"/>
    </row>
    <row r="2393" spans="8:18" ht="15" customHeight="1" x14ac:dyDescent="0.3">
      <c r="H2393" s="234" t="s">
        <v>4961</v>
      </c>
      <c r="I2393" s="306" t="s">
        <v>4962</v>
      </c>
      <c r="J2393" s="234">
        <f t="shared" si="78"/>
        <v>0.99449209221811319</v>
      </c>
      <c r="K2393" s="315">
        <f t="shared" si="79"/>
        <v>-5.5231322349441518E-3</v>
      </c>
      <c r="L2393" s="234"/>
      <c r="M2393" s="234"/>
      <c r="N2393" s="234"/>
      <c r="O2393" s="234"/>
      <c r="P2393" s="234"/>
      <c r="Q2393" s="234"/>
      <c r="R2393" s="234"/>
    </row>
    <row r="2394" spans="8:18" ht="15" customHeight="1" x14ac:dyDescent="0.3">
      <c r="H2394" s="234" t="s">
        <v>4963</v>
      </c>
      <c r="I2394" s="306" t="s">
        <v>4964</v>
      </c>
      <c r="J2394" s="234">
        <f t="shared" si="78"/>
        <v>0.9814846992952988</v>
      </c>
      <c r="K2394" s="315">
        <f t="shared" si="79"/>
        <v>-1.8688854490241338E-2</v>
      </c>
      <c r="L2394" s="234"/>
      <c r="M2394" s="234"/>
      <c r="N2394" s="234"/>
      <c r="O2394" s="234"/>
      <c r="P2394" s="234"/>
      <c r="Q2394" s="234"/>
      <c r="R2394" s="234"/>
    </row>
    <row r="2395" spans="8:18" ht="15" customHeight="1" x14ac:dyDescent="0.3">
      <c r="H2395" s="234" t="s">
        <v>4965</v>
      </c>
      <c r="I2395" s="306" t="s">
        <v>4966</v>
      </c>
      <c r="J2395" s="234">
        <f t="shared" si="78"/>
        <v>0.9998455687894523</v>
      </c>
      <c r="K2395" s="315">
        <f t="shared" si="79"/>
        <v>-1.5444313627491522E-4</v>
      </c>
      <c r="L2395" s="234"/>
      <c r="M2395" s="234"/>
      <c r="N2395" s="234"/>
      <c r="O2395" s="234"/>
      <c r="P2395" s="234"/>
      <c r="Q2395" s="234"/>
      <c r="R2395" s="234"/>
    </row>
    <row r="2396" spans="8:18" ht="15" customHeight="1" x14ac:dyDescent="0.3">
      <c r="H2396" s="234" t="s">
        <v>4967</v>
      </c>
      <c r="I2396" s="306" t="s">
        <v>4968</v>
      </c>
      <c r="J2396" s="234">
        <f t="shared" si="78"/>
        <v>0.97308212487790213</v>
      </c>
      <c r="K2396" s="315">
        <f t="shared" si="79"/>
        <v>-2.7286796577969525E-2</v>
      </c>
      <c r="L2396" s="234"/>
      <c r="M2396" s="234"/>
      <c r="N2396" s="234"/>
      <c r="O2396" s="234"/>
      <c r="P2396" s="234"/>
      <c r="Q2396" s="234"/>
      <c r="R2396" s="234"/>
    </row>
    <row r="2397" spans="8:18" ht="15" customHeight="1" x14ac:dyDescent="0.3">
      <c r="H2397" s="234" t="s">
        <v>4969</v>
      </c>
      <c r="I2397" s="306" t="s">
        <v>4970</v>
      </c>
      <c r="J2397" s="234">
        <f t="shared" si="78"/>
        <v>1.0089263716478727</v>
      </c>
      <c r="K2397" s="315">
        <f t="shared" si="79"/>
        <v>8.8867671012562276E-3</v>
      </c>
      <c r="L2397" s="234"/>
      <c r="M2397" s="234"/>
      <c r="N2397" s="234"/>
      <c r="O2397" s="234"/>
      <c r="P2397" s="234"/>
      <c r="Q2397" s="234"/>
      <c r="R2397" s="234"/>
    </row>
    <row r="2398" spans="8:18" ht="15" customHeight="1" x14ac:dyDescent="0.3">
      <c r="H2398" s="234" t="s">
        <v>4971</v>
      </c>
      <c r="I2398" s="306" t="s">
        <v>4972</v>
      </c>
      <c r="J2398" s="234">
        <f t="shared" si="78"/>
        <v>0.99421540548688569</v>
      </c>
      <c r="K2398" s="315">
        <f t="shared" si="79"/>
        <v>-5.8013900816431324E-3</v>
      </c>
      <c r="L2398" s="234"/>
      <c r="M2398" s="234"/>
      <c r="N2398" s="234"/>
      <c r="O2398" s="234"/>
      <c r="P2398" s="234"/>
      <c r="Q2398" s="234"/>
      <c r="R2398" s="234"/>
    </row>
    <row r="2399" spans="8:18" ht="15" customHeight="1" x14ac:dyDescent="0.3">
      <c r="H2399" s="234" t="s">
        <v>4973</v>
      </c>
      <c r="I2399" s="306" t="s">
        <v>4974</v>
      </c>
      <c r="J2399" s="234">
        <f t="shared" si="78"/>
        <v>1.0407498921441738</v>
      </c>
      <c r="K2399" s="315">
        <f t="shared" si="79"/>
        <v>3.9941503460152385E-2</v>
      </c>
      <c r="L2399" s="234"/>
      <c r="M2399" s="234"/>
      <c r="N2399" s="234"/>
      <c r="O2399" s="234"/>
      <c r="P2399" s="234"/>
      <c r="Q2399" s="234"/>
      <c r="R2399" s="234"/>
    </row>
    <row r="2400" spans="8:18" ht="15" customHeight="1" x14ac:dyDescent="0.3">
      <c r="H2400" s="234" t="s">
        <v>4975</v>
      </c>
      <c r="I2400" s="306" t="s">
        <v>4976</v>
      </c>
      <c r="J2400" s="234">
        <f t="shared" si="78"/>
        <v>0.98602007076976628</v>
      </c>
      <c r="K2400" s="315">
        <f t="shared" si="79"/>
        <v>-1.4078568836407051E-2</v>
      </c>
      <c r="L2400" s="234"/>
      <c r="M2400" s="234"/>
      <c r="N2400" s="234"/>
      <c r="O2400" s="234"/>
      <c r="P2400" s="234"/>
      <c r="Q2400" s="234"/>
      <c r="R2400" s="234"/>
    </row>
    <row r="2401" spans="8:18" ht="15" customHeight="1" x14ac:dyDescent="0.3">
      <c r="H2401" s="234" t="s">
        <v>4977</v>
      </c>
      <c r="I2401" s="306" t="s">
        <v>4978</v>
      </c>
      <c r="J2401" s="234">
        <f t="shared" si="78"/>
        <v>1.0008902479146911</v>
      </c>
      <c r="K2401" s="315">
        <f t="shared" si="79"/>
        <v>8.8985187904542585E-4</v>
      </c>
      <c r="L2401" s="234"/>
      <c r="M2401" s="234"/>
      <c r="N2401" s="234"/>
      <c r="O2401" s="234"/>
      <c r="P2401" s="234"/>
      <c r="Q2401" s="234"/>
      <c r="R2401" s="234"/>
    </row>
    <row r="2402" spans="8:18" ht="15" customHeight="1" x14ac:dyDescent="0.3">
      <c r="H2402" s="234" t="s">
        <v>4979</v>
      </c>
      <c r="I2402" s="306" t="s">
        <v>4980</v>
      </c>
      <c r="J2402" s="234">
        <f t="shared" si="78"/>
        <v>0.98291768913237842</v>
      </c>
      <c r="K2402" s="315">
        <f t="shared" si="79"/>
        <v>-1.7229896692485785E-2</v>
      </c>
      <c r="L2402" s="234"/>
      <c r="M2402" s="234"/>
      <c r="N2402" s="234"/>
      <c r="O2402" s="234"/>
      <c r="P2402" s="234"/>
      <c r="Q2402" s="234"/>
      <c r="R2402" s="234"/>
    </row>
    <row r="2403" spans="8:18" ht="15" customHeight="1" x14ac:dyDescent="0.3">
      <c r="H2403" s="234" t="s">
        <v>4981</v>
      </c>
      <c r="I2403" s="306" t="s">
        <v>4982</v>
      </c>
      <c r="J2403" s="234">
        <f t="shared" si="78"/>
        <v>1.006047499665091</v>
      </c>
      <c r="K2403" s="315">
        <f t="shared" si="79"/>
        <v>6.0292869297795555E-3</v>
      </c>
      <c r="L2403" s="234"/>
      <c r="M2403" s="234"/>
      <c r="N2403" s="234"/>
      <c r="O2403" s="234"/>
      <c r="P2403" s="234"/>
      <c r="Q2403" s="234"/>
      <c r="R2403" s="234"/>
    </row>
    <row r="2404" spans="8:18" ht="15" customHeight="1" x14ac:dyDescent="0.3">
      <c r="H2404" s="234" t="s">
        <v>4983</v>
      </c>
      <c r="I2404" s="306" t="s">
        <v>4984</v>
      </c>
      <c r="J2404" s="234">
        <f t="shared" si="78"/>
        <v>0.97565210896801535</v>
      </c>
      <c r="K2404" s="315">
        <f t="shared" si="79"/>
        <v>-2.4649201840416007E-2</v>
      </c>
      <c r="L2404" s="234"/>
      <c r="M2404" s="234"/>
      <c r="N2404" s="234"/>
      <c r="O2404" s="234"/>
      <c r="P2404" s="234"/>
      <c r="Q2404" s="234"/>
      <c r="R2404" s="234"/>
    </row>
    <row r="2405" spans="8:18" ht="15" customHeight="1" x14ac:dyDescent="0.3">
      <c r="H2405" s="234" t="s">
        <v>4985</v>
      </c>
      <c r="I2405" s="306" t="s">
        <v>4986</v>
      </c>
      <c r="J2405" s="234">
        <f t="shared" si="78"/>
        <v>0.9934520497124838</v>
      </c>
      <c r="K2405" s="315">
        <f t="shared" si="79"/>
        <v>-6.569482158549216E-3</v>
      </c>
      <c r="L2405" s="234"/>
      <c r="M2405" s="234"/>
      <c r="N2405" s="234"/>
      <c r="O2405" s="234"/>
      <c r="P2405" s="234"/>
      <c r="Q2405" s="234"/>
      <c r="R2405" s="234"/>
    </row>
    <row r="2406" spans="8:18" ht="15" customHeight="1" x14ac:dyDescent="0.3">
      <c r="H2406" s="234" t="s">
        <v>4987</v>
      </c>
      <c r="I2406" s="306" t="s">
        <v>4988</v>
      </c>
      <c r="J2406" s="234">
        <f t="shared" si="78"/>
        <v>0.99250694994200706</v>
      </c>
      <c r="K2406" s="315">
        <f t="shared" si="79"/>
        <v>-7.5212639848481764E-3</v>
      </c>
      <c r="L2406" s="234"/>
      <c r="M2406" s="234"/>
      <c r="N2406" s="234"/>
      <c r="O2406" s="234"/>
      <c r="P2406" s="234"/>
      <c r="Q2406" s="234"/>
      <c r="R2406" s="234"/>
    </row>
    <row r="2407" spans="8:18" ht="15" customHeight="1" x14ac:dyDescent="0.3">
      <c r="H2407" s="234" t="s">
        <v>4989</v>
      </c>
      <c r="I2407" s="306" t="s">
        <v>4990</v>
      </c>
      <c r="J2407" s="234">
        <f t="shared" si="78"/>
        <v>0.99709958696649836</v>
      </c>
      <c r="K2407" s="315">
        <f t="shared" si="79"/>
        <v>-2.9046273822581144E-3</v>
      </c>
      <c r="L2407" s="234"/>
      <c r="M2407" s="234"/>
      <c r="N2407" s="234"/>
      <c r="O2407" s="234"/>
      <c r="P2407" s="234"/>
      <c r="Q2407" s="234"/>
      <c r="R2407" s="234"/>
    </row>
    <row r="2408" spans="8:18" ht="15" customHeight="1" x14ac:dyDescent="0.3">
      <c r="H2408" s="234" t="s">
        <v>4991</v>
      </c>
      <c r="I2408" s="306" t="s">
        <v>4992</v>
      </c>
      <c r="J2408" s="234">
        <f t="shared" si="78"/>
        <v>1.0260104719930689</v>
      </c>
      <c r="K2408" s="315">
        <f t="shared" si="79"/>
        <v>2.5677953317415483E-2</v>
      </c>
      <c r="L2408" s="234"/>
      <c r="M2408" s="234"/>
      <c r="N2408" s="234"/>
      <c r="O2408" s="234"/>
      <c r="P2408" s="234"/>
      <c r="Q2408" s="234"/>
      <c r="R2408" s="234"/>
    </row>
    <row r="2409" spans="8:18" ht="15" customHeight="1" x14ac:dyDescent="0.3">
      <c r="H2409" s="234" t="s">
        <v>4993</v>
      </c>
      <c r="I2409" s="306" t="s">
        <v>4994</v>
      </c>
      <c r="J2409" s="234">
        <f t="shared" si="78"/>
        <v>1.0236566603042396</v>
      </c>
      <c r="K2409" s="315">
        <f t="shared" si="79"/>
        <v>2.3381177722519401E-2</v>
      </c>
      <c r="L2409" s="234"/>
      <c r="M2409" s="234"/>
      <c r="N2409" s="234"/>
      <c r="O2409" s="234"/>
      <c r="P2409" s="234"/>
      <c r="Q2409" s="234"/>
      <c r="R2409" s="234"/>
    </row>
    <row r="2410" spans="8:18" ht="15" customHeight="1" x14ac:dyDescent="0.3">
      <c r="H2410" s="234" t="s">
        <v>4995</v>
      </c>
      <c r="I2410" s="306" t="s">
        <v>4996</v>
      </c>
      <c r="J2410" s="234">
        <f t="shared" si="78"/>
        <v>0.98026875318931794</v>
      </c>
      <c r="K2410" s="315">
        <f t="shared" si="79"/>
        <v>-1.9928506965588566E-2</v>
      </c>
      <c r="L2410" s="234"/>
      <c r="M2410" s="234"/>
      <c r="N2410" s="234"/>
      <c r="O2410" s="234"/>
      <c r="P2410" s="234"/>
      <c r="Q2410" s="234"/>
      <c r="R2410" s="234"/>
    </row>
    <row r="2411" spans="8:18" ht="15" customHeight="1" x14ac:dyDescent="0.3">
      <c r="H2411" s="234" t="s">
        <v>4997</v>
      </c>
      <c r="I2411" s="306" t="s">
        <v>4998</v>
      </c>
      <c r="J2411" s="234">
        <f t="shared" si="78"/>
        <v>0.98659332463173599</v>
      </c>
      <c r="K2411" s="315">
        <f t="shared" si="79"/>
        <v>-1.3497356238496534E-2</v>
      </c>
      <c r="L2411" s="234"/>
      <c r="M2411" s="234"/>
      <c r="N2411" s="234"/>
      <c r="O2411" s="234"/>
      <c r="P2411" s="234"/>
      <c r="Q2411" s="234"/>
      <c r="R2411" s="234"/>
    </row>
    <row r="2412" spans="8:18" ht="15" customHeight="1" x14ac:dyDescent="0.3">
      <c r="H2412" s="234" t="s">
        <v>4999</v>
      </c>
      <c r="I2412" s="306" t="s">
        <v>5000</v>
      </c>
      <c r="J2412" s="234">
        <f t="shared" si="78"/>
        <v>0.99849192902757344</v>
      </c>
      <c r="K2412" s="315">
        <f t="shared" si="79"/>
        <v>-1.5092092560077153E-3</v>
      </c>
      <c r="L2412" s="234"/>
      <c r="M2412" s="234"/>
      <c r="N2412" s="234"/>
      <c r="O2412" s="234"/>
      <c r="P2412" s="234"/>
      <c r="Q2412" s="234"/>
      <c r="R2412" s="234"/>
    </row>
    <row r="2413" spans="8:18" ht="15" customHeight="1" x14ac:dyDescent="0.3">
      <c r="H2413" s="234" t="s">
        <v>5001</v>
      </c>
      <c r="I2413" s="306" t="s">
        <v>5002</v>
      </c>
      <c r="J2413" s="234">
        <f t="shared" si="78"/>
        <v>1.0154459863122471</v>
      </c>
      <c r="K2413" s="315">
        <f t="shared" si="79"/>
        <v>1.5327911369392737E-2</v>
      </c>
      <c r="L2413" s="234"/>
      <c r="M2413" s="234"/>
      <c r="N2413" s="234"/>
      <c r="O2413" s="234"/>
      <c r="P2413" s="234"/>
      <c r="Q2413" s="234"/>
      <c r="R2413" s="234"/>
    </row>
    <row r="2414" spans="8:18" ht="15" customHeight="1" x14ac:dyDescent="0.3">
      <c r="H2414" s="234" t="s">
        <v>5003</v>
      </c>
      <c r="I2414" s="306" t="s">
        <v>5004</v>
      </c>
      <c r="J2414" s="234">
        <f t="shared" si="78"/>
        <v>0.99370643821976745</v>
      </c>
      <c r="K2414" s="315">
        <f t="shared" si="79"/>
        <v>-6.3134497281032561E-3</v>
      </c>
      <c r="L2414" s="234"/>
      <c r="M2414" s="234"/>
      <c r="N2414" s="234"/>
      <c r="O2414" s="234"/>
      <c r="P2414" s="234"/>
      <c r="Q2414" s="234"/>
      <c r="R2414" s="234"/>
    </row>
    <row r="2415" spans="8:18" ht="15" customHeight="1" x14ac:dyDescent="0.3">
      <c r="H2415" s="234" t="s">
        <v>5005</v>
      </c>
      <c r="I2415" s="306" t="s">
        <v>5006</v>
      </c>
      <c r="J2415" s="234">
        <f t="shared" si="78"/>
        <v>1.0155492807265234</v>
      </c>
      <c r="K2415" s="315">
        <f t="shared" si="79"/>
        <v>1.5429629395073734E-2</v>
      </c>
      <c r="L2415" s="234"/>
      <c r="M2415" s="234"/>
      <c r="N2415" s="234"/>
      <c r="O2415" s="234"/>
      <c r="P2415" s="234"/>
      <c r="Q2415" s="234"/>
      <c r="R2415" s="234"/>
    </row>
    <row r="2416" spans="8:18" ht="15" customHeight="1" x14ac:dyDescent="0.3">
      <c r="H2416" s="234" t="s">
        <v>5007</v>
      </c>
      <c r="I2416" s="306" t="s">
        <v>5008</v>
      </c>
      <c r="J2416" s="234">
        <f t="shared" si="78"/>
        <v>0.9861523988711195</v>
      </c>
      <c r="K2416" s="315">
        <f t="shared" si="79"/>
        <v>-1.3944373573478653E-2</v>
      </c>
      <c r="L2416" s="234"/>
      <c r="M2416" s="234"/>
      <c r="N2416" s="234"/>
      <c r="O2416" s="234"/>
      <c r="P2416" s="234"/>
      <c r="Q2416" s="234"/>
      <c r="R2416" s="234"/>
    </row>
    <row r="2417" spans="8:18" ht="15" customHeight="1" x14ac:dyDescent="0.3">
      <c r="H2417" s="234" t="s">
        <v>5009</v>
      </c>
      <c r="I2417" s="306" t="s">
        <v>5010</v>
      </c>
      <c r="J2417" s="234">
        <f t="shared" si="78"/>
        <v>1.0219188617573542</v>
      </c>
      <c r="K2417" s="315">
        <f t="shared" si="79"/>
        <v>2.1682097002975728E-2</v>
      </c>
      <c r="L2417" s="234"/>
      <c r="M2417" s="234"/>
      <c r="N2417" s="234"/>
      <c r="O2417" s="234"/>
      <c r="P2417" s="234"/>
      <c r="Q2417" s="234"/>
      <c r="R2417" s="234"/>
    </row>
    <row r="2418" spans="8:18" ht="15" customHeight="1" x14ac:dyDescent="0.3">
      <c r="H2418" s="234" t="s">
        <v>5011</v>
      </c>
      <c r="I2418" s="306" t="s">
        <v>5012</v>
      </c>
      <c r="J2418" s="234">
        <f t="shared" si="78"/>
        <v>1.0367579635609776</v>
      </c>
      <c r="K2418" s="315">
        <f t="shared" si="79"/>
        <v>3.6098501389005298E-2</v>
      </c>
      <c r="L2418" s="234"/>
      <c r="M2418" s="234"/>
      <c r="N2418" s="234"/>
      <c r="O2418" s="234"/>
      <c r="P2418" s="234"/>
      <c r="Q2418" s="234"/>
      <c r="R2418" s="234"/>
    </row>
    <row r="2419" spans="8:18" ht="15" customHeight="1" x14ac:dyDescent="0.3">
      <c r="H2419" s="234" t="s">
        <v>5013</v>
      </c>
      <c r="I2419" s="306" t="s">
        <v>5014</v>
      </c>
      <c r="J2419" s="234">
        <f t="shared" si="78"/>
        <v>0.9972765043834364</v>
      </c>
      <c r="K2419" s="315">
        <f t="shared" si="79"/>
        <v>-2.7272110783128035E-3</v>
      </c>
      <c r="L2419" s="234"/>
      <c r="M2419" s="234"/>
      <c r="N2419" s="234"/>
      <c r="O2419" s="234"/>
      <c r="P2419" s="234"/>
      <c r="Q2419" s="234"/>
      <c r="R2419" s="234"/>
    </row>
    <row r="2420" spans="8:18" ht="15" customHeight="1" x14ac:dyDescent="0.3">
      <c r="H2420" s="234" t="s">
        <v>5015</v>
      </c>
      <c r="I2420" s="306" t="s">
        <v>5016</v>
      </c>
      <c r="J2420" s="234">
        <f t="shared" si="78"/>
        <v>1.0368118391491643</v>
      </c>
      <c r="K2420" s="315">
        <f t="shared" si="79"/>
        <v>3.6150465483127822E-2</v>
      </c>
      <c r="L2420" s="234"/>
      <c r="M2420" s="234"/>
      <c r="N2420" s="234"/>
      <c r="O2420" s="234"/>
      <c r="P2420" s="234"/>
      <c r="Q2420" s="234"/>
      <c r="R2420" s="234"/>
    </row>
    <row r="2421" spans="8:18" ht="15" customHeight="1" x14ac:dyDescent="0.3">
      <c r="H2421" s="234" t="s">
        <v>5017</v>
      </c>
      <c r="I2421" s="306" t="s">
        <v>5018</v>
      </c>
      <c r="J2421" s="234">
        <f t="shared" si="78"/>
        <v>1.0086904093640201</v>
      </c>
      <c r="K2421" s="315">
        <f t="shared" si="79"/>
        <v>8.6528651163510079E-3</v>
      </c>
      <c r="L2421" s="234"/>
      <c r="M2421" s="234"/>
      <c r="N2421" s="234"/>
      <c r="O2421" s="234"/>
      <c r="P2421" s="234"/>
      <c r="Q2421" s="234"/>
      <c r="R2421" s="234"/>
    </row>
    <row r="2422" spans="8:18" ht="15" customHeight="1" x14ac:dyDescent="0.3">
      <c r="H2422" s="234" t="s">
        <v>5019</v>
      </c>
      <c r="I2422" s="306" t="s">
        <v>5020</v>
      </c>
      <c r="J2422" s="234">
        <f t="shared" si="78"/>
        <v>0.98053165898805394</v>
      </c>
      <c r="K2422" s="315">
        <f t="shared" si="79"/>
        <v>-1.966034525093497E-2</v>
      </c>
      <c r="L2422" s="234"/>
      <c r="M2422" s="234"/>
      <c r="N2422" s="234"/>
      <c r="O2422" s="234"/>
      <c r="P2422" s="234"/>
      <c r="Q2422" s="234"/>
      <c r="R2422" s="234"/>
    </row>
    <row r="2423" spans="8:18" ht="15" customHeight="1" x14ac:dyDescent="0.3">
      <c r="H2423" s="234" t="s">
        <v>5021</v>
      </c>
      <c r="I2423" s="306" t="s">
        <v>5022</v>
      </c>
      <c r="J2423" s="234">
        <f t="shared" si="78"/>
        <v>1.0056582885727172</v>
      </c>
      <c r="K2423" s="315">
        <f t="shared" si="79"/>
        <v>5.6423405885146017E-3</v>
      </c>
      <c r="L2423" s="234"/>
      <c r="M2423" s="234"/>
      <c r="N2423" s="234"/>
      <c r="O2423" s="234"/>
      <c r="P2423" s="234"/>
      <c r="Q2423" s="234"/>
      <c r="R2423" s="234"/>
    </row>
    <row r="2424" spans="8:18" ht="15" customHeight="1" x14ac:dyDescent="0.3">
      <c r="H2424" s="234" t="s">
        <v>5023</v>
      </c>
      <c r="I2424" s="306" t="s">
        <v>5024</v>
      </c>
      <c r="J2424" s="234">
        <f t="shared" si="78"/>
        <v>0.96483107840810189</v>
      </c>
      <c r="K2424" s="315">
        <f t="shared" si="79"/>
        <v>-3.5802241247649469E-2</v>
      </c>
      <c r="L2424" s="234"/>
      <c r="M2424" s="234"/>
      <c r="N2424" s="234"/>
      <c r="O2424" s="234"/>
      <c r="P2424" s="234"/>
      <c r="Q2424" s="234"/>
      <c r="R2424" s="234"/>
    </row>
    <row r="2425" spans="8:18" ht="15" customHeight="1" x14ac:dyDescent="0.3">
      <c r="H2425" s="234" t="s">
        <v>5025</v>
      </c>
      <c r="I2425" s="306" t="s">
        <v>4962</v>
      </c>
      <c r="J2425" s="234">
        <f t="shared" si="78"/>
        <v>1.010029168498022</v>
      </c>
      <c r="K2425" s="315">
        <f t="shared" si="79"/>
        <v>9.9792101371694725E-3</v>
      </c>
      <c r="L2425" s="234"/>
      <c r="M2425" s="234"/>
      <c r="N2425" s="234"/>
      <c r="O2425" s="234"/>
      <c r="P2425" s="234"/>
      <c r="Q2425" s="234"/>
      <c r="R2425" s="234"/>
    </row>
    <row r="2426" spans="8:18" ht="15" customHeight="1" x14ac:dyDescent="0.3">
      <c r="H2426" s="234" t="s">
        <v>5026</v>
      </c>
      <c r="I2426" s="306" t="s">
        <v>5027</v>
      </c>
      <c r="J2426" s="234">
        <f t="shared" si="78"/>
        <v>0.97670152981579772</v>
      </c>
      <c r="K2426" s="315">
        <f t="shared" si="79"/>
        <v>-2.3574170219092069E-2</v>
      </c>
      <c r="L2426" s="234"/>
      <c r="M2426" s="234"/>
      <c r="N2426" s="234"/>
      <c r="O2426" s="234"/>
      <c r="P2426" s="234"/>
      <c r="Q2426" s="234"/>
      <c r="R2426" s="234"/>
    </row>
    <row r="2427" spans="8:18" ht="15" customHeight="1" x14ac:dyDescent="0.3">
      <c r="H2427" s="234" t="s">
        <v>5028</v>
      </c>
      <c r="I2427" s="306" t="s">
        <v>5029</v>
      </c>
      <c r="J2427" s="234">
        <f t="shared" si="78"/>
        <v>1.0018180041051705</v>
      </c>
      <c r="K2427" s="315">
        <f t="shared" si="79"/>
        <v>1.816353535899007E-3</v>
      </c>
      <c r="L2427" s="234"/>
      <c r="M2427" s="234"/>
      <c r="N2427" s="234"/>
      <c r="O2427" s="234"/>
      <c r="P2427" s="234"/>
      <c r="Q2427" s="234"/>
      <c r="R2427" s="234"/>
    </row>
    <row r="2428" spans="8:18" ht="15" customHeight="1" x14ac:dyDescent="0.3">
      <c r="H2428" s="234" t="s">
        <v>5030</v>
      </c>
      <c r="I2428" s="306" t="s">
        <v>5031</v>
      </c>
      <c r="J2428" s="234">
        <f t="shared" si="78"/>
        <v>1.0062157005448573</v>
      </c>
      <c r="K2428" s="315">
        <f t="shared" si="79"/>
        <v>6.1964627546323972E-3</v>
      </c>
      <c r="L2428" s="234"/>
      <c r="M2428" s="234"/>
      <c r="N2428" s="234"/>
      <c r="O2428" s="234"/>
      <c r="P2428" s="234"/>
      <c r="Q2428" s="234"/>
      <c r="R2428" s="234"/>
    </row>
    <row r="2429" spans="8:18" ht="15" customHeight="1" x14ac:dyDescent="0.3">
      <c r="H2429" s="234" t="s">
        <v>5032</v>
      </c>
      <c r="I2429" s="306" t="s">
        <v>5033</v>
      </c>
      <c r="J2429" s="234">
        <f t="shared" si="78"/>
        <v>1.023185138969952</v>
      </c>
      <c r="K2429" s="315">
        <f t="shared" si="79"/>
        <v>2.2920447105433357E-2</v>
      </c>
      <c r="L2429" s="234"/>
      <c r="M2429" s="234"/>
      <c r="N2429" s="234"/>
      <c r="O2429" s="234"/>
      <c r="P2429" s="234"/>
      <c r="Q2429" s="234"/>
      <c r="R2429" s="234"/>
    </row>
    <row r="2430" spans="8:18" ht="15" customHeight="1" x14ac:dyDescent="0.3">
      <c r="H2430" s="234" t="s">
        <v>5034</v>
      </c>
      <c r="I2430" s="306" t="s">
        <v>5035</v>
      </c>
      <c r="J2430" s="234">
        <f t="shared" si="78"/>
        <v>1.0000201263937527</v>
      </c>
      <c r="K2430" s="315">
        <f t="shared" si="79"/>
        <v>2.0126191219561066E-5</v>
      </c>
      <c r="L2430" s="234"/>
      <c r="M2430" s="234"/>
      <c r="N2430" s="234"/>
      <c r="O2430" s="234"/>
      <c r="P2430" s="234"/>
      <c r="Q2430" s="234"/>
      <c r="R2430" s="234"/>
    </row>
    <row r="2431" spans="8:18" ht="15" customHeight="1" x14ac:dyDescent="0.3">
      <c r="H2431" s="234" t="s">
        <v>5036</v>
      </c>
      <c r="I2431" s="306" t="s">
        <v>5037</v>
      </c>
      <c r="J2431" s="234">
        <f t="shared" si="78"/>
        <v>0.97413979021664543</v>
      </c>
      <c r="K2431" s="315">
        <f t="shared" si="79"/>
        <v>-2.620046385486419E-2</v>
      </c>
      <c r="L2431" s="234"/>
      <c r="M2431" s="234"/>
      <c r="N2431" s="234"/>
      <c r="O2431" s="234"/>
      <c r="P2431" s="234"/>
      <c r="Q2431" s="234"/>
      <c r="R2431" s="234"/>
    </row>
    <row r="2432" spans="8:18" ht="15" customHeight="1" x14ac:dyDescent="0.3">
      <c r="H2432" s="234" t="s">
        <v>5038</v>
      </c>
      <c r="I2432" s="306" t="s">
        <v>5039</v>
      </c>
      <c r="J2432" s="234">
        <f t="shared" si="78"/>
        <v>0.99677545436779358</v>
      </c>
      <c r="K2432" s="315">
        <f t="shared" si="79"/>
        <v>-3.2297556825182671E-3</v>
      </c>
      <c r="L2432" s="234"/>
      <c r="M2432" s="234"/>
      <c r="N2432" s="234"/>
      <c r="O2432" s="234"/>
      <c r="P2432" s="234"/>
      <c r="Q2432" s="234"/>
      <c r="R2432" s="234"/>
    </row>
    <row r="2433" spans="8:18" ht="15" customHeight="1" x14ac:dyDescent="0.3">
      <c r="H2433" s="234" t="s">
        <v>5040</v>
      </c>
      <c r="I2433" s="306" t="s">
        <v>5041</v>
      </c>
      <c r="J2433" s="234">
        <f t="shared" si="78"/>
        <v>1.0069663098236776</v>
      </c>
      <c r="K2433" s="315">
        <f t="shared" si="79"/>
        <v>6.9421571923299619E-3</v>
      </c>
      <c r="L2433" s="234"/>
      <c r="M2433" s="234"/>
      <c r="N2433" s="234"/>
      <c r="O2433" s="234"/>
      <c r="P2433" s="234"/>
      <c r="Q2433" s="234"/>
      <c r="R2433" s="234"/>
    </row>
    <row r="2434" spans="8:18" ht="15" customHeight="1" x14ac:dyDescent="0.3">
      <c r="H2434" s="234" t="s">
        <v>5042</v>
      </c>
      <c r="I2434" s="306" t="s">
        <v>5043</v>
      </c>
      <c r="J2434" s="234">
        <f t="shared" si="78"/>
        <v>0.99805558283413531</v>
      </c>
      <c r="K2434" s="315">
        <f t="shared" si="79"/>
        <v>-1.9463099989582352E-3</v>
      </c>
      <c r="L2434" s="234"/>
      <c r="M2434" s="234"/>
      <c r="N2434" s="234"/>
      <c r="O2434" s="234"/>
      <c r="P2434" s="234"/>
      <c r="Q2434" s="234"/>
      <c r="R2434" s="234"/>
    </row>
    <row r="2435" spans="8:18" ht="15" customHeight="1" x14ac:dyDescent="0.3">
      <c r="H2435" s="234" t="s">
        <v>5044</v>
      </c>
      <c r="I2435" s="306" t="s">
        <v>5045</v>
      </c>
      <c r="J2435" s="234">
        <f t="shared" si="78"/>
        <v>1.0658362989323844</v>
      </c>
      <c r="K2435" s="315">
        <f t="shared" si="79"/>
        <v>6.3759748221758339E-2</v>
      </c>
      <c r="L2435" s="234"/>
      <c r="M2435" s="234"/>
      <c r="N2435" s="234"/>
      <c r="O2435" s="234"/>
      <c r="P2435" s="234"/>
      <c r="Q2435" s="234"/>
      <c r="R2435" s="234"/>
    </row>
    <row r="2436" spans="8:18" ht="15" customHeight="1" x14ac:dyDescent="0.3">
      <c r="H2436" s="234" t="s">
        <v>5046</v>
      </c>
      <c r="I2436" s="306" t="s">
        <v>5047</v>
      </c>
      <c r="J2436" s="234">
        <f t="shared" si="78"/>
        <v>1.013579461065139</v>
      </c>
      <c r="K2436" s="315">
        <f t="shared" si="79"/>
        <v>1.3488086466230984E-2</v>
      </c>
      <c r="L2436" s="234"/>
      <c r="M2436" s="234"/>
      <c r="N2436" s="234"/>
      <c r="O2436" s="234"/>
      <c r="P2436" s="234"/>
      <c r="Q2436" s="234"/>
      <c r="R2436" s="234"/>
    </row>
    <row r="2437" spans="8:18" ht="15" customHeight="1" x14ac:dyDescent="0.3">
      <c r="H2437" s="234" t="s">
        <v>5048</v>
      </c>
      <c r="I2437" s="306" t="s">
        <v>5049</v>
      </c>
      <c r="J2437" s="234">
        <f t="shared" ref="J2437:J2486" si="80">I2437/I2438</f>
        <v>0.96447427659313223</v>
      </c>
      <c r="K2437" s="315">
        <f t="shared" ref="K2437:K2486" si="81">LN(J2437)</f>
        <v>-3.6172117190939143E-2</v>
      </c>
      <c r="L2437" s="234"/>
      <c r="M2437" s="234"/>
      <c r="N2437" s="234"/>
      <c r="O2437" s="234"/>
      <c r="P2437" s="234"/>
      <c r="Q2437" s="234"/>
      <c r="R2437" s="234"/>
    </row>
    <row r="2438" spans="8:18" ht="15" customHeight="1" x14ac:dyDescent="0.3">
      <c r="H2438" s="234" t="s">
        <v>5050</v>
      </c>
      <c r="I2438" s="306" t="s">
        <v>5051</v>
      </c>
      <c r="J2438" s="234">
        <f t="shared" si="80"/>
        <v>0.98442756703398537</v>
      </c>
      <c r="K2438" s="315">
        <f t="shared" si="81"/>
        <v>-1.5694956962594622E-2</v>
      </c>
      <c r="L2438" s="234"/>
      <c r="M2438" s="234"/>
      <c r="N2438" s="234"/>
      <c r="O2438" s="234"/>
      <c r="P2438" s="234"/>
      <c r="Q2438" s="234"/>
      <c r="R2438" s="234"/>
    </row>
    <row r="2439" spans="8:18" ht="15" customHeight="1" x14ac:dyDescent="0.3">
      <c r="H2439" s="234" t="s">
        <v>5052</v>
      </c>
      <c r="I2439" s="306" t="s">
        <v>5053</v>
      </c>
      <c r="J2439" s="234">
        <f t="shared" si="80"/>
        <v>1.0013111711784404</v>
      </c>
      <c r="K2439" s="315">
        <f t="shared" si="81"/>
        <v>1.3103123441479984E-3</v>
      </c>
      <c r="L2439" s="234"/>
      <c r="M2439" s="234"/>
      <c r="N2439" s="234"/>
      <c r="O2439" s="234"/>
      <c r="P2439" s="234"/>
      <c r="Q2439" s="234"/>
      <c r="R2439" s="234"/>
    </row>
    <row r="2440" spans="8:18" ht="15" customHeight="1" x14ac:dyDescent="0.3">
      <c r="H2440" s="234" t="s">
        <v>5054</v>
      </c>
      <c r="I2440" s="306" t="s">
        <v>5055</v>
      </c>
      <c r="J2440" s="234">
        <f t="shared" si="80"/>
        <v>1.018636858651653</v>
      </c>
      <c r="K2440" s="315">
        <f t="shared" si="81"/>
        <v>1.8465320413186426E-2</v>
      </c>
      <c r="L2440" s="234"/>
      <c r="M2440" s="234"/>
      <c r="N2440" s="234"/>
      <c r="O2440" s="234"/>
      <c r="P2440" s="234"/>
      <c r="Q2440" s="234"/>
      <c r="R2440" s="234"/>
    </row>
    <row r="2441" spans="8:18" ht="15" customHeight="1" x14ac:dyDescent="0.3">
      <c r="H2441" s="234" t="s">
        <v>5056</v>
      </c>
      <c r="I2441" s="306" t="s">
        <v>5057</v>
      </c>
      <c r="J2441" s="234">
        <f t="shared" si="80"/>
        <v>0.99114089039143005</v>
      </c>
      <c r="K2441" s="315">
        <f t="shared" si="81"/>
        <v>-8.8985848366179825E-3</v>
      </c>
      <c r="L2441" s="234"/>
      <c r="M2441" s="234"/>
      <c r="N2441" s="234"/>
      <c r="O2441" s="234"/>
      <c r="P2441" s="234"/>
      <c r="Q2441" s="234"/>
      <c r="R2441" s="234"/>
    </row>
    <row r="2442" spans="8:18" ht="15" customHeight="1" x14ac:dyDescent="0.3">
      <c r="H2442" s="234" t="s">
        <v>5058</v>
      </c>
      <c r="I2442" s="306" t="s">
        <v>5059</v>
      </c>
      <c r="J2442" s="234">
        <f t="shared" si="80"/>
        <v>0.99711639996750878</v>
      </c>
      <c r="K2442" s="315">
        <f t="shared" si="81"/>
        <v>-2.8877656169117583E-3</v>
      </c>
      <c r="L2442" s="234"/>
      <c r="M2442" s="234"/>
      <c r="N2442" s="234"/>
      <c r="O2442" s="234"/>
      <c r="P2442" s="234"/>
      <c r="Q2442" s="234"/>
      <c r="R2442" s="234"/>
    </row>
    <row r="2443" spans="8:18" ht="15" customHeight="1" x14ac:dyDescent="0.3">
      <c r="H2443" s="234" t="s">
        <v>5060</v>
      </c>
      <c r="I2443" s="306" t="s">
        <v>5061</v>
      </c>
      <c r="J2443" s="234">
        <f t="shared" si="80"/>
        <v>1.0031575302002484</v>
      </c>
      <c r="K2443" s="315">
        <f t="shared" si="81"/>
        <v>3.1525556705002773E-3</v>
      </c>
      <c r="L2443" s="234"/>
      <c r="M2443" s="234"/>
      <c r="N2443" s="234"/>
      <c r="O2443" s="234"/>
      <c r="P2443" s="234"/>
      <c r="Q2443" s="234"/>
      <c r="R2443" s="234"/>
    </row>
    <row r="2444" spans="8:18" ht="15" customHeight="1" x14ac:dyDescent="0.3">
      <c r="H2444" s="234" t="s">
        <v>5062</v>
      </c>
      <c r="I2444" s="306" t="s">
        <v>5063</v>
      </c>
      <c r="J2444" s="234">
        <f t="shared" si="80"/>
        <v>1.0401534093316946</v>
      </c>
      <c r="K2444" s="315">
        <f t="shared" si="81"/>
        <v>3.9368211247685844E-2</v>
      </c>
      <c r="L2444" s="234"/>
      <c r="M2444" s="234"/>
      <c r="N2444" s="234"/>
      <c r="O2444" s="234"/>
      <c r="P2444" s="234"/>
      <c r="Q2444" s="234"/>
      <c r="R2444" s="234"/>
    </row>
    <row r="2445" spans="8:18" ht="15" customHeight="1" x14ac:dyDescent="0.3">
      <c r="H2445" s="234" t="s">
        <v>5064</v>
      </c>
      <c r="I2445" s="306" t="s">
        <v>5065</v>
      </c>
      <c r="J2445" s="234">
        <f t="shared" si="80"/>
        <v>1.0510913140311804</v>
      </c>
      <c r="K2445" s="315">
        <f t="shared" si="81"/>
        <v>4.9828971118973671E-2</v>
      </c>
      <c r="L2445" s="234"/>
      <c r="M2445" s="234"/>
      <c r="N2445" s="234"/>
      <c r="O2445" s="234"/>
      <c r="P2445" s="234"/>
      <c r="Q2445" s="234"/>
      <c r="R2445" s="234"/>
    </row>
    <row r="2446" spans="8:18" ht="15" customHeight="1" x14ac:dyDescent="0.3">
      <c r="H2446" s="234" t="s">
        <v>5066</v>
      </c>
      <c r="I2446" s="306" t="s">
        <v>5067</v>
      </c>
      <c r="J2446" s="234">
        <f t="shared" si="80"/>
        <v>1.0176329268845474</v>
      </c>
      <c r="K2446" s="315">
        <f t="shared" si="81"/>
        <v>1.7479270474637338E-2</v>
      </c>
      <c r="L2446" s="234"/>
      <c r="M2446" s="234"/>
      <c r="N2446" s="234"/>
      <c r="O2446" s="234"/>
      <c r="P2446" s="234"/>
      <c r="Q2446" s="234"/>
      <c r="R2446" s="234"/>
    </row>
    <row r="2447" spans="8:18" ht="15" customHeight="1" x14ac:dyDescent="0.3">
      <c r="H2447" s="234" t="s">
        <v>5068</v>
      </c>
      <c r="I2447" s="306" t="s">
        <v>5069</v>
      </c>
      <c r="J2447" s="234">
        <f t="shared" si="80"/>
        <v>1.0310082953616078</v>
      </c>
      <c r="K2447" s="315">
        <f t="shared" si="81"/>
        <v>3.0537250939998394E-2</v>
      </c>
      <c r="L2447" s="234"/>
      <c r="M2447" s="234"/>
      <c r="N2447" s="234"/>
      <c r="O2447" s="234"/>
      <c r="P2447" s="234"/>
      <c r="Q2447" s="234"/>
      <c r="R2447" s="234"/>
    </row>
    <row r="2448" spans="8:18" ht="15" customHeight="1" x14ac:dyDescent="0.3">
      <c r="H2448" s="234" t="s">
        <v>5070</v>
      </c>
      <c r="I2448" s="306" t="s">
        <v>5071</v>
      </c>
      <c r="J2448" s="234">
        <f t="shared" si="80"/>
        <v>1.0287506911223827</v>
      </c>
      <c r="K2448" s="315">
        <f t="shared" si="81"/>
        <v>2.8345144816822283E-2</v>
      </c>
      <c r="L2448" s="234"/>
      <c r="M2448" s="234"/>
      <c r="N2448" s="234"/>
      <c r="O2448" s="234"/>
      <c r="P2448" s="234"/>
      <c r="Q2448" s="234"/>
      <c r="R2448" s="234"/>
    </row>
    <row r="2449" spans="8:18" ht="15" customHeight="1" x14ac:dyDescent="0.3">
      <c r="H2449" s="234" t="s">
        <v>5072</v>
      </c>
      <c r="I2449" s="306" t="s">
        <v>5073</v>
      </c>
      <c r="J2449" s="234">
        <f t="shared" si="80"/>
        <v>0.99307694144047365</v>
      </c>
      <c r="K2449" s="315">
        <f t="shared" si="81"/>
        <v>-6.9471341114166483E-3</v>
      </c>
      <c r="L2449" s="234"/>
      <c r="M2449" s="234"/>
      <c r="N2449" s="234"/>
      <c r="O2449" s="234"/>
      <c r="P2449" s="234"/>
      <c r="Q2449" s="234"/>
      <c r="R2449" s="234"/>
    </row>
    <row r="2450" spans="8:18" ht="15" customHeight="1" x14ac:dyDescent="0.3">
      <c r="H2450" s="234" t="s">
        <v>5074</v>
      </c>
      <c r="I2450" s="306" t="s">
        <v>5075</v>
      </c>
      <c r="J2450" s="234">
        <f t="shared" si="80"/>
        <v>0.99536641003706872</v>
      </c>
      <c r="K2450" s="315">
        <f t="shared" si="81"/>
        <v>-4.6443583178740104E-3</v>
      </c>
      <c r="L2450" s="234"/>
      <c r="M2450" s="234"/>
      <c r="N2450" s="234"/>
      <c r="O2450" s="234"/>
      <c r="P2450" s="234"/>
      <c r="Q2450" s="234"/>
      <c r="R2450" s="234"/>
    </row>
    <row r="2451" spans="8:18" ht="15" customHeight="1" x14ac:dyDescent="0.3">
      <c r="H2451" s="234" t="s">
        <v>5076</v>
      </c>
      <c r="I2451" s="306" t="s">
        <v>5077</v>
      </c>
      <c r="J2451" s="234">
        <f t="shared" si="80"/>
        <v>0.98972272524164528</v>
      </c>
      <c r="K2451" s="315">
        <f t="shared" si="81"/>
        <v>-1.0330450595462474E-2</v>
      </c>
      <c r="L2451" s="234"/>
      <c r="M2451" s="234"/>
      <c r="N2451" s="234"/>
      <c r="O2451" s="234"/>
      <c r="P2451" s="234"/>
      <c r="Q2451" s="234"/>
      <c r="R2451" s="234"/>
    </row>
    <row r="2452" spans="8:18" ht="15" customHeight="1" x14ac:dyDescent="0.3">
      <c r="H2452" s="234" t="s">
        <v>5078</v>
      </c>
      <c r="I2452" s="306" t="s">
        <v>5079</v>
      </c>
      <c r="J2452" s="234">
        <f t="shared" si="80"/>
        <v>0.98348560194287038</v>
      </c>
      <c r="K2452" s="315">
        <f t="shared" si="81"/>
        <v>-1.6652280870889713E-2</v>
      </c>
      <c r="L2452" s="234"/>
      <c r="M2452" s="234"/>
      <c r="N2452" s="234"/>
      <c r="O2452" s="234"/>
      <c r="P2452" s="234"/>
      <c r="Q2452" s="234"/>
      <c r="R2452" s="234"/>
    </row>
    <row r="2453" spans="8:18" ht="15" customHeight="1" x14ac:dyDescent="0.3">
      <c r="H2453" s="234" t="s">
        <v>5080</v>
      </c>
      <c r="I2453" s="306" t="s">
        <v>5081</v>
      </c>
      <c r="J2453" s="234">
        <f t="shared" si="80"/>
        <v>1.0407038320816484</v>
      </c>
      <c r="K2453" s="315">
        <f t="shared" si="81"/>
        <v>3.9897245870375762E-2</v>
      </c>
      <c r="L2453" s="234"/>
      <c r="M2453" s="234"/>
      <c r="N2453" s="234"/>
      <c r="O2453" s="234"/>
      <c r="P2453" s="234"/>
      <c r="Q2453" s="234"/>
      <c r="R2453" s="234"/>
    </row>
    <row r="2454" spans="8:18" ht="15" customHeight="1" x14ac:dyDescent="0.3">
      <c r="H2454" s="234" t="s">
        <v>5082</v>
      </c>
      <c r="I2454" s="306" t="s">
        <v>5083</v>
      </c>
      <c r="J2454" s="234">
        <f t="shared" si="80"/>
        <v>1.0016153530872531</v>
      </c>
      <c r="K2454" s="315">
        <f t="shared" si="81"/>
        <v>1.6140498077704764E-3</v>
      </c>
      <c r="L2454" s="234"/>
      <c r="M2454" s="234"/>
      <c r="N2454" s="234"/>
      <c r="O2454" s="234"/>
      <c r="P2454" s="234"/>
      <c r="Q2454" s="234"/>
      <c r="R2454" s="234"/>
    </row>
    <row r="2455" spans="8:18" ht="15" customHeight="1" x14ac:dyDescent="0.3">
      <c r="H2455" s="234" t="s">
        <v>5084</v>
      </c>
      <c r="I2455" s="306" t="s">
        <v>5085</v>
      </c>
      <c r="J2455" s="234">
        <f t="shared" si="80"/>
        <v>0.99646838362483181</v>
      </c>
      <c r="K2455" s="315">
        <f t="shared" si="81"/>
        <v>-3.5378672537551021E-3</v>
      </c>
      <c r="L2455" s="234"/>
      <c r="M2455" s="234"/>
      <c r="N2455" s="234"/>
      <c r="O2455" s="234"/>
      <c r="P2455" s="234"/>
      <c r="Q2455" s="234"/>
      <c r="R2455" s="234"/>
    </row>
    <row r="2456" spans="8:18" ht="15" customHeight="1" x14ac:dyDescent="0.3">
      <c r="H2456" s="234" t="s">
        <v>5086</v>
      </c>
      <c r="I2456" s="306" t="s">
        <v>5087</v>
      </c>
      <c r="J2456" s="234">
        <f t="shared" si="80"/>
        <v>1.0162605595976366</v>
      </c>
      <c r="K2456" s="315">
        <f t="shared" si="81"/>
        <v>1.6129772573881755E-2</v>
      </c>
      <c r="L2456" s="234"/>
      <c r="M2456" s="234"/>
      <c r="N2456" s="234"/>
      <c r="O2456" s="234"/>
      <c r="P2456" s="234"/>
      <c r="Q2456" s="234"/>
      <c r="R2456" s="234"/>
    </row>
    <row r="2457" spans="8:18" ht="15" customHeight="1" x14ac:dyDescent="0.3">
      <c r="H2457" s="234" t="s">
        <v>5088</v>
      </c>
      <c r="I2457" s="306" t="s">
        <v>5089</v>
      </c>
      <c r="J2457" s="234">
        <f t="shared" si="80"/>
        <v>1.0215748385004864</v>
      </c>
      <c r="K2457" s="315">
        <f t="shared" si="81"/>
        <v>2.134539593061659E-2</v>
      </c>
      <c r="L2457" s="234"/>
      <c r="M2457" s="234"/>
      <c r="N2457" s="234"/>
      <c r="O2457" s="234"/>
      <c r="P2457" s="234"/>
      <c r="Q2457" s="234"/>
      <c r="R2457" s="234"/>
    </row>
    <row r="2458" spans="8:18" ht="15" customHeight="1" x14ac:dyDescent="0.3">
      <c r="H2458" s="234" t="s">
        <v>5090</v>
      </c>
      <c r="I2458" s="306" t="s">
        <v>5091</v>
      </c>
      <c r="J2458" s="234">
        <f t="shared" si="80"/>
        <v>1.0071593649517685</v>
      </c>
      <c r="K2458" s="315">
        <f t="shared" si="81"/>
        <v>7.1338583667898059E-3</v>
      </c>
      <c r="L2458" s="234"/>
      <c r="M2458" s="234"/>
      <c r="N2458" s="234"/>
      <c r="O2458" s="234"/>
      <c r="P2458" s="234"/>
      <c r="Q2458" s="234"/>
      <c r="R2458" s="234"/>
    </row>
    <row r="2459" spans="8:18" ht="15" customHeight="1" x14ac:dyDescent="0.3">
      <c r="H2459" s="234" t="s">
        <v>5092</v>
      </c>
      <c r="I2459" s="306" t="s">
        <v>5093</v>
      </c>
      <c r="J2459" s="234">
        <f t="shared" si="80"/>
        <v>1.0123080052893907</v>
      </c>
      <c r="K2459" s="315">
        <f t="shared" si="81"/>
        <v>1.223287761203638E-2</v>
      </c>
      <c r="L2459" s="234"/>
      <c r="M2459" s="234"/>
      <c r="N2459" s="234"/>
      <c r="O2459" s="234"/>
      <c r="P2459" s="234"/>
      <c r="Q2459" s="234"/>
      <c r="R2459" s="234"/>
    </row>
    <row r="2460" spans="8:18" ht="15" customHeight="1" x14ac:dyDescent="0.3">
      <c r="H2460" s="234" t="s">
        <v>5094</v>
      </c>
      <c r="I2460" s="306" t="s">
        <v>5095</v>
      </c>
      <c r="J2460" s="234">
        <f t="shared" si="80"/>
        <v>0.97408967054743623</v>
      </c>
      <c r="K2460" s="315">
        <f t="shared" si="81"/>
        <v>-2.6251915360171581E-2</v>
      </c>
      <c r="L2460" s="234"/>
      <c r="M2460" s="234"/>
      <c r="N2460" s="234"/>
      <c r="O2460" s="234"/>
      <c r="P2460" s="234"/>
      <c r="Q2460" s="234"/>
      <c r="R2460" s="234"/>
    </row>
    <row r="2461" spans="8:18" ht="15" customHeight="1" x14ac:dyDescent="0.3">
      <c r="H2461" s="234" t="s">
        <v>5096</v>
      </c>
      <c r="I2461" s="306" t="s">
        <v>5097</v>
      </c>
      <c r="J2461" s="234">
        <f t="shared" si="80"/>
        <v>0.99453094205754833</v>
      </c>
      <c r="K2461" s="315">
        <f t="shared" si="81"/>
        <v>-5.4840679920765689E-3</v>
      </c>
      <c r="L2461" s="234"/>
      <c r="M2461" s="234"/>
      <c r="N2461" s="234"/>
      <c r="O2461" s="234"/>
      <c r="P2461" s="234"/>
      <c r="Q2461" s="234"/>
      <c r="R2461" s="234"/>
    </row>
    <row r="2462" spans="8:18" ht="15" customHeight="1" x14ac:dyDescent="0.3">
      <c r="H2462" s="234" t="s">
        <v>5098</v>
      </c>
      <c r="I2462" s="306" t="s">
        <v>5099</v>
      </c>
      <c r="J2462" s="234">
        <f t="shared" si="80"/>
        <v>0.99460942859943158</v>
      </c>
      <c r="K2462" s="315">
        <f t="shared" si="81"/>
        <v>-5.4051529561326165E-3</v>
      </c>
      <c r="L2462" s="234"/>
      <c r="M2462" s="234"/>
      <c r="N2462" s="234"/>
      <c r="O2462" s="234"/>
      <c r="P2462" s="234"/>
      <c r="Q2462" s="234"/>
      <c r="R2462" s="234"/>
    </row>
    <row r="2463" spans="8:18" ht="15" customHeight="1" x14ac:dyDescent="0.3">
      <c r="H2463" s="234" t="s">
        <v>5100</v>
      </c>
      <c r="I2463" s="306" t="s">
        <v>5101</v>
      </c>
      <c r="J2463" s="234">
        <f t="shared" si="80"/>
        <v>1.0308924196115083</v>
      </c>
      <c r="K2463" s="315">
        <f t="shared" si="81"/>
        <v>3.042485391779462E-2</v>
      </c>
      <c r="L2463" s="234"/>
      <c r="M2463" s="234"/>
      <c r="N2463" s="234"/>
      <c r="O2463" s="234"/>
      <c r="P2463" s="234"/>
      <c r="Q2463" s="234"/>
      <c r="R2463" s="234"/>
    </row>
    <row r="2464" spans="8:18" ht="15" customHeight="1" x14ac:dyDescent="0.3">
      <c r="H2464" s="234" t="s">
        <v>5102</v>
      </c>
      <c r="I2464" s="306" t="s">
        <v>5103</v>
      </c>
      <c r="J2464" s="234">
        <f t="shared" si="80"/>
        <v>1.0257014793895898</v>
      </c>
      <c r="K2464" s="315">
        <f t="shared" si="81"/>
        <v>2.5376748652104618E-2</v>
      </c>
      <c r="L2464" s="234"/>
      <c r="M2464" s="234"/>
      <c r="N2464" s="234"/>
      <c r="O2464" s="234"/>
      <c r="P2464" s="234"/>
      <c r="Q2464" s="234"/>
      <c r="R2464" s="234"/>
    </row>
    <row r="2465" spans="8:18" ht="15" customHeight="1" x14ac:dyDescent="0.3">
      <c r="H2465" s="234" t="s">
        <v>5104</v>
      </c>
      <c r="I2465" s="306" t="s">
        <v>5105</v>
      </c>
      <c r="J2465" s="234">
        <f t="shared" si="80"/>
        <v>0.95150872695000488</v>
      </c>
      <c r="K2465" s="315">
        <f t="shared" si="81"/>
        <v>-4.9706420506590479E-2</v>
      </c>
      <c r="L2465" s="234"/>
      <c r="M2465" s="234"/>
      <c r="N2465" s="234"/>
      <c r="O2465" s="234"/>
      <c r="P2465" s="234"/>
      <c r="Q2465" s="234"/>
      <c r="R2465" s="234"/>
    </row>
    <row r="2466" spans="8:18" ht="15" customHeight="1" x14ac:dyDescent="0.3">
      <c r="H2466" s="234" t="s">
        <v>5106</v>
      </c>
      <c r="I2466" s="306" t="s">
        <v>5107</v>
      </c>
      <c r="J2466" s="234">
        <f t="shared" si="80"/>
        <v>1.0041339703443326</v>
      </c>
      <c r="K2466" s="315">
        <f t="shared" si="81"/>
        <v>4.1254489656073409E-3</v>
      </c>
      <c r="L2466" s="234"/>
      <c r="M2466" s="234"/>
      <c r="N2466" s="234"/>
      <c r="O2466" s="234"/>
      <c r="P2466" s="234"/>
      <c r="Q2466" s="234"/>
      <c r="R2466" s="234"/>
    </row>
    <row r="2467" spans="8:18" ht="15" customHeight="1" x14ac:dyDescent="0.3">
      <c r="H2467" s="234" t="s">
        <v>5108</v>
      </c>
      <c r="I2467" s="306" t="s">
        <v>5109</v>
      </c>
      <c r="J2467" s="234">
        <f t="shared" si="80"/>
        <v>1.0456063155170183</v>
      </c>
      <c r="K2467" s="315">
        <f t="shared" si="81"/>
        <v>4.4596923398595549E-2</v>
      </c>
      <c r="L2467" s="234"/>
      <c r="M2467" s="234"/>
      <c r="N2467" s="234"/>
      <c r="O2467" s="234"/>
      <c r="P2467" s="234"/>
      <c r="Q2467" s="234"/>
      <c r="R2467" s="234"/>
    </row>
    <row r="2468" spans="8:18" ht="15" customHeight="1" x14ac:dyDescent="0.3">
      <c r="H2468" s="234" t="s">
        <v>5110</v>
      </c>
      <c r="I2468" s="306" t="s">
        <v>5111</v>
      </c>
      <c r="J2468" s="234">
        <f t="shared" si="80"/>
        <v>1.0067490097977903</v>
      </c>
      <c r="K2468" s="315">
        <f t="shared" si="81"/>
        <v>6.7263371857843677E-3</v>
      </c>
      <c r="L2468" s="234"/>
      <c r="M2468" s="234"/>
      <c r="N2468" s="234"/>
      <c r="O2468" s="234"/>
      <c r="P2468" s="234"/>
      <c r="Q2468" s="234"/>
      <c r="R2468" s="234"/>
    </row>
    <row r="2469" spans="8:18" ht="15" customHeight="1" x14ac:dyDescent="0.3">
      <c r="H2469" s="234" t="s">
        <v>5112</v>
      </c>
      <c r="I2469" s="306" t="s">
        <v>5113</v>
      </c>
      <c r="J2469" s="234">
        <f t="shared" si="80"/>
        <v>1.0233327111277033</v>
      </c>
      <c r="K2469" s="315">
        <f t="shared" si="81"/>
        <v>2.3064664912280271E-2</v>
      </c>
      <c r="L2469" s="234"/>
      <c r="M2469" s="234"/>
      <c r="N2469" s="234"/>
      <c r="O2469" s="234"/>
      <c r="P2469" s="234"/>
      <c r="Q2469" s="234"/>
      <c r="R2469" s="234"/>
    </row>
    <row r="2470" spans="8:18" ht="15" customHeight="1" x14ac:dyDescent="0.3">
      <c r="H2470" s="234" t="s">
        <v>5114</v>
      </c>
      <c r="I2470" s="306" t="s">
        <v>5115</v>
      </c>
      <c r="J2470" s="234">
        <f t="shared" si="80"/>
        <v>0.98606400042070941</v>
      </c>
      <c r="K2470" s="315">
        <f t="shared" si="81"/>
        <v>-1.4034017337216776E-2</v>
      </c>
      <c r="L2470" s="234"/>
      <c r="M2470" s="234"/>
      <c r="N2470" s="234"/>
      <c r="O2470" s="234"/>
      <c r="P2470" s="234"/>
      <c r="Q2470" s="234"/>
      <c r="R2470" s="234"/>
    </row>
    <row r="2471" spans="8:18" ht="15" customHeight="1" x14ac:dyDescent="0.3">
      <c r="H2471" s="234" t="s">
        <v>5116</v>
      </c>
      <c r="I2471" s="306" t="s">
        <v>5117</v>
      </c>
      <c r="J2471" s="234">
        <f t="shared" si="80"/>
        <v>1.0077907623817473</v>
      </c>
      <c r="K2471" s="315">
        <f t="shared" si="81"/>
        <v>7.7605710998542377E-3</v>
      </c>
      <c r="L2471" s="234"/>
      <c r="M2471" s="234"/>
      <c r="N2471" s="234"/>
      <c r="O2471" s="234"/>
      <c r="P2471" s="234"/>
      <c r="Q2471" s="234"/>
      <c r="R2471" s="234"/>
    </row>
    <row r="2472" spans="8:18" ht="15" customHeight="1" x14ac:dyDescent="0.3">
      <c r="H2472" s="234" t="s">
        <v>5118</v>
      </c>
      <c r="I2472" s="306" t="s">
        <v>5119</v>
      </c>
      <c r="J2472" s="234">
        <f t="shared" si="80"/>
        <v>1.0023906287353574</v>
      </c>
      <c r="K2472" s="315">
        <f t="shared" si="81"/>
        <v>2.387775728564277E-3</v>
      </c>
      <c r="L2472" s="234"/>
      <c r="M2472" s="234"/>
      <c r="N2472" s="234"/>
      <c r="O2472" s="234"/>
      <c r="P2472" s="234"/>
      <c r="Q2472" s="234"/>
      <c r="R2472" s="234"/>
    </row>
    <row r="2473" spans="8:18" ht="15" customHeight="1" x14ac:dyDescent="0.3">
      <c r="H2473" s="234" t="s">
        <v>5120</v>
      </c>
      <c r="I2473" s="306" t="s">
        <v>5121</v>
      </c>
      <c r="J2473" s="234">
        <f t="shared" si="80"/>
        <v>0.98925268026066848</v>
      </c>
      <c r="K2473" s="315">
        <f t="shared" si="81"/>
        <v>-1.0805489333699608E-2</v>
      </c>
      <c r="L2473" s="234"/>
      <c r="M2473" s="234"/>
      <c r="N2473" s="234"/>
      <c r="O2473" s="234"/>
      <c r="P2473" s="234"/>
      <c r="Q2473" s="234"/>
      <c r="R2473" s="234"/>
    </row>
    <row r="2474" spans="8:18" ht="15" customHeight="1" x14ac:dyDescent="0.3">
      <c r="H2474" s="234" t="s">
        <v>5122</v>
      </c>
      <c r="I2474" s="306" t="s">
        <v>5123</v>
      </c>
      <c r="J2474" s="234">
        <f t="shared" si="80"/>
        <v>1.003031021849714</v>
      </c>
      <c r="K2474" s="315">
        <f t="shared" si="81"/>
        <v>3.026437564031351E-3</v>
      </c>
      <c r="L2474" s="234"/>
      <c r="M2474" s="234"/>
      <c r="N2474" s="234"/>
      <c r="O2474" s="234"/>
      <c r="P2474" s="234"/>
      <c r="Q2474" s="234"/>
      <c r="R2474" s="234"/>
    </row>
    <row r="2475" spans="8:18" ht="15" customHeight="1" x14ac:dyDescent="0.3">
      <c r="H2475" s="234" t="s">
        <v>5124</v>
      </c>
      <c r="I2475" s="306" t="s">
        <v>5125</v>
      </c>
      <c r="J2475" s="234">
        <f t="shared" si="80"/>
        <v>0.98364098309654668</v>
      </c>
      <c r="K2475" s="315">
        <f t="shared" si="81"/>
        <v>-1.6494303082188997E-2</v>
      </c>
      <c r="L2475" s="234"/>
      <c r="M2475" s="234"/>
      <c r="N2475" s="234"/>
      <c r="O2475" s="234"/>
      <c r="P2475" s="234"/>
      <c r="Q2475" s="234"/>
      <c r="R2475" s="234"/>
    </row>
    <row r="2476" spans="8:18" ht="15" customHeight="1" x14ac:dyDescent="0.3">
      <c r="H2476" s="234" t="s">
        <v>5126</v>
      </c>
      <c r="I2476" s="306" t="s">
        <v>5127</v>
      </c>
      <c r="J2476" s="234">
        <f t="shared" si="80"/>
        <v>0.9766546817238061</v>
      </c>
      <c r="K2476" s="315">
        <f t="shared" si="81"/>
        <v>-2.362213698697992E-2</v>
      </c>
      <c r="L2476" s="234"/>
      <c r="M2476" s="234"/>
      <c r="N2476" s="234"/>
      <c r="O2476" s="234"/>
      <c r="P2476" s="234"/>
      <c r="Q2476" s="234"/>
      <c r="R2476" s="234"/>
    </row>
    <row r="2477" spans="8:18" ht="15" customHeight="1" x14ac:dyDescent="0.3">
      <c r="H2477" s="234" t="s">
        <v>5128</v>
      </c>
      <c r="I2477" s="306" t="s">
        <v>5129</v>
      </c>
      <c r="J2477" s="234">
        <f t="shared" si="80"/>
        <v>1.0141228430566969</v>
      </c>
      <c r="K2477" s="315">
        <f t="shared" si="81"/>
        <v>1.4024044830001251E-2</v>
      </c>
      <c r="L2477" s="234"/>
      <c r="M2477" s="234"/>
      <c r="N2477" s="234"/>
      <c r="O2477" s="234"/>
      <c r="P2477" s="234"/>
      <c r="Q2477" s="234"/>
      <c r="R2477" s="234"/>
    </row>
    <row r="2478" spans="8:18" ht="15" customHeight="1" x14ac:dyDescent="0.3">
      <c r="H2478" s="234" t="s">
        <v>5130</v>
      </c>
      <c r="I2478" s="306" t="s">
        <v>5131</v>
      </c>
      <c r="J2478" s="234">
        <f t="shared" si="80"/>
        <v>0.98547497342982948</v>
      </c>
      <c r="K2478" s="315">
        <f t="shared" si="81"/>
        <v>-1.4631547506508991E-2</v>
      </c>
      <c r="L2478" s="234"/>
      <c r="M2478" s="234"/>
      <c r="N2478" s="234"/>
      <c r="O2478" s="234"/>
      <c r="P2478" s="234"/>
      <c r="Q2478" s="234"/>
      <c r="R2478" s="234"/>
    </row>
    <row r="2479" spans="8:18" ht="15" customHeight="1" x14ac:dyDescent="0.3">
      <c r="H2479" s="234" t="s">
        <v>5132</v>
      </c>
      <c r="I2479" s="306" t="s">
        <v>5133</v>
      </c>
      <c r="J2479" s="234">
        <f t="shared" si="80"/>
        <v>0.98906269553247406</v>
      </c>
      <c r="K2479" s="315">
        <f t="shared" si="81"/>
        <v>-1.0997556514800395E-2</v>
      </c>
      <c r="L2479" s="234"/>
      <c r="M2479" s="234"/>
      <c r="N2479" s="234"/>
      <c r="O2479" s="234"/>
      <c r="P2479" s="234"/>
      <c r="Q2479" s="234"/>
      <c r="R2479" s="234"/>
    </row>
    <row r="2480" spans="8:18" ht="15" customHeight="1" x14ac:dyDescent="0.3">
      <c r="H2480" s="234" t="s">
        <v>5134</v>
      </c>
      <c r="I2480" s="306" t="s">
        <v>5135</v>
      </c>
      <c r="J2480" s="234">
        <f t="shared" si="80"/>
        <v>0.98382251551265631</v>
      </c>
      <c r="K2480" s="315">
        <f t="shared" si="81"/>
        <v>-1.6309768612550197E-2</v>
      </c>
      <c r="L2480" s="234"/>
      <c r="M2480" s="234"/>
      <c r="N2480" s="234"/>
      <c r="O2480" s="234"/>
      <c r="P2480" s="234"/>
      <c r="Q2480" s="234"/>
      <c r="R2480" s="234"/>
    </row>
    <row r="2481" spans="8:18" ht="15" customHeight="1" x14ac:dyDescent="0.3">
      <c r="H2481" s="234" t="s">
        <v>5136</v>
      </c>
      <c r="I2481" s="306" t="s">
        <v>5137</v>
      </c>
      <c r="J2481" s="234">
        <f t="shared" si="80"/>
        <v>0.99796043740017204</v>
      </c>
      <c r="K2481" s="315">
        <f t="shared" si="81"/>
        <v>-2.041645340028461E-3</v>
      </c>
      <c r="L2481" s="234"/>
      <c r="M2481" s="234"/>
      <c r="N2481" s="234"/>
      <c r="O2481" s="234"/>
      <c r="P2481" s="234"/>
      <c r="Q2481" s="234"/>
      <c r="R2481" s="234"/>
    </row>
    <row r="2482" spans="8:18" ht="15" customHeight="1" x14ac:dyDescent="0.3">
      <c r="H2482" s="234" t="s">
        <v>5138</v>
      </c>
      <c r="I2482" s="306" t="s">
        <v>5139</v>
      </c>
      <c r="J2482" s="234">
        <f t="shared" si="80"/>
        <v>0.97421717897155991</v>
      </c>
      <c r="K2482" s="315">
        <f t="shared" si="81"/>
        <v>-2.6121023838297393E-2</v>
      </c>
      <c r="L2482" s="234"/>
      <c r="M2482" s="234"/>
      <c r="N2482" s="234"/>
      <c r="O2482" s="234"/>
      <c r="P2482" s="234"/>
      <c r="Q2482" s="234"/>
      <c r="R2482" s="234"/>
    </row>
    <row r="2483" spans="8:18" ht="15" customHeight="1" x14ac:dyDescent="0.3">
      <c r="H2483" s="234" t="s">
        <v>5140</v>
      </c>
      <c r="I2483" s="306" t="s">
        <v>5141</v>
      </c>
      <c r="J2483" s="234">
        <f t="shared" si="80"/>
        <v>0.98495637821268567</v>
      </c>
      <c r="K2483" s="315">
        <f t="shared" si="81"/>
        <v>-1.5157924869197205E-2</v>
      </c>
      <c r="L2483" s="234"/>
      <c r="M2483" s="234"/>
      <c r="N2483" s="234"/>
      <c r="O2483" s="234"/>
      <c r="P2483" s="234"/>
      <c r="Q2483" s="234"/>
      <c r="R2483" s="234"/>
    </row>
    <row r="2484" spans="8:18" ht="15" customHeight="1" x14ac:dyDescent="0.3">
      <c r="H2484" s="234" t="s">
        <v>5142</v>
      </c>
      <c r="I2484" s="306" t="s">
        <v>5143</v>
      </c>
      <c r="J2484" s="234">
        <f t="shared" si="80"/>
        <v>1.0064310970834618</v>
      </c>
      <c r="K2484" s="315">
        <f t="shared" si="81"/>
        <v>6.4105058144287314E-3</v>
      </c>
      <c r="L2484" s="234"/>
      <c r="M2484" s="234"/>
      <c r="N2484" s="234"/>
      <c r="O2484" s="234"/>
      <c r="P2484" s="234"/>
      <c r="Q2484" s="234"/>
      <c r="R2484" s="234"/>
    </row>
    <row r="2485" spans="8:18" ht="15" customHeight="1" x14ac:dyDescent="0.3">
      <c r="H2485" s="234" t="s">
        <v>5144</v>
      </c>
      <c r="I2485" s="306" t="s">
        <v>5145</v>
      </c>
      <c r="J2485" s="234">
        <f t="shared" si="80"/>
        <v>0.97208701469468728</v>
      </c>
      <c r="K2485" s="315">
        <f t="shared" si="81"/>
        <v>-2.830995723765907E-2</v>
      </c>
      <c r="L2485" s="234"/>
      <c r="M2485" s="234"/>
      <c r="N2485" s="234"/>
      <c r="O2485" s="234"/>
      <c r="P2485" s="234"/>
      <c r="Q2485" s="234"/>
      <c r="R2485" s="234"/>
    </row>
    <row r="2486" spans="8:18" ht="15" customHeight="1" x14ac:dyDescent="0.3">
      <c r="H2486" s="234" t="s">
        <v>5146</v>
      </c>
      <c r="I2486" s="306" t="s">
        <v>5147</v>
      </c>
      <c r="J2486" s="234" t="e">
        <f t="shared" si="80"/>
        <v>#DIV/0!</v>
      </c>
      <c r="K2486" s="315" t="e">
        <f t="shared" si="81"/>
        <v>#DIV/0!</v>
      </c>
      <c r="L2486" s="234"/>
      <c r="M2486" s="234"/>
      <c r="N2486" s="234"/>
      <c r="O2486" s="234"/>
      <c r="P2486" s="234"/>
      <c r="Q2486" s="234"/>
      <c r="R2486" s="234"/>
    </row>
  </sheetData>
  <mergeCells count="2">
    <mergeCell ref="D6:E6"/>
    <mergeCell ref="B2:E3"/>
  </mergeCells>
  <hyperlinks>
    <hyperlink ref="C12" r:id="rId1" xr:uid="{51229991-ED56-4C8B-AFE9-B0E78EC156E0}"/>
    <hyperlink ref="C7" r:id="rId2" xr:uid="{02411E2F-F0F1-4FEA-91D9-C36AE5028243}"/>
    <hyperlink ref="C8" r:id="rId3" xr:uid="{1926CEE6-13CD-4927-80AA-EFE75E170BDB}"/>
    <hyperlink ref="C10" r:id="rId4" display="Engineering/Construction;Telecom (Services);Green &amp; Renewable Energy" xr:uid="{240A5155-09F2-4558-9DB2-5A8B580A3428}"/>
    <hyperlink ref="C11" r:id="rId5" xr:uid="{5B737763-AF2B-4FE7-BB70-41D0116E8BC7}"/>
  </hyperlinks>
  <pageMargins left="0.511811024" right="0.511811024" top="0.78740157499999996" bottom="0.78740157499999996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168C-E86D-42EB-BBBE-BDC701DA610D}">
  <dimension ref="A1:N1002"/>
  <sheetViews>
    <sheetView showGridLines="0" zoomScale="85" zoomScaleNormal="85" workbookViewId="0"/>
  </sheetViews>
  <sheetFormatPr defaultColWidth="14.44140625" defaultRowHeight="15" customHeight="1" x14ac:dyDescent="0.3"/>
  <cols>
    <col min="1" max="1" width="1.5546875" style="556" customWidth="1"/>
    <col min="2" max="2" width="77.44140625" style="556" customWidth="1"/>
    <col min="3" max="3" width="20.44140625" style="556" bestFit="1" customWidth="1"/>
    <col min="4" max="14" width="17.44140625" style="556" customWidth="1"/>
    <col min="15" max="16384" width="14.44140625" style="556"/>
  </cols>
  <sheetData>
    <row r="1" spans="1:14" ht="7.2" customHeight="1" x14ac:dyDescent="0.3"/>
    <row r="2" spans="1:14" ht="18" customHeight="1" x14ac:dyDescent="0.3">
      <c r="A2" s="555"/>
      <c r="B2" s="561" t="s">
        <v>5329</v>
      </c>
      <c r="C2" s="562" t="s">
        <v>5330</v>
      </c>
      <c r="D2" s="562" t="s">
        <v>5331</v>
      </c>
      <c r="E2" s="562" t="s">
        <v>5332</v>
      </c>
      <c r="F2" s="562" t="s">
        <v>5333</v>
      </c>
      <c r="G2" s="562" t="s">
        <v>5334</v>
      </c>
      <c r="H2" s="562" t="s">
        <v>5335</v>
      </c>
      <c r="I2" s="562" t="s">
        <v>5336</v>
      </c>
      <c r="J2" s="562" t="s">
        <v>5337</v>
      </c>
      <c r="K2" s="562" t="s">
        <v>5338</v>
      </c>
      <c r="L2" s="562" t="s">
        <v>5339</v>
      </c>
      <c r="M2" s="562" t="s">
        <v>5340</v>
      </c>
      <c r="N2" s="563" t="s">
        <v>5341</v>
      </c>
    </row>
    <row r="3" spans="1:14" ht="18" customHeight="1" x14ac:dyDescent="0.3">
      <c r="A3" s="555"/>
      <c r="B3" s="564" t="s">
        <v>5342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65"/>
    </row>
    <row r="4" spans="1:14" ht="18" customHeight="1" x14ac:dyDescent="0.3">
      <c r="A4" s="555"/>
      <c r="B4" s="566" t="s">
        <v>5343</v>
      </c>
      <c r="C4" s="567">
        <v>0</v>
      </c>
      <c r="D4" s="567">
        <v>0</v>
      </c>
      <c r="E4" s="567">
        <v>0</v>
      </c>
      <c r="F4" s="567">
        <v>0</v>
      </c>
      <c r="G4" s="567">
        <v>0</v>
      </c>
      <c r="H4" s="567">
        <v>0</v>
      </c>
      <c r="I4" s="567">
        <v>0</v>
      </c>
      <c r="J4" s="567"/>
      <c r="K4" s="567">
        <f>Consolidado!$O$75/4</f>
        <v>711013.05673892843</v>
      </c>
      <c r="L4" s="567">
        <f>Consolidado!$O$75/4</f>
        <v>711013.05673892843</v>
      </c>
      <c r="M4" s="567">
        <f>Consolidado!$O$75/4</f>
        <v>711013.05673892843</v>
      </c>
      <c r="N4" s="568">
        <f>Consolidado!$O$75/4</f>
        <v>711013.05673892843</v>
      </c>
    </row>
    <row r="5" spans="1:14" ht="18" customHeight="1" x14ac:dyDescent="0.3">
      <c r="A5" s="555"/>
      <c r="B5" s="569"/>
      <c r="C5" s="558"/>
      <c r="D5" s="558"/>
      <c r="E5" s="558"/>
      <c r="F5" s="558"/>
      <c r="G5" s="558"/>
      <c r="H5" s="558"/>
      <c r="I5" s="558"/>
      <c r="J5" s="558"/>
      <c r="K5" s="558"/>
      <c r="L5" s="558"/>
      <c r="M5" s="558"/>
      <c r="N5" s="570"/>
    </row>
    <row r="6" spans="1:14" ht="18" customHeight="1" x14ac:dyDescent="0.3">
      <c r="A6" s="555"/>
      <c r="B6" s="571" t="s">
        <v>5344</v>
      </c>
      <c r="C6" s="557"/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65"/>
    </row>
    <row r="7" spans="1:14" ht="18" customHeight="1" x14ac:dyDescent="0.3">
      <c r="A7" s="555"/>
      <c r="B7" s="572"/>
      <c r="C7" s="573"/>
      <c r="D7" s="573"/>
      <c r="E7" s="574"/>
      <c r="F7" s="574"/>
      <c r="G7" s="574"/>
      <c r="H7" s="574"/>
      <c r="I7" s="574"/>
      <c r="J7" s="574"/>
      <c r="K7" s="574"/>
      <c r="L7" s="574"/>
      <c r="M7" s="574"/>
      <c r="N7" s="575"/>
    </row>
    <row r="8" spans="1:14" ht="18" customHeight="1" x14ac:dyDescent="0.3">
      <c r="A8" s="555"/>
      <c r="B8" s="576" t="s">
        <v>5347</v>
      </c>
      <c r="C8" s="593">
        <f>SUM(C9:C13)</f>
        <v>1419497.2312461152</v>
      </c>
      <c r="D8" s="593">
        <f t="shared" ref="D8:N8" si="0">SUM(D9:D13)</f>
        <v>740835.04124611535</v>
      </c>
      <c r="E8" s="593">
        <f t="shared" si="0"/>
        <v>740835.04124611535</v>
      </c>
      <c r="F8" s="593">
        <f t="shared" si="0"/>
        <v>740835.04124611535</v>
      </c>
      <c r="G8" s="593">
        <f t="shared" si="0"/>
        <v>740835.04124611535</v>
      </c>
      <c r="H8" s="593">
        <f t="shared" si="0"/>
        <v>740835.04124611535</v>
      </c>
      <c r="I8" s="593">
        <f t="shared" si="0"/>
        <v>740835.04124611535</v>
      </c>
      <c r="J8" s="593">
        <f t="shared" si="0"/>
        <v>740835.04124611535</v>
      </c>
      <c r="K8" s="593">
        <f t="shared" si="0"/>
        <v>740835.04124611535</v>
      </c>
      <c r="L8" s="593">
        <f t="shared" si="0"/>
        <v>740835.04124611535</v>
      </c>
      <c r="M8" s="593">
        <f t="shared" si="0"/>
        <v>740835.04124611535</v>
      </c>
      <c r="N8" s="594">
        <f t="shared" si="0"/>
        <v>740835.04124611535</v>
      </c>
    </row>
    <row r="9" spans="1:14" ht="18" customHeight="1" x14ac:dyDescent="0.3">
      <c r="A9" s="555"/>
      <c r="B9" s="578" t="s">
        <v>5349</v>
      </c>
      <c r="C9" s="559">
        <f>Consolidado!$O$34/12</f>
        <v>329596.53836274496</v>
      </c>
      <c r="D9" s="559">
        <f>Consolidado!$O$34/12</f>
        <v>329596.53836274496</v>
      </c>
      <c r="E9" s="559">
        <f>Consolidado!$O$34/12</f>
        <v>329596.53836274496</v>
      </c>
      <c r="F9" s="559">
        <f>Consolidado!$O$34/12</f>
        <v>329596.53836274496</v>
      </c>
      <c r="G9" s="559">
        <f>Consolidado!$O$34/12</f>
        <v>329596.53836274496</v>
      </c>
      <c r="H9" s="559">
        <f>Consolidado!$O$34/12</f>
        <v>329596.53836274496</v>
      </c>
      <c r="I9" s="559">
        <f>Consolidado!$O$34/12</f>
        <v>329596.53836274496</v>
      </c>
      <c r="J9" s="559">
        <f>Consolidado!$O$34/12</f>
        <v>329596.53836274496</v>
      </c>
      <c r="K9" s="559">
        <f>Consolidado!$O$34/12</f>
        <v>329596.53836274496</v>
      </c>
      <c r="L9" s="559">
        <f>Consolidado!$O$34/12</f>
        <v>329596.53836274496</v>
      </c>
      <c r="M9" s="559">
        <f>Consolidado!$O$34/12</f>
        <v>329596.53836274496</v>
      </c>
      <c r="N9" s="577">
        <f>Consolidado!$O$34/12</f>
        <v>329596.53836274496</v>
      </c>
    </row>
    <row r="10" spans="1:14" ht="18" customHeight="1" x14ac:dyDescent="0.3">
      <c r="A10" s="555"/>
      <c r="B10" s="579" t="s">
        <v>5350</v>
      </c>
      <c r="C10" s="559">
        <f>Consolidado!$O$35/12</f>
        <v>178861.89014344264</v>
      </c>
      <c r="D10" s="559">
        <f>Consolidado!$O$35/12</f>
        <v>178861.89014344264</v>
      </c>
      <c r="E10" s="559">
        <f>Consolidado!$O$35/12</f>
        <v>178861.89014344264</v>
      </c>
      <c r="F10" s="559">
        <f>Consolidado!$O$35/12</f>
        <v>178861.89014344264</v>
      </c>
      <c r="G10" s="559">
        <f>Consolidado!$O$35/12</f>
        <v>178861.89014344264</v>
      </c>
      <c r="H10" s="559">
        <f>Consolidado!$O$35/12</f>
        <v>178861.89014344264</v>
      </c>
      <c r="I10" s="559">
        <f>Consolidado!$O$35/12</f>
        <v>178861.89014344264</v>
      </c>
      <c r="J10" s="559">
        <f>Consolidado!$O$35/12</f>
        <v>178861.89014344264</v>
      </c>
      <c r="K10" s="559">
        <f>Consolidado!$O$35/12</f>
        <v>178861.89014344264</v>
      </c>
      <c r="L10" s="559">
        <f>Consolidado!$O$35/12</f>
        <v>178861.89014344264</v>
      </c>
      <c r="M10" s="559">
        <f>Consolidado!$O$35/12</f>
        <v>178861.89014344264</v>
      </c>
      <c r="N10" s="577">
        <f>Consolidado!$O$35/12</f>
        <v>178861.89014344264</v>
      </c>
    </row>
    <row r="11" spans="1:14" ht="18" customHeight="1" x14ac:dyDescent="0.3">
      <c r="A11" s="555"/>
      <c r="B11" s="579" t="s">
        <v>5351</v>
      </c>
      <c r="C11" s="559">
        <f>Consolidado!$O$36</f>
        <v>78662.19</v>
      </c>
      <c r="D11" s="559">
        <v>0</v>
      </c>
      <c r="E11" s="559">
        <v>0</v>
      </c>
      <c r="F11" s="559">
        <v>0</v>
      </c>
      <c r="G11" s="559">
        <v>0</v>
      </c>
      <c r="H11" s="559">
        <v>0</v>
      </c>
      <c r="I11" s="559">
        <v>0</v>
      </c>
      <c r="J11" s="559">
        <v>0</v>
      </c>
      <c r="K11" s="559">
        <v>0</v>
      </c>
      <c r="L11" s="559">
        <v>0</v>
      </c>
      <c r="M11" s="559">
        <v>0</v>
      </c>
      <c r="N11" s="577">
        <v>0</v>
      </c>
    </row>
    <row r="12" spans="1:14" ht="18" customHeight="1" x14ac:dyDescent="0.3">
      <c r="A12" s="555"/>
      <c r="B12" s="579" t="s">
        <v>5352</v>
      </c>
      <c r="C12" s="559">
        <f>Consolidado!$O$37/12</f>
        <v>232376.61273992775</v>
      </c>
      <c r="D12" s="559">
        <f>Consolidado!$O$37/12</f>
        <v>232376.61273992775</v>
      </c>
      <c r="E12" s="559">
        <f>Consolidado!$O$37/12</f>
        <v>232376.61273992775</v>
      </c>
      <c r="F12" s="559">
        <f>Consolidado!$O$37/12</f>
        <v>232376.61273992775</v>
      </c>
      <c r="G12" s="559">
        <f>Consolidado!$O$37/12</f>
        <v>232376.61273992775</v>
      </c>
      <c r="H12" s="559">
        <f>Consolidado!$O$37/12</f>
        <v>232376.61273992775</v>
      </c>
      <c r="I12" s="559">
        <f>Consolidado!$O$37/12</f>
        <v>232376.61273992775</v>
      </c>
      <c r="J12" s="559">
        <f>Consolidado!$O$37/12</f>
        <v>232376.61273992775</v>
      </c>
      <c r="K12" s="559">
        <f>Consolidado!$O$37/12</f>
        <v>232376.61273992775</v>
      </c>
      <c r="L12" s="559">
        <f>Consolidado!$O$37/12</f>
        <v>232376.61273992775</v>
      </c>
      <c r="M12" s="559">
        <f>Consolidado!$O$37/12</f>
        <v>232376.61273992775</v>
      </c>
      <c r="N12" s="577">
        <f>Consolidado!$O$37/12</f>
        <v>232376.61273992775</v>
      </c>
    </row>
    <row r="13" spans="1:14" ht="18" customHeight="1" x14ac:dyDescent="0.3">
      <c r="A13" s="555"/>
      <c r="B13" s="579" t="s">
        <v>5358</v>
      </c>
      <c r="C13" s="559">
        <f>Consolidado!$L$42</f>
        <v>600000</v>
      </c>
      <c r="D13" s="559">
        <v>0</v>
      </c>
      <c r="E13" s="559">
        <v>0</v>
      </c>
      <c r="F13" s="559">
        <v>0</v>
      </c>
      <c r="G13" s="559">
        <v>0</v>
      </c>
      <c r="H13" s="559">
        <v>0</v>
      </c>
      <c r="I13" s="559">
        <v>0</v>
      </c>
      <c r="J13" s="559">
        <v>0</v>
      </c>
      <c r="K13" s="559">
        <v>0</v>
      </c>
      <c r="L13" s="559">
        <v>0</v>
      </c>
      <c r="M13" s="559">
        <v>0</v>
      </c>
      <c r="N13" s="577">
        <v>0</v>
      </c>
    </row>
    <row r="14" spans="1:14" ht="18" customHeight="1" x14ac:dyDescent="0.3">
      <c r="A14" s="555"/>
      <c r="B14" s="580"/>
      <c r="C14" s="573"/>
      <c r="D14" s="573"/>
      <c r="E14" s="574"/>
      <c r="F14" s="574"/>
      <c r="G14" s="574"/>
      <c r="H14" s="574"/>
      <c r="I14" s="574"/>
      <c r="J14" s="574"/>
      <c r="K14" s="574"/>
      <c r="L14" s="574"/>
      <c r="M14" s="574"/>
      <c r="N14" s="575"/>
    </row>
    <row r="15" spans="1:14" ht="18" customHeight="1" x14ac:dyDescent="0.3">
      <c r="A15" s="555"/>
      <c r="B15" s="576" t="s">
        <v>5348</v>
      </c>
      <c r="C15" s="593">
        <f>SUM(C16:C20)</f>
        <v>1566464.3707607845</v>
      </c>
      <c r="D15" s="593">
        <f t="shared" ref="D15:N15" si="1">SUM(D16:D20)</f>
        <v>705165.8023607845</v>
      </c>
      <c r="E15" s="593">
        <f t="shared" si="1"/>
        <v>705165.8023607845</v>
      </c>
      <c r="F15" s="593">
        <f t="shared" si="1"/>
        <v>705165.8023607845</v>
      </c>
      <c r="G15" s="593">
        <f t="shared" si="1"/>
        <v>705165.8023607845</v>
      </c>
      <c r="H15" s="593">
        <f t="shared" si="1"/>
        <v>705165.8023607845</v>
      </c>
      <c r="I15" s="593">
        <f t="shared" si="1"/>
        <v>705165.8023607845</v>
      </c>
      <c r="J15" s="593">
        <f t="shared" si="1"/>
        <v>705165.8023607845</v>
      </c>
      <c r="K15" s="593">
        <f t="shared" si="1"/>
        <v>705165.8023607845</v>
      </c>
      <c r="L15" s="593">
        <f t="shared" si="1"/>
        <v>0</v>
      </c>
      <c r="M15" s="593">
        <f t="shared" si="1"/>
        <v>0</v>
      </c>
      <c r="N15" s="594">
        <f t="shared" si="1"/>
        <v>0</v>
      </c>
    </row>
    <row r="16" spans="1:14" ht="18" customHeight="1" x14ac:dyDescent="0.3">
      <c r="A16" s="555"/>
      <c r="B16" s="578" t="s">
        <v>5353</v>
      </c>
      <c r="C16" s="559">
        <f>'Fluxo Rateio'!$O$18/9</f>
        <v>276771.70124967326</v>
      </c>
      <c r="D16" s="559">
        <f>'Fluxo Rateio'!$O$18/9</f>
        <v>276771.70124967326</v>
      </c>
      <c r="E16" s="559">
        <f>'Fluxo Rateio'!$O$18/9</f>
        <v>276771.70124967326</v>
      </c>
      <c r="F16" s="559">
        <f>'Fluxo Rateio'!$O$18/9</f>
        <v>276771.70124967326</v>
      </c>
      <c r="G16" s="559">
        <f>'Fluxo Rateio'!$O$18/9</f>
        <v>276771.70124967326</v>
      </c>
      <c r="H16" s="559">
        <f>'Fluxo Rateio'!$O$18/9</f>
        <v>276771.70124967326</v>
      </c>
      <c r="I16" s="559">
        <f>'Fluxo Rateio'!$O$18/9</f>
        <v>276771.70124967326</v>
      </c>
      <c r="J16" s="559">
        <f>'Fluxo Rateio'!$O$18/9</f>
        <v>276771.70124967326</v>
      </c>
      <c r="K16" s="559">
        <f>'Fluxo Rateio'!$O$18/9</f>
        <v>276771.70124967326</v>
      </c>
      <c r="L16" s="559">
        <v>0</v>
      </c>
      <c r="M16" s="559">
        <v>0</v>
      </c>
      <c r="N16" s="577">
        <v>0</v>
      </c>
    </row>
    <row r="17" spans="1:14" ht="18" customHeight="1" x14ac:dyDescent="0.3">
      <c r="A17" s="555"/>
      <c r="B17" s="578" t="s">
        <v>5354</v>
      </c>
      <c r="C17" s="559">
        <f>'Fluxo Rateio'!$O$19/9</f>
        <v>408671.87888888892</v>
      </c>
      <c r="D17" s="559">
        <f>'Fluxo Rateio'!$O$19/9</f>
        <v>408671.87888888892</v>
      </c>
      <c r="E17" s="559">
        <f>'Fluxo Rateio'!$O$19/9</f>
        <v>408671.87888888892</v>
      </c>
      <c r="F17" s="559">
        <f>'Fluxo Rateio'!$O$19/9</f>
        <v>408671.87888888892</v>
      </c>
      <c r="G17" s="559">
        <f>'Fluxo Rateio'!$O$19/9</f>
        <v>408671.87888888892</v>
      </c>
      <c r="H17" s="559">
        <f>'Fluxo Rateio'!$O$19/9</f>
        <v>408671.87888888892</v>
      </c>
      <c r="I17" s="559">
        <f>'Fluxo Rateio'!$O$19/9</f>
        <v>408671.87888888892</v>
      </c>
      <c r="J17" s="559">
        <f>'Fluxo Rateio'!$O$19/9</f>
        <v>408671.87888888892</v>
      </c>
      <c r="K17" s="559">
        <f>'Fluxo Rateio'!$O$19/9</f>
        <v>408671.87888888892</v>
      </c>
      <c r="L17" s="559">
        <v>0</v>
      </c>
      <c r="M17" s="559">
        <v>0</v>
      </c>
      <c r="N17" s="577">
        <v>0</v>
      </c>
    </row>
    <row r="18" spans="1:14" ht="18" customHeight="1" x14ac:dyDescent="0.3">
      <c r="A18" s="555"/>
      <c r="B18" s="581" t="s">
        <v>5355</v>
      </c>
      <c r="C18" s="559">
        <f>'Fluxo Rateio'!$O$20</f>
        <v>791298.56839999999</v>
      </c>
      <c r="D18" s="559">
        <v>0</v>
      </c>
      <c r="E18" s="559">
        <v>0</v>
      </c>
      <c r="F18" s="559">
        <v>0</v>
      </c>
      <c r="G18" s="559">
        <v>0</v>
      </c>
      <c r="H18" s="559">
        <v>0</v>
      </c>
      <c r="I18" s="559">
        <v>0</v>
      </c>
      <c r="J18" s="559">
        <v>0</v>
      </c>
      <c r="K18" s="559">
        <v>0</v>
      </c>
      <c r="L18" s="559">
        <v>0</v>
      </c>
      <c r="M18" s="559">
        <v>0</v>
      </c>
      <c r="N18" s="577">
        <v>0</v>
      </c>
    </row>
    <row r="19" spans="1:14" ht="18" customHeight="1" x14ac:dyDescent="0.3">
      <c r="A19" s="555"/>
      <c r="B19" s="582" t="s">
        <v>5356</v>
      </c>
      <c r="C19" s="559">
        <f>'Fluxo Rateio'!$O$21/9</f>
        <v>19722.222222222223</v>
      </c>
      <c r="D19" s="559">
        <f>'Fluxo Rateio'!$O$21/9</f>
        <v>19722.222222222223</v>
      </c>
      <c r="E19" s="559">
        <f>'Fluxo Rateio'!$O$21/9</f>
        <v>19722.222222222223</v>
      </c>
      <c r="F19" s="559">
        <f>'Fluxo Rateio'!$O$21/9</f>
        <v>19722.222222222223</v>
      </c>
      <c r="G19" s="559">
        <f>'Fluxo Rateio'!$O$21/9</f>
        <v>19722.222222222223</v>
      </c>
      <c r="H19" s="559">
        <f>'Fluxo Rateio'!$O$21/9</f>
        <v>19722.222222222223</v>
      </c>
      <c r="I19" s="559">
        <f>'Fluxo Rateio'!$O$21/9</f>
        <v>19722.222222222223</v>
      </c>
      <c r="J19" s="559">
        <f>'Fluxo Rateio'!$O$21/9</f>
        <v>19722.222222222223</v>
      </c>
      <c r="K19" s="559">
        <f>'Fluxo Rateio'!$O$21/9</f>
        <v>19722.222222222223</v>
      </c>
      <c r="L19" s="559">
        <v>0</v>
      </c>
      <c r="M19" s="559">
        <v>0</v>
      </c>
      <c r="N19" s="577">
        <v>0</v>
      </c>
    </row>
    <row r="20" spans="1:14" ht="18" customHeight="1" x14ac:dyDescent="0.3">
      <c r="A20" s="555"/>
      <c r="B20" s="581" t="s">
        <v>5357</v>
      </c>
      <c r="C20" s="559">
        <f>'Fluxo Rateio'!$O$22</f>
        <v>70000</v>
      </c>
      <c r="D20" s="559">
        <v>0</v>
      </c>
      <c r="E20" s="559">
        <v>0</v>
      </c>
      <c r="F20" s="559">
        <v>0</v>
      </c>
      <c r="G20" s="559">
        <v>0</v>
      </c>
      <c r="H20" s="559">
        <v>0</v>
      </c>
      <c r="I20" s="559">
        <v>0</v>
      </c>
      <c r="J20" s="559">
        <v>0</v>
      </c>
      <c r="K20" s="559">
        <v>0</v>
      </c>
      <c r="L20" s="559">
        <v>0</v>
      </c>
      <c r="M20" s="559">
        <v>0</v>
      </c>
      <c r="N20" s="577">
        <v>0</v>
      </c>
    </row>
    <row r="21" spans="1:14" ht="18" customHeight="1" x14ac:dyDescent="0.3">
      <c r="A21" s="555"/>
      <c r="B21" s="580"/>
      <c r="C21" s="573"/>
      <c r="D21" s="573"/>
      <c r="E21" s="574"/>
      <c r="F21" s="574"/>
      <c r="G21" s="574"/>
      <c r="H21" s="574"/>
      <c r="I21" s="574"/>
      <c r="J21" s="574"/>
      <c r="K21" s="574"/>
      <c r="L21" s="574"/>
      <c r="M21" s="574"/>
      <c r="N21" s="575"/>
    </row>
    <row r="22" spans="1:14" ht="18" customHeight="1" x14ac:dyDescent="0.3">
      <c r="A22" s="555"/>
      <c r="B22" s="583"/>
      <c r="C22" s="584"/>
      <c r="D22" s="584"/>
      <c r="E22" s="585"/>
      <c r="F22" s="585"/>
      <c r="G22" s="585"/>
      <c r="H22" s="585"/>
      <c r="I22" s="585"/>
      <c r="J22" s="585"/>
      <c r="K22" s="585"/>
      <c r="L22" s="585"/>
      <c r="M22" s="585"/>
      <c r="N22" s="586"/>
    </row>
    <row r="23" spans="1:14" ht="18" customHeight="1" x14ac:dyDescent="0.3">
      <c r="A23" s="555"/>
      <c r="B23" s="576" t="s">
        <v>5345</v>
      </c>
      <c r="C23" s="559">
        <f t="shared" ref="C23:N23" si="2">C15+C8</f>
        <v>2985961.6020068997</v>
      </c>
      <c r="D23" s="559">
        <f t="shared" si="2"/>
        <v>1446000.8436069</v>
      </c>
      <c r="E23" s="559">
        <f t="shared" si="2"/>
        <v>1446000.8436069</v>
      </c>
      <c r="F23" s="559">
        <f t="shared" si="2"/>
        <v>1446000.8436069</v>
      </c>
      <c r="G23" s="559">
        <f t="shared" si="2"/>
        <v>1446000.8436069</v>
      </c>
      <c r="H23" s="559">
        <f t="shared" si="2"/>
        <v>1446000.8436069</v>
      </c>
      <c r="I23" s="559">
        <f t="shared" si="2"/>
        <v>1446000.8436069</v>
      </c>
      <c r="J23" s="559">
        <f t="shared" si="2"/>
        <v>1446000.8436069</v>
      </c>
      <c r="K23" s="559">
        <f t="shared" si="2"/>
        <v>1446000.8436069</v>
      </c>
      <c r="L23" s="559">
        <f t="shared" si="2"/>
        <v>740835.04124611535</v>
      </c>
      <c r="M23" s="559">
        <f t="shared" si="2"/>
        <v>740835.04124611535</v>
      </c>
      <c r="N23" s="577">
        <f t="shared" si="2"/>
        <v>740835.04124611535</v>
      </c>
    </row>
    <row r="24" spans="1:14" ht="18" customHeight="1" x14ac:dyDescent="0.3">
      <c r="A24" s="555"/>
      <c r="B24" s="587"/>
      <c r="C24" s="560"/>
      <c r="D24" s="560"/>
      <c r="E24" s="560"/>
      <c r="F24" s="560"/>
      <c r="G24" s="560"/>
      <c r="H24" s="560"/>
      <c r="I24" s="560"/>
      <c r="J24" s="560"/>
      <c r="K24" s="560"/>
      <c r="L24" s="560"/>
      <c r="M24" s="560"/>
      <c r="N24" s="588"/>
    </row>
    <row r="25" spans="1:14" ht="18" customHeight="1" x14ac:dyDescent="0.3">
      <c r="A25" s="555"/>
      <c r="B25" s="589" t="s">
        <v>5346</v>
      </c>
      <c r="C25" s="590">
        <f>SUM(C23:N23)</f>
        <v>16776473.474600451</v>
      </c>
      <c r="D25" s="591"/>
      <c r="E25" s="591"/>
      <c r="F25" s="591"/>
      <c r="G25" s="591"/>
      <c r="H25" s="591"/>
      <c r="I25" s="591"/>
      <c r="J25" s="591"/>
      <c r="K25" s="591"/>
      <c r="L25" s="591"/>
      <c r="M25" s="591"/>
      <c r="N25" s="592"/>
    </row>
    <row r="26" spans="1:14" ht="18" customHeight="1" x14ac:dyDescent="0.3">
      <c r="A26" s="555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</row>
    <row r="27" spans="1:14" ht="18" customHeight="1" x14ac:dyDescent="0.3">
      <c r="A27" s="555"/>
      <c r="B27" s="555"/>
      <c r="C27" s="555"/>
      <c r="D27" s="555"/>
      <c r="E27" s="555"/>
      <c r="F27" s="555"/>
      <c r="G27" s="555"/>
      <c r="H27" s="555"/>
      <c r="I27" s="555"/>
      <c r="J27" s="555"/>
      <c r="K27" s="555"/>
      <c r="L27" s="555"/>
      <c r="M27" s="555"/>
      <c r="N27" s="555"/>
    </row>
    <row r="28" spans="1:14" ht="18" customHeight="1" x14ac:dyDescent="0.3">
      <c r="A28" s="555"/>
      <c r="B28" s="555"/>
      <c r="C28" s="555"/>
      <c r="D28" s="555"/>
      <c r="E28" s="555"/>
      <c r="F28" s="555"/>
      <c r="G28" s="555"/>
      <c r="H28" s="555"/>
      <c r="I28" s="555"/>
      <c r="J28" s="555"/>
      <c r="K28" s="555"/>
      <c r="L28" s="555"/>
      <c r="M28" s="555"/>
      <c r="N28" s="555"/>
    </row>
    <row r="29" spans="1:14" ht="18" customHeight="1" x14ac:dyDescent="0.3">
      <c r="A29" s="555"/>
      <c r="B29" s="555"/>
      <c r="C29" s="555"/>
      <c r="D29" s="555"/>
      <c r="E29" s="555"/>
      <c r="F29" s="555"/>
      <c r="G29" s="555"/>
      <c r="H29" s="555"/>
      <c r="I29" s="555"/>
      <c r="J29" s="555"/>
      <c r="K29" s="555"/>
      <c r="L29" s="555"/>
      <c r="M29" s="555"/>
      <c r="N29" s="555"/>
    </row>
    <row r="30" spans="1:14" ht="18" customHeight="1" x14ac:dyDescent="0.3">
      <c r="A30" s="555"/>
      <c r="B30" s="555"/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</row>
    <row r="31" spans="1:14" ht="18" customHeight="1" x14ac:dyDescent="0.3">
      <c r="A31" s="555"/>
      <c r="B31" s="555"/>
      <c r="C31" s="555"/>
      <c r="D31" s="555"/>
      <c r="E31" s="555"/>
      <c r="F31" s="555"/>
      <c r="G31" s="555"/>
      <c r="H31" s="555"/>
      <c r="I31" s="555"/>
      <c r="J31" s="555"/>
      <c r="K31" s="555"/>
      <c r="L31" s="555"/>
      <c r="M31" s="555"/>
      <c r="N31" s="555"/>
    </row>
    <row r="32" spans="1:14" ht="18" customHeight="1" x14ac:dyDescent="0.3">
      <c r="A32" s="555"/>
      <c r="B32" s="555"/>
      <c r="C32" s="555"/>
      <c r="D32" s="555"/>
      <c r="E32" s="555"/>
      <c r="F32" s="555"/>
      <c r="G32" s="555"/>
      <c r="H32" s="555"/>
      <c r="I32" s="555"/>
      <c r="J32" s="555"/>
      <c r="K32" s="555"/>
      <c r="L32" s="555"/>
      <c r="M32" s="555"/>
      <c r="N32" s="555"/>
    </row>
    <row r="33" spans="1:14" ht="18" customHeight="1" x14ac:dyDescent="0.3">
      <c r="A33" s="555"/>
      <c r="B33" s="555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</row>
    <row r="34" spans="1:14" ht="18" customHeight="1" x14ac:dyDescent="0.3">
      <c r="A34" s="555"/>
      <c r="B34" s="555"/>
      <c r="C34" s="555"/>
      <c r="D34" s="555"/>
      <c r="E34" s="555"/>
      <c r="F34" s="555"/>
      <c r="G34" s="555"/>
      <c r="H34" s="555"/>
      <c r="I34" s="555"/>
      <c r="J34" s="555"/>
      <c r="K34" s="555"/>
      <c r="L34" s="555"/>
      <c r="M34" s="555"/>
      <c r="N34" s="555"/>
    </row>
    <row r="35" spans="1:14" ht="18" customHeight="1" x14ac:dyDescent="0.3">
      <c r="A35" s="555"/>
      <c r="B35" s="555"/>
      <c r="C35" s="555"/>
      <c r="D35" s="555"/>
      <c r="E35" s="555"/>
      <c r="F35" s="555"/>
      <c r="G35" s="555"/>
      <c r="H35" s="555"/>
      <c r="I35" s="555"/>
      <c r="J35" s="555"/>
      <c r="K35" s="555"/>
      <c r="L35" s="555"/>
      <c r="M35" s="555"/>
      <c r="N35" s="555"/>
    </row>
    <row r="36" spans="1:14" ht="18" customHeight="1" x14ac:dyDescent="0.3">
      <c r="A36" s="555"/>
      <c r="B36" s="555"/>
      <c r="C36" s="555"/>
      <c r="D36" s="555"/>
      <c r="E36" s="555"/>
      <c r="F36" s="555"/>
      <c r="G36" s="555"/>
      <c r="H36" s="555"/>
      <c r="I36" s="555"/>
      <c r="J36" s="555"/>
      <c r="K36" s="555"/>
      <c r="L36" s="555"/>
      <c r="M36" s="555"/>
      <c r="N36" s="555"/>
    </row>
    <row r="37" spans="1:14" ht="18" customHeight="1" x14ac:dyDescent="0.3">
      <c r="A37" s="555"/>
      <c r="B37" s="555"/>
      <c r="C37" s="555"/>
      <c r="D37" s="555"/>
      <c r="E37" s="555"/>
      <c r="F37" s="555"/>
      <c r="G37" s="555"/>
      <c r="H37" s="555"/>
      <c r="I37" s="555"/>
      <c r="J37" s="555"/>
      <c r="K37" s="555"/>
      <c r="L37" s="555"/>
      <c r="M37" s="555"/>
      <c r="N37" s="555"/>
    </row>
    <row r="38" spans="1:14" ht="18" customHeight="1" x14ac:dyDescent="0.3">
      <c r="A38" s="555"/>
      <c r="B38" s="555"/>
      <c r="C38" s="555"/>
      <c r="D38" s="555"/>
      <c r="E38" s="555"/>
      <c r="F38" s="555"/>
      <c r="G38" s="555"/>
      <c r="H38" s="555"/>
      <c r="I38" s="555"/>
      <c r="J38" s="555"/>
      <c r="K38" s="555"/>
      <c r="L38" s="555"/>
      <c r="M38" s="555"/>
      <c r="N38" s="555"/>
    </row>
    <row r="39" spans="1:14" ht="18" customHeight="1" x14ac:dyDescent="0.3">
      <c r="A39" s="555"/>
      <c r="B39" s="555"/>
      <c r="C39" s="555"/>
      <c r="D39" s="555"/>
      <c r="E39" s="555"/>
      <c r="F39" s="555"/>
      <c r="G39" s="555"/>
      <c r="H39" s="555"/>
      <c r="I39" s="555"/>
      <c r="J39" s="555"/>
      <c r="K39" s="555"/>
      <c r="L39" s="555"/>
      <c r="M39" s="555"/>
      <c r="N39" s="555"/>
    </row>
    <row r="40" spans="1:14" ht="18" customHeight="1" x14ac:dyDescent="0.3">
      <c r="A40" s="555"/>
      <c r="B40" s="555"/>
      <c r="C40" s="555"/>
      <c r="D40" s="555"/>
      <c r="E40" s="555"/>
      <c r="F40" s="555"/>
      <c r="G40" s="555"/>
      <c r="H40" s="555"/>
      <c r="I40" s="555"/>
      <c r="J40" s="555"/>
      <c r="K40" s="555"/>
      <c r="L40" s="555"/>
      <c r="M40" s="555"/>
      <c r="N40" s="555"/>
    </row>
    <row r="41" spans="1:14" ht="18" customHeight="1" x14ac:dyDescent="0.3">
      <c r="A41" s="555"/>
      <c r="B41" s="555"/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</row>
    <row r="42" spans="1:14" ht="18" customHeight="1" x14ac:dyDescent="0.3">
      <c r="A42" s="555"/>
      <c r="B42" s="555"/>
      <c r="C42" s="555"/>
      <c r="D42" s="555"/>
      <c r="E42" s="555"/>
      <c r="F42" s="555"/>
      <c r="G42" s="555"/>
      <c r="H42" s="555"/>
      <c r="I42" s="555"/>
      <c r="J42" s="555"/>
      <c r="K42" s="555"/>
      <c r="L42" s="555"/>
      <c r="M42" s="555"/>
      <c r="N42" s="555"/>
    </row>
    <row r="43" spans="1:14" ht="18" customHeight="1" x14ac:dyDescent="0.3">
      <c r="A43" s="555"/>
      <c r="B43" s="555"/>
      <c r="C43" s="555"/>
      <c r="D43" s="555"/>
      <c r="E43" s="555"/>
      <c r="F43" s="555"/>
      <c r="G43" s="555"/>
      <c r="H43" s="555"/>
      <c r="I43" s="555"/>
      <c r="J43" s="555"/>
      <c r="K43" s="555"/>
      <c r="L43" s="555"/>
      <c r="M43" s="555"/>
      <c r="N43" s="555"/>
    </row>
    <row r="44" spans="1:14" ht="18" customHeight="1" x14ac:dyDescent="0.3">
      <c r="A44" s="555"/>
      <c r="B44" s="555"/>
      <c r="C44" s="555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</row>
    <row r="45" spans="1:14" ht="18" customHeight="1" x14ac:dyDescent="0.3">
      <c r="A45" s="555"/>
      <c r="B45" s="555"/>
      <c r="C45" s="555"/>
      <c r="D45" s="555"/>
      <c r="E45" s="555"/>
      <c r="F45" s="555"/>
      <c r="G45" s="555"/>
      <c r="H45" s="555"/>
      <c r="I45" s="555"/>
      <c r="J45" s="555"/>
      <c r="K45" s="555"/>
      <c r="L45" s="555"/>
      <c r="M45" s="555"/>
      <c r="N45" s="555"/>
    </row>
    <row r="46" spans="1:14" ht="18" customHeight="1" x14ac:dyDescent="0.3">
      <c r="A46" s="555"/>
      <c r="B46" s="555"/>
      <c r="C46" s="555"/>
      <c r="D46" s="555"/>
      <c r="E46" s="555"/>
      <c r="F46" s="555"/>
      <c r="G46" s="555"/>
      <c r="H46" s="555"/>
      <c r="I46" s="555"/>
      <c r="J46" s="555"/>
      <c r="K46" s="555"/>
      <c r="L46" s="555"/>
      <c r="M46" s="555"/>
      <c r="N46" s="555"/>
    </row>
    <row r="47" spans="1:14" ht="18" customHeight="1" x14ac:dyDescent="0.3">
      <c r="A47" s="555"/>
      <c r="B47" s="555"/>
      <c r="C47" s="555"/>
      <c r="D47" s="555"/>
      <c r="E47" s="555"/>
      <c r="F47" s="555"/>
      <c r="G47" s="555"/>
      <c r="H47" s="555"/>
      <c r="I47" s="555"/>
      <c r="J47" s="555"/>
      <c r="K47" s="555"/>
      <c r="L47" s="555"/>
      <c r="M47" s="555"/>
      <c r="N47" s="555"/>
    </row>
    <row r="48" spans="1:14" ht="18" customHeight="1" x14ac:dyDescent="0.3">
      <c r="A48" s="555"/>
      <c r="B48" s="555"/>
      <c r="C48" s="555"/>
      <c r="D48" s="555"/>
      <c r="E48" s="555"/>
      <c r="F48" s="555"/>
      <c r="G48" s="555"/>
      <c r="H48" s="555"/>
      <c r="I48" s="555"/>
      <c r="J48" s="555"/>
      <c r="K48" s="555"/>
      <c r="L48" s="555"/>
      <c r="M48" s="555"/>
      <c r="N48" s="555"/>
    </row>
    <row r="49" spans="1:14" ht="18" customHeight="1" x14ac:dyDescent="0.3">
      <c r="A49" s="555"/>
      <c r="B49" s="555"/>
      <c r="C49" s="555"/>
      <c r="D49" s="555"/>
      <c r="E49" s="555"/>
      <c r="F49" s="555"/>
      <c r="G49" s="555"/>
      <c r="H49" s="555"/>
      <c r="I49" s="555"/>
      <c r="J49" s="555"/>
      <c r="K49" s="555"/>
      <c r="L49" s="555"/>
      <c r="M49" s="555"/>
      <c r="N49" s="555"/>
    </row>
    <row r="50" spans="1:14" ht="18" customHeight="1" x14ac:dyDescent="0.3">
      <c r="A50" s="555"/>
      <c r="B50" s="555"/>
      <c r="C50" s="555"/>
      <c r="D50" s="555"/>
      <c r="E50" s="555"/>
      <c r="F50" s="555"/>
      <c r="G50" s="555"/>
      <c r="H50" s="555"/>
      <c r="I50" s="555"/>
      <c r="J50" s="555"/>
      <c r="K50" s="555"/>
      <c r="L50" s="555"/>
      <c r="M50" s="555"/>
      <c r="N50" s="555"/>
    </row>
    <row r="51" spans="1:14" ht="18" customHeight="1" x14ac:dyDescent="0.3">
      <c r="A51" s="555"/>
      <c r="B51" s="555"/>
      <c r="C51" s="555"/>
      <c r="D51" s="555"/>
      <c r="E51" s="555"/>
      <c r="F51" s="555"/>
      <c r="G51" s="555"/>
      <c r="H51" s="555"/>
      <c r="I51" s="555"/>
      <c r="J51" s="555"/>
      <c r="K51" s="555"/>
      <c r="L51" s="555"/>
      <c r="M51" s="555"/>
      <c r="N51" s="555"/>
    </row>
    <row r="52" spans="1:14" ht="18" customHeight="1" x14ac:dyDescent="0.3">
      <c r="A52" s="555"/>
      <c r="B52" s="555"/>
      <c r="C52" s="555"/>
      <c r="D52" s="555"/>
      <c r="E52" s="555"/>
      <c r="F52" s="555"/>
      <c r="G52" s="555"/>
      <c r="H52" s="555"/>
      <c r="I52" s="555"/>
      <c r="J52" s="555"/>
      <c r="K52" s="555"/>
      <c r="L52" s="555"/>
      <c r="M52" s="555"/>
      <c r="N52" s="555"/>
    </row>
    <row r="53" spans="1:14" ht="18" customHeight="1" x14ac:dyDescent="0.3">
      <c r="A53" s="555"/>
      <c r="B53" s="555"/>
      <c r="C53" s="555"/>
      <c r="D53" s="555"/>
      <c r="E53" s="555"/>
      <c r="F53" s="555"/>
      <c r="G53" s="555"/>
      <c r="H53" s="555"/>
      <c r="I53" s="555"/>
      <c r="J53" s="555"/>
      <c r="K53" s="555"/>
      <c r="L53" s="555"/>
      <c r="M53" s="555"/>
      <c r="N53" s="555"/>
    </row>
    <row r="54" spans="1:14" ht="18" customHeight="1" x14ac:dyDescent="0.3">
      <c r="A54" s="555"/>
      <c r="B54" s="555"/>
      <c r="C54" s="555"/>
      <c r="D54" s="555"/>
      <c r="E54" s="555"/>
      <c r="F54" s="555"/>
      <c r="G54" s="555"/>
      <c r="H54" s="555"/>
      <c r="I54" s="555"/>
      <c r="J54" s="555"/>
      <c r="K54" s="555"/>
      <c r="L54" s="555"/>
      <c r="M54" s="555"/>
      <c r="N54" s="555"/>
    </row>
    <row r="55" spans="1:14" ht="18" customHeight="1" x14ac:dyDescent="0.3">
      <c r="A55" s="555"/>
      <c r="B55" s="555"/>
      <c r="C55" s="555"/>
      <c r="D55" s="555"/>
      <c r="E55" s="555"/>
      <c r="F55" s="555"/>
      <c r="G55" s="555"/>
      <c r="H55" s="555"/>
      <c r="I55" s="555"/>
      <c r="J55" s="555"/>
      <c r="K55" s="555"/>
      <c r="L55" s="555"/>
      <c r="M55" s="555"/>
      <c r="N55" s="555"/>
    </row>
    <row r="56" spans="1:14" ht="18" customHeight="1" x14ac:dyDescent="0.3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5"/>
      <c r="M56" s="555"/>
      <c r="N56" s="555"/>
    </row>
    <row r="57" spans="1:14" ht="18" customHeight="1" x14ac:dyDescent="0.3">
      <c r="A57" s="555"/>
      <c r="B57" s="555"/>
      <c r="C57" s="555"/>
      <c r="D57" s="555"/>
      <c r="E57" s="555"/>
      <c r="F57" s="555"/>
      <c r="G57" s="555"/>
      <c r="H57" s="555"/>
      <c r="I57" s="555"/>
      <c r="J57" s="555"/>
      <c r="K57" s="555"/>
      <c r="L57" s="555"/>
      <c r="M57" s="555"/>
      <c r="N57" s="555"/>
    </row>
    <row r="58" spans="1:14" ht="18" customHeight="1" x14ac:dyDescent="0.3">
      <c r="A58" s="555"/>
      <c r="B58" s="555"/>
      <c r="C58" s="555"/>
      <c r="D58" s="555"/>
      <c r="E58" s="555"/>
      <c r="F58" s="555"/>
      <c r="G58" s="555"/>
      <c r="H58" s="555"/>
      <c r="I58" s="555"/>
      <c r="J58" s="555"/>
      <c r="K58" s="555"/>
      <c r="L58" s="555"/>
      <c r="M58" s="555"/>
      <c r="N58" s="555"/>
    </row>
    <row r="59" spans="1:14" ht="18" customHeight="1" x14ac:dyDescent="0.3">
      <c r="A59" s="555"/>
      <c r="B59" s="555"/>
      <c r="C59" s="555"/>
      <c r="D59" s="555"/>
      <c r="E59" s="555"/>
      <c r="F59" s="555"/>
      <c r="G59" s="555"/>
      <c r="H59" s="555"/>
      <c r="I59" s="555"/>
      <c r="J59" s="555"/>
      <c r="K59" s="555"/>
      <c r="L59" s="555"/>
      <c r="M59" s="555"/>
      <c r="N59" s="555"/>
    </row>
    <row r="60" spans="1:14" ht="18" customHeight="1" x14ac:dyDescent="0.3">
      <c r="A60" s="555"/>
      <c r="B60" s="555"/>
      <c r="C60" s="555"/>
      <c r="D60" s="555"/>
      <c r="E60" s="555"/>
      <c r="F60" s="555"/>
      <c r="G60" s="555"/>
      <c r="H60" s="555"/>
      <c r="I60" s="555"/>
      <c r="J60" s="555"/>
      <c r="K60" s="555"/>
      <c r="L60" s="555"/>
      <c r="M60" s="555"/>
      <c r="N60" s="555"/>
    </row>
    <row r="61" spans="1:14" ht="18" customHeight="1" x14ac:dyDescent="0.3">
      <c r="A61" s="555"/>
      <c r="B61" s="555"/>
      <c r="C61" s="555"/>
      <c r="D61" s="555"/>
      <c r="E61" s="555"/>
      <c r="F61" s="555"/>
      <c r="G61" s="555"/>
      <c r="H61" s="555"/>
      <c r="I61" s="555"/>
      <c r="J61" s="555"/>
      <c r="K61" s="555"/>
      <c r="L61" s="555"/>
      <c r="M61" s="555"/>
      <c r="N61" s="555"/>
    </row>
    <row r="62" spans="1:14" ht="18" customHeight="1" x14ac:dyDescent="0.3">
      <c r="A62" s="555"/>
      <c r="B62" s="555"/>
      <c r="C62" s="555"/>
      <c r="D62" s="555"/>
      <c r="E62" s="555"/>
      <c r="F62" s="555"/>
      <c r="G62" s="555"/>
      <c r="H62" s="555"/>
      <c r="I62" s="555"/>
      <c r="J62" s="555"/>
      <c r="K62" s="555"/>
      <c r="L62" s="555"/>
      <c r="M62" s="555"/>
      <c r="N62" s="555"/>
    </row>
    <row r="63" spans="1:14" ht="18" customHeight="1" x14ac:dyDescent="0.3">
      <c r="A63" s="555"/>
      <c r="B63" s="555"/>
      <c r="C63" s="555"/>
      <c r="D63" s="555"/>
      <c r="E63" s="555"/>
      <c r="F63" s="555"/>
      <c r="G63" s="555"/>
      <c r="H63" s="555"/>
      <c r="I63" s="555"/>
      <c r="J63" s="555"/>
      <c r="K63" s="555"/>
      <c r="L63" s="555"/>
      <c r="M63" s="555"/>
      <c r="N63" s="555"/>
    </row>
    <row r="64" spans="1:14" ht="18" customHeight="1" x14ac:dyDescent="0.3">
      <c r="A64" s="555"/>
      <c r="B64" s="555"/>
      <c r="C64" s="555"/>
      <c r="D64" s="555"/>
      <c r="E64" s="555"/>
      <c r="F64" s="555"/>
      <c r="G64" s="555"/>
      <c r="H64" s="555"/>
      <c r="I64" s="555"/>
      <c r="J64" s="555"/>
      <c r="K64" s="555"/>
      <c r="L64" s="555"/>
      <c r="M64" s="555"/>
      <c r="N64" s="555"/>
    </row>
    <row r="65" spans="1:14" ht="18" customHeight="1" x14ac:dyDescent="0.3">
      <c r="A65" s="555"/>
      <c r="B65" s="555"/>
      <c r="C65" s="555"/>
      <c r="D65" s="555"/>
      <c r="E65" s="555"/>
      <c r="F65" s="555"/>
      <c r="G65" s="555"/>
      <c r="H65" s="555"/>
      <c r="I65" s="555"/>
      <c r="J65" s="555"/>
      <c r="K65" s="555"/>
      <c r="L65" s="555"/>
      <c r="M65" s="555"/>
      <c r="N65" s="555"/>
    </row>
    <row r="66" spans="1:14" ht="18" customHeight="1" x14ac:dyDescent="0.3">
      <c r="A66" s="555"/>
      <c r="B66" s="555"/>
      <c r="C66" s="555"/>
      <c r="D66" s="555"/>
      <c r="E66" s="555"/>
      <c r="F66" s="555"/>
      <c r="G66" s="555"/>
      <c r="H66" s="555"/>
      <c r="I66" s="555"/>
      <c r="J66" s="555"/>
      <c r="K66" s="555"/>
      <c r="L66" s="555"/>
      <c r="M66" s="555"/>
      <c r="N66" s="555"/>
    </row>
    <row r="67" spans="1:14" ht="18" customHeight="1" x14ac:dyDescent="0.3">
      <c r="A67" s="555"/>
      <c r="B67" s="555"/>
      <c r="C67" s="555"/>
      <c r="D67" s="555"/>
      <c r="E67" s="555"/>
      <c r="F67" s="555"/>
      <c r="G67" s="555"/>
      <c r="H67" s="555"/>
      <c r="I67" s="555"/>
      <c r="J67" s="555"/>
      <c r="K67" s="555"/>
      <c r="L67" s="555"/>
      <c r="M67" s="555"/>
      <c r="N67" s="555"/>
    </row>
    <row r="68" spans="1:14" ht="18" customHeight="1" x14ac:dyDescent="0.3">
      <c r="A68" s="555"/>
      <c r="B68" s="555"/>
      <c r="C68" s="555"/>
      <c r="D68" s="555"/>
      <c r="E68" s="555"/>
      <c r="F68" s="555"/>
      <c r="G68" s="555"/>
      <c r="H68" s="555"/>
      <c r="I68" s="555"/>
      <c r="J68" s="555"/>
      <c r="K68" s="555"/>
      <c r="L68" s="555"/>
      <c r="M68" s="555"/>
      <c r="N68" s="555"/>
    </row>
    <row r="69" spans="1:14" ht="18" customHeight="1" x14ac:dyDescent="0.3">
      <c r="A69" s="555"/>
      <c r="B69" s="555"/>
      <c r="C69" s="555"/>
      <c r="D69" s="555"/>
      <c r="E69" s="555"/>
      <c r="F69" s="555"/>
      <c r="G69" s="555"/>
      <c r="H69" s="555"/>
      <c r="I69" s="555"/>
      <c r="J69" s="555"/>
      <c r="K69" s="555"/>
      <c r="L69" s="555"/>
      <c r="M69" s="555"/>
      <c r="N69" s="555"/>
    </row>
    <row r="70" spans="1:14" ht="18" customHeight="1" x14ac:dyDescent="0.3">
      <c r="A70" s="555"/>
      <c r="B70" s="555"/>
      <c r="C70" s="555"/>
      <c r="D70" s="555"/>
      <c r="E70" s="555"/>
      <c r="F70" s="555"/>
      <c r="G70" s="555"/>
      <c r="H70" s="555"/>
      <c r="I70" s="555"/>
      <c r="J70" s="555"/>
      <c r="K70" s="555"/>
      <c r="L70" s="555"/>
      <c r="M70" s="555"/>
      <c r="N70" s="555"/>
    </row>
    <row r="71" spans="1:14" ht="18" customHeight="1" x14ac:dyDescent="0.3">
      <c r="A71" s="555"/>
      <c r="B71" s="555"/>
      <c r="C71" s="555"/>
      <c r="D71" s="555"/>
      <c r="E71" s="555"/>
      <c r="F71" s="555"/>
      <c r="G71" s="555"/>
      <c r="H71" s="555"/>
      <c r="I71" s="555"/>
      <c r="J71" s="555"/>
      <c r="K71" s="555"/>
      <c r="L71" s="555"/>
      <c r="M71" s="555"/>
      <c r="N71" s="555"/>
    </row>
    <row r="72" spans="1:14" ht="18" customHeight="1" x14ac:dyDescent="0.3">
      <c r="A72" s="555"/>
      <c r="B72" s="555"/>
      <c r="C72" s="555"/>
      <c r="D72" s="555"/>
      <c r="E72" s="555"/>
      <c r="F72" s="555"/>
      <c r="G72" s="555"/>
      <c r="H72" s="555"/>
      <c r="I72" s="555"/>
      <c r="J72" s="555"/>
      <c r="K72" s="555"/>
      <c r="L72" s="555"/>
      <c r="M72" s="555"/>
      <c r="N72" s="555"/>
    </row>
    <row r="73" spans="1:14" ht="18" customHeight="1" x14ac:dyDescent="0.3">
      <c r="A73" s="555"/>
      <c r="B73" s="555"/>
      <c r="C73" s="555"/>
      <c r="D73" s="555"/>
      <c r="E73" s="555"/>
      <c r="F73" s="555"/>
      <c r="G73" s="555"/>
      <c r="H73" s="555"/>
      <c r="I73" s="555"/>
      <c r="J73" s="555"/>
      <c r="K73" s="555"/>
      <c r="L73" s="555"/>
      <c r="M73" s="555"/>
      <c r="N73" s="555"/>
    </row>
    <row r="74" spans="1:14" ht="18" customHeight="1" x14ac:dyDescent="0.3">
      <c r="A74" s="555"/>
      <c r="B74" s="555"/>
      <c r="C74" s="555"/>
      <c r="D74" s="555"/>
      <c r="E74" s="555"/>
      <c r="F74" s="555"/>
      <c r="G74" s="555"/>
      <c r="H74" s="555"/>
      <c r="I74" s="555"/>
      <c r="J74" s="555"/>
      <c r="K74" s="555"/>
      <c r="L74" s="555"/>
      <c r="M74" s="555"/>
      <c r="N74" s="555"/>
    </row>
    <row r="75" spans="1:14" ht="18" customHeight="1" x14ac:dyDescent="0.3">
      <c r="A75" s="555"/>
      <c r="B75" s="555"/>
      <c r="C75" s="555"/>
      <c r="D75" s="555"/>
      <c r="E75" s="555"/>
      <c r="F75" s="555"/>
      <c r="G75" s="555"/>
      <c r="H75" s="555"/>
      <c r="I75" s="555"/>
      <c r="J75" s="555"/>
      <c r="K75" s="555"/>
      <c r="L75" s="555"/>
      <c r="M75" s="555"/>
      <c r="N75" s="555"/>
    </row>
    <row r="76" spans="1:14" ht="18" customHeight="1" x14ac:dyDescent="0.3">
      <c r="A76" s="555"/>
      <c r="B76" s="555"/>
      <c r="C76" s="555"/>
      <c r="D76" s="555"/>
      <c r="E76" s="555"/>
      <c r="F76" s="555"/>
      <c r="G76" s="555"/>
      <c r="H76" s="555"/>
      <c r="I76" s="555"/>
      <c r="J76" s="555"/>
      <c r="K76" s="555"/>
      <c r="L76" s="555"/>
      <c r="M76" s="555"/>
      <c r="N76" s="555"/>
    </row>
    <row r="77" spans="1:14" ht="18" customHeight="1" x14ac:dyDescent="0.3">
      <c r="A77" s="555"/>
      <c r="B77" s="555"/>
      <c r="C77" s="555"/>
      <c r="D77" s="555"/>
      <c r="E77" s="555"/>
      <c r="F77" s="555"/>
      <c r="G77" s="555"/>
      <c r="H77" s="555"/>
      <c r="I77" s="555"/>
      <c r="J77" s="555"/>
      <c r="K77" s="555"/>
      <c r="L77" s="555"/>
      <c r="M77" s="555"/>
      <c r="N77" s="555"/>
    </row>
    <row r="78" spans="1:14" ht="18" customHeight="1" x14ac:dyDescent="0.3">
      <c r="A78" s="555"/>
      <c r="B78" s="555"/>
      <c r="C78" s="555"/>
      <c r="D78" s="555"/>
      <c r="E78" s="555"/>
      <c r="F78" s="555"/>
      <c r="G78" s="555"/>
      <c r="H78" s="555"/>
      <c r="I78" s="555"/>
      <c r="J78" s="555"/>
      <c r="K78" s="555"/>
      <c r="L78" s="555"/>
      <c r="M78" s="555"/>
      <c r="N78" s="555"/>
    </row>
    <row r="79" spans="1:14" ht="18" customHeight="1" x14ac:dyDescent="0.3">
      <c r="A79" s="555"/>
      <c r="B79" s="555"/>
      <c r="C79" s="555"/>
      <c r="D79" s="555"/>
      <c r="E79" s="555"/>
      <c r="F79" s="555"/>
      <c r="G79" s="555"/>
      <c r="H79" s="555"/>
      <c r="I79" s="555"/>
      <c r="J79" s="555"/>
      <c r="K79" s="555"/>
      <c r="L79" s="555"/>
      <c r="M79" s="555"/>
      <c r="N79" s="555"/>
    </row>
    <row r="80" spans="1:14" ht="18" customHeight="1" x14ac:dyDescent="0.3">
      <c r="A80" s="555"/>
      <c r="B80" s="555"/>
      <c r="C80" s="555"/>
      <c r="D80" s="555"/>
      <c r="E80" s="555"/>
      <c r="F80" s="555"/>
      <c r="G80" s="555"/>
      <c r="H80" s="555"/>
      <c r="I80" s="555"/>
      <c r="J80" s="555"/>
      <c r="K80" s="555"/>
      <c r="L80" s="555"/>
      <c r="M80" s="555"/>
      <c r="N80" s="555"/>
    </row>
    <row r="81" spans="1:14" ht="18" customHeight="1" x14ac:dyDescent="0.3">
      <c r="A81" s="555"/>
      <c r="B81" s="555"/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</row>
    <row r="82" spans="1:14" ht="18" customHeight="1" x14ac:dyDescent="0.3">
      <c r="A82" s="555"/>
      <c r="B82" s="555"/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</row>
    <row r="83" spans="1:14" ht="18" customHeight="1" x14ac:dyDescent="0.3">
      <c r="A83" s="555"/>
      <c r="B83" s="555"/>
      <c r="C83" s="555"/>
      <c r="D83" s="555"/>
      <c r="E83" s="555"/>
      <c r="F83" s="555"/>
      <c r="G83" s="555"/>
      <c r="H83" s="555"/>
      <c r="I83" s="555"/>
      <c r="J83" s="555"/>
      <c r="K83" s="555"/>
      <c r="L83" s="555"/>
      <c r="M83" s="555"/>
      <c r="N83" s="555"/>
    </row>
    <row r="84" spans="1:14" ht="18" customHeight="1" x14ac:dyDescent="0.3">
      <c r="A84" s="555"/>
      <c r="B84" s="555"/>
      <c r="C84" s="555"/>
      <c r="D84" s="555"/>
      <c r="E84" s="555"/>
      <c r="F84" s="555"/>
      <c r="G84" s="555"/>
      <c r="H84" s="555"/>
      <c r="I84" s="555"/>
      <c r="J84" s="555"/>
      <c r="K84" s="555"/>
      <c r="L84" s="555"/>
      <c r="M84" s="555"/>
      <c r="N84" s="555"/>
    </row>
    <row r="85" spans="1:14" ht="18" customHeight="1" x14ac:dyDescent="0.3">
      <c r="A85" s="555"/>
      <c r="B85" s="555"/>
      <c r="C85" s="555"/>
      <c r="D85" s="555"/>
      <c r="E85" s="555"/>
      <c r="F85" s="555"/>
      <c r="G85" s="555"/>
      <c r="H85" s="555"/>
      <c r="I85" s="555"/>
      <c r="J85" s="555"/>
      <c r="K85" s="555"/>
      <c r="L85" s="555"/>
      <c r="M85" s="555"/>
      <c r="N85" s="555"/>
    </row>
    <row r="86" spans="1:14" ht="18" customHeight="1" x14ac:dyDescent="0.3">
      <c r="A86" s="555"/>
      <c r="B86" s="555"/>
      <c r="C86" s="555"/>
      <c r="D86" s="555"/>
      <c r="E86" s="555"/>
      <c r="F86" s="555"/>
      <c r="G86" s="555"/>
      <c r="H86" s="555"/>
      <c r="I86" s="555"/>
      <c r="J86" s="555"/>
      <c r="K86" s="555"/>
      <c r="L86" s="555"/>
      <c r="M86" s="555"/>
      <c r="N86" s="555"/>
    </row>
    <row r="87" spans="1:14" ht="18" customHeight="1" x14ac:dyDescent="0.3">
      <c r="A87" s="555"/>
      <c r="B87" s="555"/>
      <c r="C87" s="555"/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5"/>
    </row>
    <row r="88" spans="1:14" ht="18" customHeight="1" x14ac:dyDescent="0.3">
      <c r="A88" s="555"/>
      <c r="B88" s="555"/>
      <c r="C88" s="555"/>
      <c r="D88" s="555"/>
      <c r="E88" s="555"/>
      <c r="F88" s="555"/>
      <c r="G88" s="555"/>
      <c r="H88" s="555"/>
      <c r="I88" s="555"/>
      <c r="J88" s="555"/>
      <c r="K88" s="555"/>
      <c r="L88" s="555"/>
      <c r="M88" s="555"/>
      <c r="N88" s="555"/>
    </row>
    <row r="89" spans="1:14" ht="18" customHeight="1" x14ac:dyDescent="0.3">
      <c r="A89" s="555"/>
      <c r="B89" s="555"/>
      <c r="C89" s="555"/>
      <c r="D89" s="555"/>
      <c r="E89" s="555"/>
      <c r="F89" s="555"/>
      <c r="G89" s="555"/>
      <c r="H89" s="555"/>
      <c r="I89" s="555"/>
      <c r="J89" s="555"/>
      <c r="K89" s="555"/>
      <c r="L89" s="555"/>
      <c r="M89" s="555"/>
      <c r="N89" s="555"/>
    </row>
    <row r="90" spans="1:14" ht="18" customHeight="1" x14ac:dyDescent="0.3">
      <c r="A90" s="555"/>
      <c r="B90" s="555"/>
      <c r="C90" s="555"/>
      <c r="D90" s="555"/>
      <c r="E90" s="555"/>
      <c r="F90" s="555"/>
      <c r="G90" s="555"/>
      <c r="H90" s="555"/>
      <c r="I90" s="555"/>
      <c r="J90" s="555"/>
      <c r="K90" s="555"/>
      <c r="L90" s="555"/>
      <c r="M90" s="555"/>
      <c r="N90" s="555"/>
    </row>
    <row r="91" spans="1:14" ht="18" customHeight="1" x14ac:dyDescent="0.3">
      <c r="A91" s="555"/>
      <c r="B91" s="555"/>
      <c r="C91" s="555"/>
      <c r="D91" s="555"/>
      <c r="E91" s="555"/>
      <c r="F91" s="555"/>
      <c r="G91" s="555"/>
      <c r="H91" s="555"/>
      <c r="I91" s="555"/>
      <c r="J91" s="555"/>
      <c r="K91" s="555"/>
      <c r="L91" s="555"/>
      <c r="M91" s="555"/>
      <c r="N91" s="555"/>
    </row>
    <row r="92" spans="1:14" ht="18" customHeight="1" x14ac:dyDescent="0.3">
      <c r="A92" s="555"/>
      <c r="B92" s="555"/>
      <c r="C92" s="555"/>
      <c r="D92" s="555"/>
      <c r="E92" s="555"/>
      <c r="F92" s="555"/>
      <c r="G92" s="555"/>
      <c r="H92" s="555"/>
      <c r="I92" s="555"/>
      <c r="J92" s="555"/>
      <c r="K92" s="555"/>
      <c r="L92" s="555"/>
      <c r="M92" s="555"/>
      <c r="N92" s="555"/>
    </row>
    <row r="93" spans="1:14" ht="18" customHeight="1" x14ac:dyDescent="0.3">
      <c r="A93" s="555"/>
      <c r="B93" s="555"/>
      <c r="C93" s="555"/>
      <c r="D93" s="555"/>
      <c r="E93" s="555"/>
      <c r="F93" s="555"/>
      <c r="G93" s="555"/>
      <c r="H93" s="555"/>
      <c r="I93" s="555"/>
      <c r="J93" s="555"/>
      <c r="K93" s="555"/>
      <c r="L93" s="555"/>
      <c r="M93" s="555"/>
      <c r="N93" s="555"/>
    </row>
    <row r="94" spans="1:14" ht="18" customHeight="1" x14ac:dyDescent="0.3">
      <c r="A94" s="555"/>
      <c r="B94" s="555"/>
      <c r="C94" s="555"/>
      <c r="D94" s="555"/>
      <c r="E94" s="555"/>
      <c r="F94" s="555"/>
      <c r="G94" s="555"/>
      <c r="H94" s="555"/>
      <c r="I94" s="555"/>
      <c r="J94" s="555"/>
      <c r="K94" s="555"/>
      <c r="L94" s="555"/>
      <c r="M94" s="555"/>
      <c r="N94" s="555"/>
    </row>
    <row r="95" spans="1:14" ht="18" customHeight="1" x14ac:dyDescent="0.3">
      <c r="A95" s="555"/>
      <c r="B95" s="555"/>
      <c r="C95" s="555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</row>
    <row r="96" spans="1:14" ht="18" customHeight="1" x14ac:dyDescent="0.3">
      <c r="A96" s="555"/>
      <c r="B96" s="555"/>
      <c r="C96" s="555"/>
      <c r="D96" s="555"/>
      <c r="E96" s="555"/>
      <c r="F96" s="555"/>
      <c r="G96" s="555"/>
      <c r="H96" s="555"/>
      <c r="I96" s="555"/>
      <c r="J96" s="555"/>
      <c r="K96" s="555"/>
      <c r="L96" s="555"/>
      <c r="M96" s="555"/>
      <c r="N96" s="555"/>
    </row>
    <row r="97" spans="1:14" ht="18" customHeight="1" x14ac:dyDescent="0.3">
      <c r="A97" s="555"/>
      <c r="B97" s="555"/>
      <c r="C97" s="555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</row>
    <row r="98" spans="1:14" ht="18" customHeight="1" x14ac:dyDescent="0.3">
      <c r="A98" s="555"/>
      <c r="B98" s="555"/>
      <c r="C98" s="555"/>
      <c r="D98" s="555"/>
      <c r="E98" s="555"/>
      <c r="F98" s="555"/>
      <c r="G98" s="555"/>
      <c r="H98" s="555"/>
      <c r="I98" s="555"/>
      <c r="J98" s="555"/>
      <c r="K98" s="555"/>
      <c r="L98" s="555"/>
      <c r="M98" s="555"/>
      <c r="N98" s="555"/>
    </row>
    <row r="99" spans="1:14" ht="18" customHeight="1" x14ac:dyDescent="0.3">
      <c r="A99" s="555"/>
      <c r="B99" s="555"/>
      <c r="C99" s="555"/>
      <c r="D99" s="555"/>
      <c r="E99" s="555"/>
      <c r="F99" s="555"/>
      <c r="G99" s="555"/>
      <c r="H99" s="555"/>
      <c r="I99" s="555"/>
      <c r="J99" s="555"/>
      <c r="K99" s="555"/>
      <c r="L99" s="555"/>
      <c r="M99" s="555"/>
      <c r="N99" s="555"/>
    </row>
    <row r="100" spans="1:14" ht="18" customHeight="1" x14ac:dyDescent="0.3">
      <c r="A100" s="555"/>
      <c r="B100" s="555"/>
      <c r="C100" s="555"/>
      <c r="D100" s="555"/>
      <c r="E100" s="555"/>
      <c r="F100" s="555"/>
      <c r="G100" s="555"/>
      <c r="H100" s="555"/>
      <c r="I100" s="555"/>
      <c r="J100" s="555"/>
      <c r="K100" s="555"/>
      <c r="L100" s="555"/>
      <c r="M100" s="555"/>
      <c r="N100" s="555"/>
    </row>
    <row r="101" spans="1:14" ht="18" customHeight="1" x14ac:dyDescent="0.3">
      <c r="A101" s="555"/>
      <c r="B101" s="555"/>
      <c r="C101" s="555"/>
      <c r="D101" s="555"/>
      <c r="E101" s="555"/>
      <c r="F101" s="555"/>
      <c r="G101" s="555"/>
      <c r="H101" s="555"/>
      <c r="I101" s="555"/>
      <c r="J101" s="555"/>
      <c r="K101" s="555"/>
      <c r="L101" s="555"/>
      <c r="M101" s="555"/>
      <c r="N101" s="555"/>
    </row>
    <row r="102" spans="1:14" ht="18" customHeight="1" x14ac:dyDescent="0.3">
      <c r="A102" s="555"/>
      <c r="B102" s="555"/>
      <c r="C102" s="555"/>
      <c r="D102" s="555"/>
      <c r="E102" s="555"/>
      <c r="F102" s="555"/>
      <c r="G102" s="555"/>
      <c r="H102" s="555"/>
      <c r="I102" s="555"/>
      <c r="J102" s="555"/>
      <c r="K102" s="555"/>
      <c r="L102" s="555"/>
      <c r="M102" s="555"/>
      <c r="N102" s="555"/>
    </row>
    <row r="103" spans="1:14" ht="18" customHeight="1" x14ac:dyDescent="0.3">
      <c r="A103" s="555"/>
      <c r="B103" s="555"/>
      <c r="C103" s="555"/>
      <c r="D103" s="555"/>
      <c r="E103" s="555"/>
      <c r="F103" s="555"/>
      <c r="G103" s="555"/>
      <c r="H103" s="555"/>
      <c r="I103" s="555"/>
      <c r="J103" s="555"/>
      <c r="K103" s="555"/>
      <c r="L103" s="555"/>
      <c r="M103" s="555"/>
      <c r="N103" s="555"/>
    </row>
    <row r="104" spans="1:14" ht="18" customHeight="1" x14ac:dyDescent="0.3">
      <c r="A104" s="555"/>
      <c r="B104" s="555"/>
      <c r="C104" s="555"/>
      <c r="D104" s="555"/>
      <c r="E104" s="555"/>
      <c r="F104" s="555"/>
      <c r="G104" s="555"/>
      <c r="H104" s="555"/>
      <c r="I104" s="555"/>
      <c r="J104" s="555"/>
      <c r="K104" s="555"/>
      <c r="L104" s="555"/>
      <c r="M104" s="555"/>
      <c r="N104" s="555"/>
    </row>
    <row r="105" spans="1:14" ht="18" customHeight="1" x14ac:dyDescent="0.3">
      <c r="A105" s="555"/>
      <c r="B105" s="555"/>
      <c r="C105" s="555"/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</row>
    <row r="106" spans="1:14" ht="18" customHeight="1" x14ac:dyDescent="0.3">
      <c r="A106" s="555"/>
      <c r="B106" s="555"/>
      <c r="C106" s="555"/>
      <c r="D106" s="555"/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</row>
    <row r="107" spans="1:14" ht="18" customHeight="1" x14ac:dyDescent="0.3">
      <c r="A107" s="555"/>
      <c r="B107" s="555"/>
      <c r="C107" s="555"/>
      <c r="D107" s="555"/>
      <c r="E107" s="555"/>
      <c r="F107" s="555"/>
      <c r="G107" s="555"/>
      <c r="H107" s="555"/>
      <c r="I107" s="555"/>
      <c r="J107" s="555"/>
      <c r="K107" s="555"/>
      <c r="L107" s="555"/>
      <c r="M107" s="555"/>
      <c r="N107" s="555"/>
    </row>
    <row r="108" spans="1:14" ht="18" customHeight="1" x14ac:dyDescent="0.3">
      <c r="A108" s="555"/>
      <c r="B108" s="555"/>
      <c r="C108" s="555"/>
      <c r="D108" s="555"/>
      <c r="E108" s="555"/>
      <c r="F108" s="555"/>
      <c r="G108" s="555"/>
      <c r="H108" s="555"/>
      <c r="I108" s="555"/>
      <c r="J108" s="555"/>
      <c r="K108" s="555"/>
      <c r="L108" s="555"/>
      <c r="M108" s="555"/>
      <c r="N108" s="555"/>
    </row>
    <row r="109" spans="1:14" ht="18" customHeight="1" x14ac:dyDescent="0.3">
      <c r="A109" s="555"/>
      <c r="B109" s="555"/>
      <c r="C109" s="555"/>
      <c r="D109" s="555"/>
      <c r="E109" s="555"/>
      <c r="F109" s="555"/>
      <c r="G109" s="555"/>
      <c r="H109" s="555"/>
      <c r="I109" s="555"/>
      <c r="J109" s="555"/>
      <c r="K109" s="555"/>
      <c r="L109" s="555"/>
      <c r="M109" s="555"/>
      <c r="N109" s="555"/>
    </row>
    <row r="110" spans="1:14" ht="18" customHeight="1" x14ac:dyDescent="0.3">
      <c r="A110" s="555"/>
      <c r="B110" s="555"/>
      <c r="C110" s="555"/>
      <c r="D110" s="555"/>
      <c r="E110" s="555"/>
      <c r="F110" s="555"/>
      <c r="G110" s="555"/>
      <c r="H110" s="555"/>
      <c r="I110" s="555"/>
      <c r="J110" s="555"/>
      <c r="K110" s="555"/>
      <c r="L110" s="555"/>
      <c r="M110" s="555"/>
      <c r="N110" s="555"/>
    </row>
    <row r="111" spans="1:14" ht="18" customHeight="1" x14ac:dyDescent="0.3">
      <c r="A111" s="555"/>
      <c r="B111" s="555"/>
      <c r="C111" s="555"/>
      <c r="D111" s="555"/>
      <c r="E111" s="555"/>
      <c r="F111" s="555"/>
      <c r="G111" s="555"/>
      <c r="H111" s="555"/>
      <c r="I111" s="555"/>
      <c r="J111" s="555"/>
      <c r="K111" s="555"/>
      <c r="L111" s="555"/>
      <c r="M111" s="555"/>
      <c r="N111" s="555"/>
    </row>
    <row r="112" spans="1:14" ht="18" customHeight="1" x14ac:dyDescent="0.3">
      <c r="A112" s="555"/>
      <c r="B112" s="555"/>
      <c r="C112" s="555"/>
      <c r="D112" s="555"/>
      <c r="E112" s="555"/>
      <c r="F112" s="555"/>
      <c r="G112" s="555"/>
      <c r="H112" s="555"/>
      <c r="I112" s="555"/>
      <c r="J112" s="555"/>
      <c r="K112" s="555"/>
      <c r="L112" s="555"/>
      <c r="M112" s="555"/>
      <c r="N112" s="555"/>
    </row>
    <row r="113" spans="1:14" ht="18" customHeight="1" x14ac:dyDescent="0.3">
      <c r="A113" s="555"/>
      <c r="B113" s="555"/>
      <c r="C113" s="555"/>
      <c r="D113" s="555"/>
      <c r="E113" s="555"/>
      <c r="F113" s="555"/>
      <c r="G113" s="555"/>
      <c r="H113" s="555"/>
      <c r="I113" s="555"/>
      <c r="J113" s="555"/>
      <c r="K113" s="555"/>
      <c r="L113" s="555"/>
      <c r="M113" s="555"/>
      <c r="N113" s="555"/>
    </row>
    <row r="114" spans="1:14" ht="18" customHeight="1" x14ac:dyDescent="0.3">
      <c r="A114" s="555"/>
      <c r="B114" s="555"/>
      <c r="C114" s="555"/>
      <c r="D114" s="555"/>
      <c r="E114" s="555"/>
      <c r="F114" s="555"/>
      <c r="G114" s="555"/>
      <c r="H114" s="555"/>
      <c r="I114" s="555"/>
      <c r="J114" s="555"/>
      <c r="K114" s="555"/>
      <c r="L114" s="555"/>
      <c r="M114" s="555"/>
      <c r="N114" s="555"/>
    </row>
    <row r="115" spans="1:14" ht="18" customHeight="1" x14ac:dyDescent="0.3">
      <c r="A115" s="555"/>
      <c r="B115" s="555"/>
      <c r="C115" s="555"/>
      <c r="D115" s="555"/>
      <c r="E115" s="555"/>
      <c r="F115" s="555"/>
      <c r="G115" s="555"/>
      <c r="H115" s="555"/>
      <c r="I115" s="555"/>
      <c r="J115" s="555"/>
      <c r="K115" s="555"/>
      <c r="L115" s="555"/>
      <c r="M115" s="555"/>
      <c r="N115" s="555"/>
    </row>
    <row r="116" spans="1:14" ht="18" customHeight="1" x14ac:dyDescent="0.3">
      <c r="A116" s="555"/>
      <c r="B116" s="555"/>
      <c r="C116" s="555"/>
      <c r="D116" s="555"/>
      <c r="E116" s="555"/>
      <c r="F116" s="555"/>
      <c r="G116" s="555"/>
      <c r="H116" s="555"/>
      <c r="I116" s="555"/>
      <c r="J116" s="555"/>
      <c r="K116" s="555"/>
      <c r="L116" s="555"/>
      <c r="M116" s="555"/>
      <c r="N116" s="555"/>
    </row>
    <row r="117" spans="1:14" ht="18" customHeight="1" x14ac:dyDescent="0.3">
      <c r="A117" s="555"/>
      <c r="B117" s="555"/>
      <c r="C117" s="555"/>
      <c r="D117" s="555"/>
      <c r="E117" s="555"/>
      <c r="F117" s="555"/>
      <c r="G117" s="555"/>
      <c r="H117" s="555"/>
      <c r="I117" s="555"/>
      <c r="J117" s="555"/>
      <c r="K117" s="555"/>
      <c r="L117" s="555"/>
      <c r="M117" s="555"/>
      <c r="N117" s="555"/>
    </row>
    <row r="118" spans="1:14" ht="18" customHeight="1" x14ac:dyDescent="0.3">
      <c r="A118" s="555"/>
      <c r="B118" s="555"/>
      <c r="C118" s="555"/>
      <c r="D118" s="555"/>
      <c r="E118" s="555"/>
      <c r="F118" s="555"/>
      <c r="G118" s="555"/>
      <c r="H118" s="555"/>
      <c r="I118" s="555"/>
      <c r="J118" s="555"/>
      <c r="K118" s="555"/>
      <c r="L118" s="555"/>
      <c r="M118" s="555"/>
      <c r="N118" s="555"/>
    </row>
    <row r="119" spans="1:14" ht="18" customHeight="1" x14ac:dyDescent="0.3">
      <c r="A119" s="555"/>
      <c r="B119" s="555"/>
      <c r="C119" s="555"/>
      <c r="D119" s="555"/>
      <c r="E119" s="555"/>
      <c r="F119" s="555"/>
      <c r="G119" s="555"/>
      <c r="H119" s="555"/>
      <c r="I119" s="555"/>
      <c r="J119" s="555"/>
      <c r="K119" s="555"/>
      <c r="L119" s="555"/>
      <c r="M119" s="555"/>
      <c r="N119" s="555"/>
    </row>
    <row r="120" spans="1:14" ht="18" customHeight="1" x14ac:dyDescent="0.3">
      <c r="A120" s="555"/>
      <c r="B120" s="555"/>
      <c r="C120" s="555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</row>
    <row r="121" spans="1:14" ht="18" customHeight="1" x14ac:dyDescent="0.3">
      <c r="A121" s="555"/>
      <c r="B121" s="555"/>
      <c r="C121" s="555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</row>
    <row r="122" spans="1:14" ht="18" customHeight="1" x14ac:dyDescent="0.3">
      <c r="A122" s="555"/>
      <c r="B122" s="555"/>
      <c r="C122" s="555"/>
      <c r="D122" s="555"/>
      <c r="E122" s="555"/>
      <c r="F122" s="555"/>
      <c r="G122" s="555"/>
      <c r="H122" s="555"/>
      <c r="I122" s="555"/>
      <c r="J122" s="555"/>
      <c r="K122" s="555"/>
      <c r="L122" s="555"/>
      <c r="M122" s="555"/>
      <c r="N122" s="555"/>
    </row>
    <row r="123" spans="1:14" ht="18" customHeight="1" x14ac:dyDescent="0.3">
      <c r="A123" s="555"/>
      <c r="B123" s="555"/>
      <c r="C123" s="555"/>
      <c r="D123" s="555"/>
      <c r="E123" s="555"/>
      <c r="F123" s="555"/>
      <c r="G123" s="555"/>
      <c r="H123" s="555"/>
      <c r="I123" s="555"/>
      <c r="J123" s="555"/>
      <c r="K123" s="555"/>
      <c r="L123" s="555"/>
      <c r="M123" s="555"/>
      <c r="N123" s="555"/>
    </row>
    <row r="124" spans="1:14" ht="18" customHeight="1" x14ac:dyDescent="0.3">
      <c r="A124" s="555"/>
      <c r="B124" s="555"/>
      <c r="C124" s="555"/>
      <c r="D124" s="555"/>
      <c r="E124" s="555"/>
      <c r="F124" s="555"/>
      <c r="G124" s="555"/>
      <c r="H124" s="555"/>
      <c r="I124" s="555"/>
      <c r="J124" s="555"/>
      <c r="K124" s="555"/>
      <c r="L124" s="555"/>
      <c r="M124" s="555"/>
      <c r="N124" s="555"/>
    </row>
    <row r="125" spans="1:14" ht="18" customHeight="1" x14ac:dyDescent="0.3">
      <c r="A125" s="555"/>
      <c r="B125" s="555"/>
      <c r="C125" s="555"/>
      <c r="D125" s="555"/>
      <c r="E125" s="555"/>
      <c r="F125" s="555"/>
      <c r="G125" s="555"/>
      <c r="H125" s="555"/>
      <c r="I125" s="555"/>
      <c r="J125" s="555"/>
      <c r="K125" s="555"/>
      <c r="L125" s="555"/>
      <c r="M125" s="555"/>
      <c r="N125" s="555"/>
    </row>
    <row r="126" spans="1:14" ht="18" customHeight="1" x14ac:dyDescent="0.3">
      <c r="A126" s="555"/>
      <c r="B126" s="555"/>
      <c r="C126" s="555"/>
      <c r="D126" s="555"/>
      <c r="E126" s="555"/>
      <c r="F126" s="555"/>
      <c r="G126" s="555"/>
      <c r="H126" s="555"/>
      <c r="I126" s="555"/>
      <c r="J126" s="555"/>
      <c r="K126" s="555"/>
      <c r="L126" s="555"/>
      <c r="M126" s="555"/>
      <c r="N126" s="555"/>
    </row>
    <row r="127" spans="1:14" ht="18" customHeight="1" x14ac:dyDescent="0.3">
      <c r="A127" s="555"/>
      <c r="B127" s="555"/>
      <c r="C127" s="555"/>
      <c r="D127" s="555"/>
      <c r="E127" s="555"/>
      <c r="F127" s="555"/>
      <c r="G127" s="555"/>
      <c r="H127" s="555"/>
      <c r="I127" s="555"/>
      <c r="J127" s="555"/>
      <c r="K127" s="555"/>
      <c r="L127" s="555"/>
      <c r="M127" s="555"/>
      <c r="N127" s="555"/>
    </row>
    <row r="128" spans="1:14" ht="18" customHeight="1" x14ac:dyDescent="0.3">
      <c r="A128" s="555"/>
      <c r="B128" s="555"/>
      <c r="C128" s="555"/>
      <c r="D128" s="555"/>
      <c r="E128" s="555"/>
      <c r="F128" s="555"/>
      <c r="G128" s="555"/>
      <c r="H128" s="555"/>
      <c r="I128" s="555"/>
      <c r="J128" s="555"/>
      <c r="K128" s="555"/>
      <c r="L128" s="555"/>
      <c r="M128" s="555"/>
      <c r="N128" s="555"/>
    </row>
    <row r="129" spans="1:14" ht="18" customHeight="1" x14ac:dyDescent="0.3">
      <c r="A129" s="555"/>
      <c r="B129" s="555"/>
      <c r="C129" s="555"/>
      <c r="D129" s="555"/>
      <c r="E129" s="555"/>
      <c r="F129" s="555"/>
      <c r="G129" s="555"/>
      <c r="H129" s="555"/>
      <c r="I129" s="555"/>
      <c r="J129" s="555"/>
      <c r="K129" s="555"/>
      <c r="L129" s="555"/>
      <c r="M129" s="555"/>
      <c r="N129" s="555"/>
    </row>
    <row r="130" spans="1:14" ht="18" customHeight="1" x14ac:dyDescent="0.3">
      <c r="A130" s="555"/>
      <c r="B130" s="555"/>
      <c r="C130" s="555"/>
      <c r="D130" s="555"/>
      <c r="E130" s="555"/>
      <c r="F130" s="555"/>
      <c r="G130" s="555"/>
      <c r="H130" s="555"/>
      <c r="I130" s="555"/>
      <c r="J130" s="555"/>
      <c r="K130" s="555"/>
      <c r="L130" s="555"/>
      <c r="M130" s="555"/>
      <c r="N130" s="555"/>
    </row>
    <row r="131" spans="1:14" ht="18" customHeight="1" x14ac:dyDescent="0.3">
      <c r="A131" s="555"/>
      <c r="B131" s="555"/>
      <c r="C131" s="555"/>
      <c r="D131" s="555"/>
      <c r="E131" s="555"/>
      <c r="F131" s="555"/>
      <c r="G131" s="555"/>
      <c r="H131" s="555"/>
      <c r="I131" s="555"/>
      <c r="J131" s="555"/>
      <c r="K131" s="555"/>
      <c r="L131" s="555"/>
      <c r="M131" s="555"/>
      <c r="N131" s="555"/>
    </row>
    <row r="132" spans="1:14" ht="18" customHeight="1" x14ac:dyDescent="0.3">
      <c r="A132" s="555"/>
      <c r="B132" s="555"/>
      <c r="C132" s="555"/>
      <c r="D132" s="555"/>
      <c r="E132" s="555"/>
      <c r="F132" s="555"/>
      <c r="G132" s="555"/>
      <c r="H132" s="555"/>
      <c r="I132" s="555"/>
      <c r="J132" s="555"/>
      <c r="K132" s="555"/>
      <c r="L132" s="555"/>
      <c r="M132" s="555"/>
      <c r="N132" s="555"/>
    </row>
    <row r="133" spans="1:14" ht="18" customHeight="1" x14ac:dyDescent="0.3">
      <c r="A133" s="555"/>
      <c r="B133" s="555"/>
      <c r="C133" s="555"/>
      <c r="D133" s="555"/>
      <c r="E133" s="555"/>
      <c r="F133" s="555"/>
      <c r="G133" s="555"/>
      <c r="H133" s="555"/>
      <c r="I133" s="555"/>
      <c r="J133" s="555"/>
      <c r="K133" s="555"/>
      <c r="L133" s="555"/>
      <c r="M133" s="555"/>
      <c r="N133" s="555"/>
    </row>
    <row r="134" spans="1:14" ht="18" customHeight="1" x14ac:dyDescent="0.3">
      <c r="A134" s="555"/>
      <c r="B134" s="555"/>
      <c r="C134" s="555"/>
      <c r="D134" s="555"/>
      <c r="E134" s="555"/>
      <c r="F134" s="555"/>
      <c r="G134" s="555"/>
      <c r="H134" s="555"/>
      <c r="I134" s="555"/>
      <c r="J134" s="555"/>
      <c r="K134" s="555"/>
      <c r="L134" s="555"/>
      <c r="M134" s="555"/>
      <c r="N134" s="555"/>
    </row>
    <row r="135" spans="1:14" ht="18" customHeight="1" x14ac:dyDescent="0.3">
      <c r="A135" s="555"/>
      <c r="B135" s="555"/>
      <c r="C135" s="555"/>
      <c r="D135" s="555"/>
      <c r="E135" s="555"/>
      <c r="F135" s="555"/>
      <c r="G135" s="555"/>
      <c r="H135" s="555"/>
      <c r="I135" s="555"/>
      <c r="J135" s="555"/>
      <c r="K135" s="555"/>
      <c r="L135" s="555"/>
      <c r="M135" s="555"/>
      <c r="N135" s="555"/>
    </row>
    <row r="136" spans="1:14" ht="18" customHeight="1" x14ac:dyDescent="0.3">
      <c r="A136" s="555"/>
      <c r="B136" s="555"/>
      <c r="C136" s="555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</row>
    <row r="137" spans="1:14" ht="18" customHeight="1" x14ac:dyDescent="0.3">
      <c r="A137" s="555"/>
      <c r="B137" s="555"/>
      <c r="C137" s="555"/>
      <c r="D137" s="555"/>
      <c r="E137" s="555"/>
      <c r="F137" s="555"/>
      <c r="G137" s="555"/>
      <c r="H137" s="555"/>
      <c r="I137" s="555"/>
      <c r="J137" s="555"/>
      <c r="K137" s="555"/>
      <c r="L137" s="555"/>
      <c r="M137" s="555"/>
      <c r="N137" s="555"/>
    </row>
    <row r="138" spans="1:14" ht="18" customHeight="1" x14ac:dyDescent="0.3">
      <c r="A138" s="555"/>
      <c r="B138" s="555"/>
      <c r="C138" s="555"/>
      <c r="D138" s="555"/>
      <c r="E138" s="555"/>
      <c r="F138" s="555"/>
      <c r="G138" s="555"/>
      <c r="H138" s="555"/>
      <c r="I138" s="555"/>
      <c r="J138" s="555"/>
      <c r="K138" s="555"/>
      <c r="L138" s="555"/>
      <c r="M138" s="555"/>
      <c r="N138" s="555"/>
    </row>
    <row r="139" spans="1:14" ht="18" customHeight="1" x14ac:dyDescent="0.3">
      <c r="A139" s="555"/>
      <c r="B139" s="555"/>
      <c r="C139" s="555"/>
      <c r="D139" s="555"/>
      <c r="E139" s="555"/>
      <c r="F139" s="555"/>
      <c r="G139" s="555"/>
      <c r="H139" s="555"/>
      <c r="I139" s="555"/>
      <c r="J139" s="555"/>
      <c r="K139" s="555"/>
      <c r="L139" s="555"/>
      <c r="M139" s="555"/>
      <c r="N139" s="555"/>
    </row>
    <row r="140" spans="1:14" ht="18" customHeight="1" x14ac:dyDescent="0.3">
      <c r="A140" s="555"/>
      <c r="B140" s="555"/>
      <c r="C140" s="555"/>
      <c r="D140" s="555"/>
      <c r="E140" s="555"/>
      <c r="F140" s="555"/>
      <c r="G140" s="555"/>
      <c r="H140" s="555"/>
      <c r="I140" s="555"/>
      <c r="J140" s="555"/>
      <c r="K140" s="555"/>
      <c r="L140" s="555"/>
      <c r="M140" s="555"/>
      <c r="N140" s="555"/>
    </row>
    <row r="141" spans="1:14" ht="18" customHeight="1" x14ac:dyDescent="0.3">
      <c r="A141" s="555"/>
      <c r="B141" s="555"/>
      <c r="C141" s="555"/>
      <c r="D141" s="555"/>
      <c r="E141" s="555"/>
      <c r="F141" s="555"/>
      <c r="G141" s="555"/>
      <c r="H141" s="555"/>
      <c r="I141" s="555"/>
      <c r="J141" s="555"/>
      <c r="K141" s="555"/>
      <c r="L141" s="555"/>
      <c r="M141" s="555"/>
      <c r="N141" s="555"/>
    </row>
    <row r="142" spans="1:14" ht="18" customHeight="1" x14ac:dyDescent="0.3">
      <c r="A142" s="555"/>
      <c r="B142" s="555"/>
      <c r="C142" s="555"/>
      <c r="D142" s="555"/>
      <c r="E142" s="555"/>
      <c r="F142" s="555"/>
      <c r="G142" s="555"/>
      <c r="H142" s="555"/>
      <c r="I142" s="555"/>
      <c r="J142" s="555"/>
      <c r="K142" s="555"/>
      <c r="L142" s="555"/>
      <c r="M142" s="555"/>
      <c r="N142" s="555"/>
    </row>
    <row r="143" spans="1:14" ht="18" customHeight="1" x14ac:dyDescent="0.3">
      <c r="A143" s="555"/>
      <c r="B143" s="555"/>
      <c r="C143" s="555"/>
      <c r="D143" s="555"/>
      <c r="E143" s="555"/>
      <c r="F143" s="555"/>
      <c r="G143" s="555"/>
      <c r="H143" s="555"/>
      <c r="I143" s="555"/>
      <c r="J143" s="555"/>
      <c r="K143" s="555"/>
      <c r="L143" s="555"/>
      <c r="M143" s="555"/>
      <c r="N143" s="555"/>
    </row>
    <row r="144" spans="1:14" ht="18" customHeight="1" x14ac:dyDescent="0.3">
      <c r="A144" s="555"/>
      <c r="B144" s="555"/>
      <c r="C144" s="555"/>
      <c r="D144" s="555"/>
      <c r="E144" s="555"/>
      <c r="F144" s="555"/>
      <c r="G144" s="555"/>
      <c r="H144" s="555"/>
      <c r="I144" s="555"/>
      <c r="J144" s="555"/>
      <c r="K144" s="555"/>
      <c r="L144" s="555"/>
      <c r="M144" s="555"/>
      <c r="N144" s="555"/>
    </row>
    <row r="145" spans="1:14" ht="18" customHeight="1" x14ac:dyDescent="0.3">
      <c r="A145" s="555"/>
      <c r="B145" s="555"/>
      <c r="C145" s="555"/>
      <c r="D145" s="555"/>
      <c r="E145" s="555"/>
      <c r="F145" s="555"/>
      <c r="G145" s="555"/>
      <c r="H145" s="555"/>
      <c r="I145" s="555"/>
      <c r="J145" s="555"/>
      <c r="K145" s="555"/>
      <c r="L145" s="555"/>
      <c r="M145" s="555"/>
      <c r="N145" s="555"/>
    </row>
    <row r="146" spans="1:14" ht="18" customHeight="1" x14ac:dyDescent="0.3">
      <c r="A146" s="555"/>
      <c r="B146" s="555"/>
      <c r="C146" s="555"/>
      <c r="D146" s="555"/>
      <c r="E146" s="555"/>
      <c r="F146" s="555"/>
      <c r="G146" s="555"/>
      <c r="H146" s="555"/>
      <c r="I146" s="555"/>
      <c r="J146" s="555"/>
      <c r="K146" s="555"/>
      <c r="L146" s="555"/>
      <c r="M146" s="555"/>
      <c r="N146" s="555"/>
    </row>
    <row r="147" spans="1:14" ht="18" customHeight="1" x14ac:dyDescent="0.3">
      <c r="A147" s="555"/>
      <c r="B147" s="555"/>
      <c r="C147" s="555"/>
      <c r="D147" s="555"/>
      <c r="E147" s="555"/>
      <c r="F147" s="555"/>
      <c r="G147" s="555"/>
      <c r="H147" s="555"/>
      <c r="I147" s="555"/>
      <c r="J147" s="555"/>
      <c r="K147" s="555"/>
      <c r="L147" s="555"/>
      <c r="M147" s="555"/>
      <c r="N147" s="555"/>
    </row>
    <row r="148" spans="1:14" ht="18" customHeight="1" x14ac:dyDescent="0.3">
      <c r="A148" s="555"/>
      <c r="B148" s="555"/>
      <c r="C148" s="555"/>
      <c r="D148" s="555"/>
      <c r="E148" s="555"/>
      <c r="F148" s="555"/>
      <c r="G148" s="555"/>
      <c r="H148" s="555"/>
      <c r="I148" s="555"/>
      <c r="J148" s="555"/>
      <c r="K148" s="555"/>
      <c r="L148" s="555"/>
      <c r="M148" s="555"/>
      <c r="N148" s="555"/>
    </row>
    <row r="149" spans="1:14" ht="18" customHeight="1" x14ac:dyDescent="0.3">
      <c r="A149" s="555"/>
      <c r="B149" s="555"/>
      <c r="C149" s="555"/>
      <c r="D149" s="555"/>
      <c r="E149" s="555"/>
      <c r="F149" s="555"/>
      <c r="G149" s="555"/>
      <c r="H149" s="555"/>
      <c r="I149" s="555"/>
      <c r="J149" s="555"/>
      <c r="K149" s="555"/>
      <c r="L149" s="555"/>
      <c r="M149" s="555"/>
      <c r="N149" s="555"/>
    </row>
    <row r="150" spans="1:14" ht="18" customHeight="1" x14ac:dyDescent="0.3">
      <c r="A150" s="555"/>
      <c r="B150" s="555"/>
      <c r="C150" s="555"/>
      <c r="D150" s="555"/>
      <c r="E150" s="555"/>
      <c r="F150" s="555"/>
      <c r="G150" s="555"/>
      <c r="H150" s="555"/>
      <c r="I150" s="555"/>
      <c r="J150" s="555"/>
      <c r="K150" s="555"/>
      <c r="L150" s="555"/>
      <c r="M150" s="555"/>
      <c r="N150" s="555"/>
    </row>
    <row r="151" spans="1:14" ht="18" customHeight="1" x14ac:dyDescent="0.3">
      <c r="A151" s="555"/>
      <c r="B151" s="555"/>
      <c r="C151" s="555"/>
      <c r="D151" s="555"/>
      <c r="E151" s="555"/>
      <c r="F151" s="555"/>
      <c r="G151" s="555"/>
      <c r="H151" s="555"/>
      <c r="I151" s="555"/>
      <c r="J151" s="555"/>
      <c r="K151" s="555"/>
      <c r="L151" s="555"/>
      <c r="M151" s="555"/>
      <c r="N151" s="555"/>
    </row>
    <row r="152" spans="1:14" ht="18" customHeight="1" x14ac:dyDescent="0.3">
      <c r="A152" s="555"/>
      <c r="B152" s="555"/>
      <c r="C152" s="555"/>
      <c r="D152" s="555"/>
      <c r="E152" s="555"/>
      <c r="F152" s="555"/>
      <c r="G152" s="555"/>
      <c r="H152" s="555"/>
      <c r="I152" s="555"/>
      <c r="J152" s="555"/>
      <c r="K152" s="555"/>
      <c r="L152" s="555"/>
      <c r="M152" s="555"/>
      <c r="N152" s="555"/>
    </row>
    <row r="153" spans="1:14" ht="18" customHeight="1" x14ac:dyDescent="0.3">
      <c r="A153" s="555"/>
      <c r="B153" s="555"/>
      <c r="C153" s="555"/>
      <c r="D153" s="555"/>
      <c r="E153" s="555"/>
      <c r="F153" s="555"/>
      <c r="G153" s="555"/>
      <c r="H153" s="555"/>
      <c r="I153" s="555"/>
      <c r="J153" s="555"/>
      <c r="K153" s="555"/>
      <c r="L153" s="555"/>
      <c r="M153" s="555"/>
      <c r="N153" s="555"/>
    </row>
    <row r="154" spans="1:14" ht="18" customHeight="1" x14ac:dyDescent="0.3">
      <c r="A154" s="555"/>
      <c r="B154" s="555"/>
      <c r="C154" s="555"/>
      <c r="D154" s="555"/>
      <c r="E154" s="555"/>
      <c r="F154" s="555"/>
      <c r="G154" s="555"/>
      <c r="H154" s="555"/>
      <c r="I154" s="555"/>
      <c r="J154" s="555"/>
      <c r="K154" s="555"/>
      <c r="L154" s="555"/>
      <c r="M154" s="555"/>
      <c r="N154" s="555"/>
    </row>
    <row r="155" spans="1:14" ht="18" customHeight="1" x14ac:dyDescent="0.3">
      <c r="A155" s="555"/>
      <c r="B155" s="555"/>
      <c r="C155" s="555"/>
      <c r="D155" s="555"/>
      <c r="E155" s="555"/>
      <c r="F155" s="555"/>
      <c r="G155" s="555"/>
      <c r="H155" s="555"/>
      <c r="I155" s="555"/>
      <c r="J155" s="555"/>
      <c r="K155" s="555"/>
      <c r="L155" s="555"/>
      <c r="M155" s="555"/>
      <c r="N155" s="555"/>
    </row>
    <row r="156" spans="1:14" ht="18" customHeight="1" x14ac:dyDescent="0.3">
      <c r="A156" s="555"/>
      <c r="B156" s="555"/>
      <c r="C156" s="555"/>
      <c r="D156" s="555"/>
      <c r="E156" s="555"/>
      <c r="F156" s="555"/>
      <c r="G156" s="555"/>
      <c r="H156" s="555"/>
      <c r="I156" s="555"/>
      <c r="J156" s="555"/>
      <c r="K156" s="555"/>
      <c r="L156" s="555"/>
      <c r="M156" s="555"/>
      <c r="N156" s="555"/>
    </row>
    <row r="157" spans="1:14" ht="18" customHeight="1" x14ac:dyDescent="0.3">
      <c r="A157" s="555"/>
      <c r="B157" s="555"/>
      <c r="C157" s="555"/>
      <c r="D157" s="555"/>
      <c r="E157" s="555"/>
      <c r="F157" s="555"/>
      <c r="G157" s="555"/>
      <c r="H157" s="555"/>
      <c r="I157" s="555"/>
      <c r="J157" s="555"/>
      <c r="K157" s="555"/>
      <c r="L157" s="555"/>
      <c r="M157" s="555"/>
      <c r="N157" s="555"/>
    </row>
    <row r="158" spans="1:14" ht="18" customHeight="1" x14ac:dyDescent="0.3">
      <c r="A158" s="555"/>
      <c r="B158" s="555"/>
      <c r="C158" s="555"/>
      <c r="D158" s="555"/>
      <c r="E158" s="555"/>
      <c r="F158" s="555"/>
      <c r="G158" s="555"/>
      <c r="H158" s="555"/>
      <c r="I158" s="555"/>
      <c r="J158" s="555"/>
      <c r="K158" s="555"/>
      <c r="L158" s="555"/>
      <c r="M158" s="555"/>
      <c r="N158" s="555"/>
    </row>
    <row r="159" spans="1:14" ht="18" customHeight="1" x14ac:dyDescent="0.3">
      <c r="A159" s="555"/>
      <c r="B159" s="555"/>
      <c r="C159" s="555"/>
      <c r="D159" s="555"/>
      <c r="E159" s="555"/>
      <c r="F159" s="555"/>
      <c r="G159" s="555"/>
      <c r="H159" s="555"/>
      <c r="I159" s="555"/>
      <c r="J159" s="555"/>
      <c r="K159" s="555"/>
      <c r="L159" s="555"/>
      <c r="M159" s="555"/>
      <c r="N159" s="555"/>
    </row>
    <row r="160" spans="1:14" ht="18" customHeight="1" x14ac:dyDescent="0.3">
      <c r="A160" s="555"/>
      <c r="B160" s="555"/>
      <c r="C160" s="555"/>
      <c r="D160" s="555"/>
      <c r="E160" s="555"/>
      <c r="F160" s="555"/>
      <c r="G160" s="555"/>
      <c r="H160" s="555"/>
      <c r="I160" s="555"/>
      <c r="J160" s="555"/>
      <c r="K160" s="555"/>
      <c r="L160" s="555"/>
      <c r="M160" s="555"/>
      <c r="N160" s="555"/>
    </row>
    <row r="161" spans="1:14" ht="18" customHeight="1" x14ac:dyDescent="0.3">
      <c r="A161" s="555"/>
      <c r="B161" s="555"/>
      <c r="C161" s="555"/>
      <c r="D161" s="555"/>
      <c r="E161" s="555"/>
      <c r="F161" s="555"/>
      <c r="G161" s="555"/>
      <c r="H161" s="555"/>
      <c r="I161" s="555"/>
      <c r="J161" s="555"/>
      <c r="K161" s="555"/>
      <c r="L161" s="555"/>
      <c r="M161" s="555"/>
      <c r="N161" s="555"/>
    </row>
    <row r="162" spans="1:14" ht="18" customHeight="1" x14ac:dyDescent="0.3">
      <c r="A162" s="555"/>
      <c r="B162" s="555"/>
      <c r="C162" s="555"/>
      <c r="D162" s="555"/>
      <c r="E162" s="555"/>
      <c r="F162" s="555"/>
      <c r="G162" s="555"/>
      <c r="H162" s="555"/>
      <c r="I162" s="555"/>
      <c r="J162" s="555"/>
      <c r="K162" s="555"/>
      <c r="L162" s="555"/>
      <c r="M162" s="555"/>
      <c r="N162" s="555"/>
    </row>
    <row r="163" spans="1:14" ht="18" customHeight="1" x14ac:dyDescent="0.3">
      <c r="A163" s="555"/>
      <c r="B163" s="555"/>
      <c r="C163" s="555"/>
      <c r="D163" s="555"/>
      <c r="E163" s="555"/>
      <c r="F163" s="555"/>
      <c r="G163" s="555"/>
      <c r="H163" s="555"/>
      <c r="I163" s="555"/>
      <c r="J163" s="555"/>
      <c r="K163" s="555"/>
      <c r="L163" s="555"/>
      <c r="M163" s="555"/>
      <c r="N163" s="555"/>
    </row>
    <row r="164" spans="1:14" ht="18" customHeight="1" x14ac:dyDescent="0.3">
      <c r="A164" s="555"/>
      <c r="B164" s="555"/>
      <c r="C164" s="555"/>
      <c r="D164" s="555"/>
      <c r="E164" s="555"/>
      <c r="F164" s="555"/>
      <c r="G164" s="555"/>
      <c r="H164" s="555"/>
      <c r="I164" s="555"/>
      <c r="J164" s="555"/>
      <c r="K164" s="555"/>
      <c r="L164" s="555"/>
      <c r="M164" s="555"/>
      <c r="N164" s="555"/>
    </row>
    <row r="165" spans="1:14" ht="18" customHeight="1" x14ac:dyDescent="0.3">
      <c r="A165" s="555"/>
      <c r="B165" s="555"/>
      <c r="C165" s="555"/>
      <c r="D165" s="555"/>
      <c r="E165" s="555"/>
      <c r="F165" s="555"/>
      <c r="G165" s="555"/>
      <c r="H165" s="555"/>
      <c r="I165" s="555"/>
      <c r="J165" s="555"/>
      <c r="K165" s="555"/>
      <c r="L165" s="555"/>
      <c r="M165" s="555"/>
      <c r="N165" s="555"/>
    </row>
    <row r="166" spans="1:14" ht="18" customHeight="1" x14ac:dyDescent="0.3">
      <c r="A166" s="555"/>
      <c r="B166" s="555"/>
      <c r="C166" s="555"/>
      <c r="D166" s="555"/>
      <c r="E166" s="555"/>
      <c r="F166" s="555"/>
      <c r="G166" s="555"/>
      <c r="H166" s="555"/>
      <c r="I166" s="555"/>
      <c r="J166" s="555"/>
      <c r="K166" s="555"/>
      <c r="L166" s="555"/>
      <c r="M166" s="555"/>
      <c r="N166" s="555"/>
    </row>
    <row r="167" spans="1:14" ht="18" customHeight="1" x14ac:dyDescent="0.3">
      <c r="A167" s="555"/>
      <c r="B167" s="555"/>
      <c r="C167" s="555"/>
      <c r="D167" s="555"/>
      <c r="E167" s="555"/>
      <c r="F167" s="555"/>
      <c r="G167" s="555"/>
      <c r="H167" s="555"/>
      <c r="I167" s="555"/>
      <c r="J167" s="555"/>
      <c r="K167" s="555"/>
      <c r="L167" s="555"/>
      <c r="M167" s="555"/>
      <c r="N167" s="555"/>
    </row>
    <row r="168" spans="1:14" ht="18" customHeight="1" x14ac:dyDescent="0.3">
      <c r="A168" s="555"/>
      <c r="B168" s="555"/>
      <c r="C168" s="555"/>
      <c r="D168" s="555"/>
      <c r="E168" s="555"/>
      <c r="F168" s="555"/>
      <c r="G168" s="555"/>
      <c r="H168" s="555"/>
      <c r="I168" s="555"/>
      <c r="J168" s="555"/>
      <c r="K168" s="555"/>
      <c r="L168" s="555"/>
      <c r="M168" s="555"/>
      <c r="N168" s="555"/>
    </row>
    <row r="169" spans="1:14" ht="18" customHeight="1" x14ac:dyDescent="0.3">
      <c r="A169" s="555"/>
      <c r="B169" s="555"/>
      <c r="C169" s="555"/>
      <c r="D169" s="555"/>
      <c r="E169" s="555"/>
      <c r="F169" s="555"/>
      <c r="G169" s="555"/>
      <c r="H169" s="555"/>
      <c r="I169" s="555"/>
      <c r="J169" s="555"/>
      <c r="K169" s="555"/>
      <c r="L169" s="555"/>
      <c r="M169" s="555"/>
      <c r="N169" s="555"/>
    </row>
    <row r="170" spans="1:14" ht="18" customHeight="1" x14ac:dyDescent="0.3">
      <c r="A170" s="555"/>
      <c r="B170" s="555"/>
      <c r="C170" s="555"/>
      <c r="D170" s="555"/>
      <c r="E170" s="555"/>
      <c r="F170" s="555"/>
      <c r="G170" s="555"/>
      <c r="H170" s="555"/>
      <c r="I170" s="555"/>
      <c r="J170" s="555"/>
      <c r="K170" s="555"/>
      <c r="L170" s="555"/>
      <c r="M170" s="555"/>
      <c r="N170" s="555"/>
    </row>
    <row r="171" spans="1:14" ht="18" customHeight="1" x14ac:dyDescent="0.3">
      <c r="A171" s="555"/>
      <c r="B171" s="555"/>
      <c r="C171" s="555"/>
      <c r="D171" s="555"/>
      <c r="E171" s="555"/>
      <c r="F171" s="555"/>
      <c r="G171" s="555"/>
      <c r="H171" s="555"/>
      <c r="I171" s="555"/>
      <c r="J171" s="555"/>
      <c r="K171" s="555"/>
      <c r="L171" s="555"/>
      <c r="M171" s="555"/>
      <c r="N171" s="555"/>
    </row>
    <row r="172" spans="1:14" ht="18" customHeight="1" x14ac:dyDescent="0.3">
      <c r="A172" s="555"/>
      <c r="B172" s="555"/>
      <c r="C172" s="555"/>
      <c r="D172" s="555"/>
      <c r="E172" s="555"/>
      <c r="F172" s="555"/>
      <c r="G172" s="555"/>
      <c r="H172" s="555"/>
      <c r="I172" s="555"/>
      <c r="J172" s="555"/>
      <c r="K172" s="555"/>
      <c r="L172" s="555"/>
      <c r="M172" s="555"/>
      <c r="N172" s="555"/>
    </row>
    <row r="173" spans="1:14" ht="18" customHeight="1" x14ac:dyDescent="0.3">
      <c r="A173" s="555"/>
      <c r="B173" s="555"/>
      <c r="C173" s="555"/>
      <c r="D173" s="555"/>
      <c r="E173" s="555"/>
      <c r="F173" s="555"/>
      <c r="G173" s="555"/>
      <c r="H173" s="555"/>
      <c r="I173" s="555"/>
      <c r="J173" s="555"/>
      <c r="K173" s="555"/>
      <c r="L173" s="555"/>
      <c r="M173" s="555"/>
      <c r="N173" s="555"/>
    </row>
    <row r="174" spans="1:14" ht="18" customHeight="1" x14ac:dyDescent="0.3">
      <c r="A174" s="555"/>
      <c r="B174" s="555"/>
      <c r="C174" s="555"/>
      <c r="D174" s="555"/>
      <c r="E174" s="555"/>
      <c r="F174" s="555"/>
      <c r="G174" s="555"/>
      <c r="H174" s="555"/>
      <c r="I174" s="555"/>
      <c r="J174" s="555"/>
      <c r="K174" s="555"/>
      <c r="L174" s="555"/>
      <c r="M174" s="555"/>
      <c r="N174" s="555"/>
    </row>
    <row r="175" spans="1:14" ht="18" customHeight="1" x14ac:dyDescent="0.3">
      <c r="A175" s="555"/>
      <c r="B175" s="555"/>
      <c r="C175" s="555"/>
      <c r="D175" s="555"/>
      <c r="E175" s="555"/>
      <c r="F175" s="555"/>
      <c r="G175" s="555"/>
      <c r="H175" s="555"/>
      <c r="I175" s="555"/>
      <c r="J175" s="555"/>
      <c r="K175" s="555"/>
      <c r="L175" s="555"/>
      <c r="M175" s="555"/>
      <c r="N175" s="555"/>
    </row>
    <row r="176" spans="1:14" ht="18" customHeight="1" x14ac:dyDescent="0.3">
      <c r="A176" s="555"/>
      <c r="B176" s="555"/>
      <c r="C176" s="555"/>
      <c r="D176" s="555"/>
      <c r="E176" s="555"/>
      <c r="F176" s="555"/>
      <c r="G176" s="555"/>
      <c r="H176" s="555"/>
      <c r="I176" s="555"/>
      <c r="J176" s="555"/>
      <c r="K176" s="555"/>
      <c r="L176" s="555"/>
      <c r="M176" s="555"/>
      <c r="N176" s="555"/>
    </row>
    <row r="177" spans="1:14" ht="18" customHeight="1" x14ac:dyDescent="0.3">
      <c r="A177" s="555"/>
      <c r="B177" s="555"/>
      <c r="C177" s="555"/>
      <c r="D177" s="555"/>
      <c r="E177" s="555"/>
      <c r="F177" s="555"/>
      <c r="G177" s="555"/>
      <c r="H177" s="555"/>
      <c r="I177" s="555"/>
      <c r="J177" s="555"/>
      <c r="K177" s="555"/>
      <c r="L177" s="555"/>
      <c r="M177" s="555"/>
      <c r="N177" s="555"/>
    </row>
    <row r="178" spans="1:14" ht="18" customHeight="1" x14ac:dyDescent="0.3">
      <c r="A178" s="555"/>
      <c r="B178" s="555"/>
      <c r="C178" s="555"/>
      <c r="D178" s="555"/>
      <c r="E178" s="555"/>
      <c r="F178" s="555"/>
      <c r="G178" s="555"/>
      <c r="H178" s="555"/>
      <c r="I178" s="555"/>
      <c r="J178" s="555"/>
      <c r="K178" s="555"/>
      <c r="L178" s="555"/>
      <c r="M178" s="555"/>
      <c r="N178" s="555"/>
    </row>
    <row r="179" spans="1:14" ht="18" customHeight="1" x14ac:dyDescent="0.3">
      <c r="A179" s="555"/>
      <c r="B179" s="555"/>
      <c r="C179" s="555"/>
      <c r="D179" s="555"/>
      <c r="E179" s="555"/>
      <c r="F179" s="555"/>
      <c r="G179" s="555"/>
      <c r="H179" s="555"/>
      <c r="I179" s="555"/>
      <c r="J179" s="555"/>
      <c r="K179" s="555"/>
      <c r="L179" s="555"/>
      <c r="M179" s="555"/>
      <c r="N179" s="555"/>
    </row>
    <row r="180" spans="1:14" ht="18" customHeight="1" x14ac:dyDescent="0.3">
      <c r="A180" s="555"/>
      <c r="B180" s="555"/>
      <c r="C180" s="555"/>
      <c r="D180" s="555"/>
      <c r="E180" s="555"/>
      <c r="F180" s="555"/>
      <c r="G180" s="555"/>
      <c r="H180" s="555"/>
      <c r="I180" s="555"/>
      <c r="J180" s="555"/>
      <c r="K180" s="555"/>
      <c r="L180" s="555"/>
      <c r="M180" s="555"/>
      <c r="N180" s="555"/>
    </row>
    <row r="181" spans="1:14" ht="18" customHeight="1" x14ac:dyDescent="0.3">
      <c r="A181" s="555"/>
      <c r="B181" s="555"/>
      <c r="C181" s="555"/>
      <c r="D181" s="555"/>
      <c r="E181" s="555"/>
      <c r="F181" s="555"/>
      <c r="G181" s="555"/>
      <c r="H181" s="555"/>
      <c r="I181" s="555"/>
      <c r="J181" s="555"/>
      <c r="K181" s="555"/>
      <c r="L181" s="555"/>
      <c r="M181" s="555"/>
      <c r="N181" s="555"/>
    </row>
    <row r="182" spans="1:14" ht="18" customHeight="1" x14ac:dyDescent="0.3">
      <c r="A182" s="555"/>
      <c r="B182" s="555"/>
      <c r="C182" s="555"/>
      <c r="D182" s="555"/>
      <c r="E182" s="555"/>
      <c r="F182" s="555"/>
      <c r="G182" s="555"/>
      <c r="H182" s="555"/>
      <c r="I182" s="555"/>
      <c r="J182" s="555"/>
      <c r="K182" s="555"/>
      <c r="L182" s="555"/>
      <c r="M182" s="555"/>
      <c r="N182" s="555"/>
    </row>
    <row r="183" spans="1:14" ht="18" customHeight="1" x14ac:dyDescent="0.3">
      <c r="A183" s="555"/>
      <c r="B183" s="555"/>
      <c r="C183" s="555"/>
      <c r="D183" s="555"/>
      <c r="E183" s="555"/>
      <c r="F183" s="555"/>
      <c r="G183" s="555"/>
      <c r="H183" s="555"/>
      <c r="I183" s="555"/>
      <c r="J183" s="555"/>
      <c r="K183" s="555"/>
      <c r="L183" s="555"/>
      <c r="M183" s="555"/>
      <c r="N183" s="555"/>
    </row>
    <row r="184" spans="1:14" ht="18" customHeight="1" x14ac:dyDescent="0.3">
      <c r="A184" s="555"/>
      <c r="B184" s="555"/>
      <c r="C184" s="555"/>
      <c r="D184" s="555"/>
      <c r="E184" s="555"/>
      <c r="F184" s="555"/>
      <c r="G184" s="555"/>
      <c r="H184" s="555"/>
      <c r="I184" s="555"/>
      <c r="J184" s="555"/>
      <c r="K184" s="555"/>
      <c r="L184" s="555"/>
      <c r="M184" s="555"/>
      <c r="N184" s="555"/>
    </row>
    <row r="185" spans="1:14" ht="18" customHeight="1" x14ac:dyDescent="0.3">
      <c r="A185" s="555"/>
      <c r="B185" s="555"/>
      <c r="C185" s="555"/>
      <c r="D185" s="555"/>
      <c r="E185" s="555"/>
      <c r="F185" s="555"/>
      <c r="G185" s="555"/>
      <c r="H185" s="555"/>
      <c r="I185" s="555"/>
      <c r="J185" s="555"/>
      <c r="K185" s="555"/>
      <c r="L185" s="555"/>
      <c r="M185" s="555"/>
      <c r="N185" s="555"/>
    </row>
    <row r="186" spans="1:14" ht="18" customHeight="1" x14ac:dyDescent="0.3">
      <c r="A186" s="555"/>
      <c r="B186" s="555"/>
      <c r="C186" s="555"/>
      <c r="D186" s="555"/>
      <c r="E186" s="555"/>
      <c r="F186" s="555"/>
      <c r="G186" s="555"/>
      <c r="H186" s="555"/>
      <c r="I186" s="555"/>
      <c r="J186" s="555"/>
      <c r="K186" s="555"/>
      <c r="L186" s="555"/>
      <c r="M186" s="555"/>
      <c r="N186" s="555"/>
    </row>
    <row r="187" spans="1:14" ht="18" customHeight="1" x14ac:dyDescent="0.3">
      <c r="A187" s="555"/>
      <c r="B187" s="555"/>
      <c r="C187" s="555"/>
      <c r="D187" s="555"/>
      <c r="E187" s="555"/>
      <c r="F187" s="555"/>
      <c r="G187" s="555"/>
      <c r="H187" s="555"/>
      <c r="I187" s="555"/>
      <c r="J187" s="555"/>
      <c r="K187" s="555"/>
      <c r="L187" s="555"/>
      <c r="M187" s="555"/>
      <c r="N187" s="555"/>
    </row>
    <row r="188" spans="1:14" ht="18" customHeight="1" x14ac:dyDescent="0.3">
      <c r="A188" s="555"/>
      <c r="B188" s="555"/>
      <c r="C188" s="555"/>
      <c r="D188" s="555"/>
      <c r="E188" s="555"/>
      <c r="F188" s="555"/>
      <c r="G188" s="555"/>
      <c r="H188" s="555"/>
      <c r="I188" s="555"/>
      <c r="J188" s="555"/>
      <c r="K188" s="555"/>
      <c r="L188" s="555"/>
      <c r="M188" s="555"/>
      <c r="N188" s="555"/>
    </row>
    <row r="189" spans="1:14" ht="18" customHeight="1" x14ac:dyDescent="0.3">
      <c r="A189" s="555"/>
      <c r="B189" s="555"/>
      <c r="C189" s="555"/>
      <c r="D189" s="555"/>
      <c r="E189" s="555"/>
      <c r="F189" s="555"/>
      <c r="G189" s="555"/>
      <c r="H189" s="555"/>
      <c r="I189" s="555"/>
      <c r="J189" s="555"/>
      <c r="K189" s="555"/>
      <c r="L189" s="555"/>
      <c r="M189" s="555"/>
      <c r="N189" s="555"/>
    </row>
    <row r="190" spans="1:14" ht="18" customHeight="1" x14ac:dyDescent="0.3">
      <c r="A190" s="555"/>
      <c r="B190" s="555"/>
      <c r="C190" s="555"/>
      <c r="D190" s="555"/>
      <c r="E190" s="555"/>
      <c r="F190" s="555"/>
      <c r="G190" s="555"/>
      <c r="H190" s="555"/>
      <c r="I190" s="555"/>
      <c r="J190" s="555"/>
      <c r="K190" s="555"/>
      <c r="L190" s="555"/>
      <c r="M190" s="555"/>
      <c r="N190" s="555"/>
    </row>
    <row r="191" spans="1:14" ht="18" customHeight="1" x14ac:dyDescent="0.3">
      <c r="A191" s="555"/>
      <c r="B191" s="555"/>
      <c r="C191" s="555"/>
      <c r="D191" s="555"/>
      <c r="E191" s="555"/>
      <c r="F191" s="555"/>
      <c r="G191" s="555"/>
      <c r="H191" s="555"/>
      <c r="I191" s="555"/>
      <c r="J191" s="555"/>
      <c r="K191" s="555"/>
      <c r="L191" s="555"/>
      <c r="M191" s="555"/>
      <c r="N191" s="555"/>
    </row>
    <row r="192" spans="1:14" ht="18" customHeight="1" x14ac:dyDescent="0.3">
      <c r="A192" s="555"/>
      <c r="B192" s="555"/>
      <c r="C192" s="555"/>
      <c r="D192" s="555"/>
      <c r="E192" s="555"/>
      <c r="F192" s="555"/>
      <c r="G192" s="555"/>
      <c r="H192" s="555"/>
      <c r="I192" s="555"/>
      <c r="J192" s="555"/>
      <c r="K192" s="555"/>
      <c r="L192" s="555"/>
      <c r="M192" s="555"/>
      <c r="N192" s="555"/>
    </row>
    <row r="193" spans="1:14" ht="18" customHeight="1" x14ac:dyDescent="0.3">
      <c r="A193" s="555"/>
      <c r="B193" s="555"/>
      <c r="C193" s="555"/>
      <c r="D193" s="555"/>
      <c r="E193" s="555"/>
      <c r="F193" s="555"/>
      <c r="G193" s="555"/>
      <c r="H193" s="555"/>
      <c r="I193" s="555"/>
      <c r="J193" s="555"/>
      <c r="K193" s="555"/>
      <c r="L193" s="555"/>
      <c r="M193" s="555"/>
      <c r="N193" s="555"/>
    </row>
    <row r="194" spans="1:14" ht="18" customHeight="1" x14ac:dyDescent="0.3">
      <c r="A194" s="555"/>
      <c r="B194" s="555"/>
      <c r="C194" s="555"/>
      <c r="D194" s="555"/>
      <c r="E194" s="555"/>
      <c r="F194" s="555"/>
      <c r="G194" s="555"/>
      <c r="H194" s="555"/>
      <c r="I194" s="555"/>
      <c r="J194" s="555"/>
      <c r="K194" s="555"/>
      <c r="L194" s="555"/>
      <c r="M194" s="555"/>
      <c r="N194" s="555"/>
    </row>
    <row r="195" spans="1:14" ht="18" customHeight="1" x14ac:dyDescent="0.3">
      <c r="A195" s="555"/>
      <c r="B195" s="555"/>
      <c r="C195" s="555"/>
      <c r="D195" s="555"/>
      <c r="E195" s="555"/>
      <c r="F195" s="555"/>
      <c r="G195" s="555"/>
      <c r="H195" s="555"/>
      <c r="I195" s="555"/>
      <c r="J195" s="555"/>
      <c r="K195" s="555"/>
      <c r="L195" s="555"/>
      <c r="M195" s="555"/>
      <c r="N195" s="555"/>
    </row>
    <row r="196" spans="1:14" ht="18" customHeight="1" x14ac:dyDescent="0.3">
      <c r="A196" s="555"/>
      <c r="B196" s="555"/>
      <c r="C196" s="555"/>
      <c r="D196" s="555"/>
      <c r="E196" s="555"/>
      <c r="F196" s="555"/>
      <c r="G196" s="555"/>
      <c r="H196" s="555"/>
      <c r="I196" s="555"/>
      <c r="J196" s="555"/>
      <c r="K196" s="555"/>
      <c r="L196" s="555"/>
      <c r="M196" s="555"/>
      <c r="N196" s="555"/>
    </row>
    <row r="197" spans="1:14" ht="18" customHeight="1" x14ac:dyDescent="0.3">
      <c r="A197" s="555"/>
      <c r="B197" s="555"/>
      <c r="C197" s="555"/>
      <c r="D197" s="555"/>
      <c r="E197" s="555"/>
      <c r="F197" s="555"/>
      <c r="G197" s="555"/>
      <c r="H197" s="555"/>
      <c r="I197" s="555"/>
      <c r="J197" s="555"/>
      <c r="K197" s="555"/>
      <c r="L197" s="555"/>
      <c r="M197" s="555"/>
      <c r="N197" s="555"/>
    </row>
    <row r="198" spans="1:14" ht="18" customHeight="1" x14ac:dyDescent="0.3">
      <c r="A198" s="555"/>
      <c r="B198" s="555"/>
      <c r="C198" s="555"/>
      <c r="D198" s="555"/>
      <c r="E198" s="555"/>
      <c r="F198" s="555"/>
      <c r="G198" s="555"/>
      <c r="H198" s="555"/>
      <c r="I198" s="555"/>
      <c r="J198" s="555"/>
      <c r="K198" s="555"/>
      <c r="L198" s="555"/>
      <c r="M198" s="555"/>
      <c r="N198" s="555"/>
    </row>
    <row r="199" spans="1:14" ht="18" customHeight="1" x14ac:dyDescent="0.3">
      <c r="A199" s="555"/>
      <c r="B199" s="555"/>
      <c r="C199" s="555"/>
      <c r="D199" s="555"/>
      <c r="E199" s="555"/>
      <c r="F199" s="555"/>
      <c r="G199" s="555"/>
      <c r="H199" s="555"/>
      <c r="I199" s="555"/>
      <c r="J199" s="555"/>
      <c r="K199" s="555"/>
      <c r="L199" s="555"/>
      <c r="M199" s="555"/>
      <c r="N199" s="555"/>
    </row>
    <row r="200" spans="1:14" ht="18" customHeight="1" x14ac:dyDescent="0.3">
      <c r="A200" s="555"/>
      <c r="B200" s="555"/>
      <c r="C200" s="555"/>
      <c r="D200" s="555"/>
      <c r="E200" s="555"/>
      <c r="F200" s="555"/>
      <c r="G200" s="555"/>
      <c r="H200" s="555"/>
      <c r="I200" s="555"/>
      <c r="J200" s="555"/>
      <c r="K200" s="555"/>
      <c r="L200" s="555"/>
      <c r="M200" s="555"/>
      <c r="N200" s="555"/>
    </row>
    <row r="201" spans="1:14" ht="18" customHeight="1" x14ac:dyDescent="0.3">
      <c r="A201" s="555"/>
      <c r="B201" s="555"/>
      <c r="C201" s="555"/>
      <c r="D201" s="555"/>
      <c r="E201" s="555"/>
      <c r="F201" s="555"/>
      <c r="G201" s="555"/>
      <c r="H201" s="555"/>
      <c r="I201" s="555"/>
      <c r="J201" s="555"/>
      <c r="K201" s="555"/>
      <c r="L201" s="555"/>
      <c r="M201" s="555"/>
      <c r="N201" s="555"/>
    </row>
    <row r="202" spans="1:14" ht="18" customHeight="1" x14ac:dyDescent="0.3">
      <c r="A202" s="555"/>
      <c r="B202" s="555"/>
      <c r="C202" s="555"/>
      <c r="D202" s="555"/>
      <c r="E202" s="555"/>
      <c r="F202" s="555"/>
      <c r="G202" s="555"/>
      <c r="H202" s="555"/>
      <c r="I202" s="555"/>
      <c r="J202" s="555"/>
      <c r="K202" s="555"/>
      <c r="L202" s="555"/>
      <c r="M202" s="555"/>
      <c r="N202" s="555"/>
    </row>
    <row r="203" spans="1:14" ht="18" customHeight="1" x14ac:dyDescent="0.3">
      <c r="A203" s="555"/>
      <c r="B203" s="555"/>
      <c r="C203" s="555"/>
      <c r="D203" s="555"/>
      <c r="E203" s="555"/>
      <c r="F203" s="555"/>
      <c r="G203" s="555"/>
      <c r="H203" s="555"/>
      <c r="I203" s="555"/>
      <c r="J203" s="555"/>
      <c r="K203" s="555"/>
      <c r="L203" s="555"/>
      <c r="M203" s="555"/>
      <c r="N203" s="555"/>
    </row>
    <row r="204" spans="1:14" ht="18" customHeight="1" x14ac:dyDescent="0.3">
      <c r="A204" s="555"/>
      <c r="B204" s="555"/>
      <c r="C204" s="555"/>
      <c r="D204" s="555"/>
      <c r="E204" s="555"/>
      <c r="F204" s="555"/>
      <c r="G204" s="555"/>
      <c r="H204" s="555"/>
      <c r="I204" s="555"/>
      <c r="J204" s="555"/>
      <c r="K204" s="555"/>
      <c r="L204" s="555"/>
      <c r="M204" s="555"/>
      <c r="N204" s="555"/>
    </row>
    <row r="205" spans="1:14" ht="18" customHeight="1" x14ac:dyDescent="0.3">
      <c r="A205" s="555"/>
      <c r="B205" s="555"/>
      <c r="C205" s="555"/>
      <c r="D205" s="555"/>
      <c r="E205" s="555"/>
      <c r="F205" s="555"/>
      <c r="G205" s="555"/>
      <c r="H205" s="555"/>
      <c r="I205" s="555"/>
      <c r="J205" s="555"/>
      <c r="K205" s="555"/>
      <c r="L205" s="555"/>
      <c r="M205" s="555"/>
      <c r="N205" s="555"/>
    </row>
    <row r="206" spans="1:14" ht="18" customHeight="1" x14ac:dyDescent="0.3">
      <c r="A206" s="555"/>
      <c r="B206" s="555"/>
      <c r="C206" s="555"/>
      <c r="D206" s="555"/>
      <c r="E206" s="555"/>
      <c r="F206" s="555"/>
      <c r="G206" s="555"/>
      <c r="H206" s="555"/>
      <c r="I206" s="555"/>
      <c r="J206" s="555"/>
      <c r="K206" s="555"/>
      <c r="L206" s="555"/>
      <c r="M206" s="555"/>
      <c r="N206" s="555"/>
    </row>
    <row r="207" spans="1:14" ht="18" customHeight="1" x14ac:dyDescent="0.3">
      <c r="A207" s="555"/>
      <c r="B207" s="555"/>
      <c r="C207" s="555"/>
      <c r="D207" s="555"/>
      <c r="E207" s="555"/>
      <c r="F207" s="555"/>
      <c r="G207" s="555"/>
      <c r="H207" s="555"/>
      <c r="I207" s="555"/>
      <c r="J207" s="555"/>
      <c r="K207" s="555"/>
      <c r="L207" s="555"/>
      <c r="M207" s="555"/>
      <c r="N207" s="555"/>
    </row>
    <row r="208" spans="1:14" ht="18" customHeight="1" x14ac:dyDescent="0.3">
      <c r="A208" s="555"/>
      <c r="B208" s="555"/>
      <c r="C208" s="555"/>
      <c r="D208" s="555"/>
      <c r="E208" s="555"/>
      <c r="F208" s="555"/>
      <c r="G208" s="555"/>
      <c r="H208" s="555"/>
      <c r="I208" s="555"/>
      <c r="J208" s="555"/>
      <c r="K208" s="555"/>
      <c r="L208" s="555"/>
      <c r="M208" s="555"/>
      <c r="N208" s="555"/>
    </row>
    <row r="209" spans="1:14" ht="18" customHeight="1" x14ac:dyDescent="0.3">
      <c r="A209" s="555"/>
      <c r="B209" s="555"/>
      <c r="C209" s="555"/>
      <c r="D209" s="555"/>
      <c r="E209" s="555"/>
      <c r="F209" s="555"/>
      <c r="G209" s="555"/>
      <c r="H209" s="555"/>
      <c r="I209" s="555"/>
      <c r="J209" s="555"/>
      <c r="K209" s="555"/>
      <c r="L209" s="555"/>
      <c r="M209" s="555"/>
      <c r="N209" s="555"/>
    </row>
    <row r="210" spans="1:14" ht="18" customHeight="1" x14ac:dyDescent="0.3">
      <c r="A210" s="555"/>
      <c r="B210" s="555"/>
      <c r="C210" s="555"/>
      <c r="D210" s="555"/>
      <c r="E210" s="555"/>
      <c r="F210" s="555"/>
      <c r="G210" s="555"/>
      <c r="H210" s="555"/>
      <c r="I210" s="555"/>
      <c r="J210" s="555"/>
      <c r="K210" s="555"/>
      <c r="L210" s="555"/>
      <c r="M210" s="555"/>
      <c r="N210" s="555"/>
    </row>
    <row r="211" spans="1:14" ht="18" customHeight="1" x14ac:dyDescent="0.3">
      <c r="A211" s="555"/>
      <c r="B211" s="555"/>
      <c r="C211" s="555"/>
      <c r="D211" s="555"/>
      <c r="E211" s="555"/>
      <c r="F211" s="555"/>
      <c r="G211" s="555"/>
      <c r="H211" s="555"/>
      <c r="I211" s="555"/>
      <c r="J211" s="555"/>
      <c r="K211" s="555"/>
      <c r="L211" s="555"/>
      <c r="M211" s="555"/>
      <c r="N211" s="555"/>
    </row>
    <row r="212" spans="1:14" ht="18" customHeight="1" x14ac:dyDescent="0.3">
      <c r="A212" s="555"/>
      <c r="B212" s="555"/>
      <c r="C212" s="555"/>
      <c r="D212" s="555"/>
      <c r="E212" s="555"/>
      <c r="F212" s="555"/>
      <c r="G212" s="555"/>
      <c r="H212" s="555"/>
      <c r="I212" s="555"/>
      <c r="J212" s="555"/>
      <c r="K212" s="555"/>
      <c r="L212" s="555"/>
      <c r="M212" s="555"/>
      <c r="N212" s="555"/>
    </row>
    <row r="213" spans="1:14" ht="18" customHeight="1" x14ac:dyDescent="0.3">
      <c r="A213" s="555"/>
      <c r="B213" s="555"/>
      <c r="C213" s="555"/>
      <c r="D213" s="555"/>
      <c r="E213" s="555"/>
      <c r="F213" s="555"/>
      <c r="G213" s="555"/>
      <c r="H213" s="555"/>
      <c r="I213" s="555"/>
      <c r="J213" s="555"/>
      <c r="K213" s="555"/>
      <c r="L213" s="555"/>
      <c r="M213" s="555"/>
      <c r="N213" s="555"/>
    </row>
    <row r="214" spans="1:14" ht="18" customHeight="1" x14ac:dyDescent="0.3">
      <c r="A214" s="555"/>
      <c r="B214" s="555"/>
      <c r="C214" s="555"/>
      <c r="D214" s="555"/>
      <c r="E214" s="555"/>
      <c r="F214" s="555"/>
      <c r="G214" s="555"/>
      <c r="H214" s="555"/>
      <c r="I214" s="555"/>
      <c r="J214" s="555"/>
      <c r="K214" s="555"/>
      <c r="L214" s="555"/>
      <c r="M214" s="555"/>
      <c r="N214" s="555"/>
    </row>
    <row r="215" spans="1:14" ht="18" customHeight="1" x14ac:dyDescent="0.3">
      <c r="A215" s="555"/>
      <c r="B215" s="555"/>
      <c r="C215" s="555"/>
      <c r="D215" s="555"/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</row>
    <row r="216" spans="1:14" ht="18" customHeight="1" x14ac:dyDescent="0.3">
      <c r="A216" s="555"/>
      <c r="B216" s="555"/>
      <c r="C216" s="555"/>
      <c r="D216" s="555"/>
      <c r="E216" s="555"/>
      <c r="F216" s="555"/>
      <c r="G216" s="555"/>
      <c r="H216" s="555"/>
      <c r="I216" s="555"/>
      <c r="J216" s="555"/>
      <c r="K216" s="555"/>
      <c r="L216" s="555"/>
      <c r="M216" s="555"/>
      <c r="N216" s="555"/>
    </row>
    <row r="217" spans="1:14" ht="18" customHeight="1" x14ac:dyDescent="0.3">
      <c r="A217" s="555"/>
      <c r="B217" s="555"/>
      <c r="C217" s="555"/>
      <c r="D217" s="555"/>
      <c r="E217" s="555"/>
      <c r="F217" s="555"/>
      <c r="G217" s="555"/>
      <c r="H217" s="555"/>
      <c r="I217" s="555"/>
      <c r="J217" s="555"/>
      <c r="K217" s="555"/>
      <c r="L217" s="555"/>
      <c r="M217" s="555"/>
      <c r="N217" s="555"/>
    </row>
    <row r="218" spans="1:14" ht="18" customHeight="1" x14ac:dyDescent="0.3">
      <c r="A218" s="555"/>
      <c r="B218" s="555"/>
      <c r="C218" s="555"/>
      <c r="D218" s="555"/>
      <c r="E218" s="555"/>
      <c r="F218" s="555"/>
      <c r="G218" s="555"/>
      <c r="H218" s="555"/>
      <c r="I218" s="555"/>
      <c r="J218" s="555"/>
      <c r="K218" s="555"/>
      <c r="L218" s="555"/>
      <c r="M218" s="555"/>
      <c r="N218" s="555"/>
    </row>
    <row r="219" spans="1:14" ht="18" customHeight="1" x14ac:dyDescent="0.3">
      <c r="A219" s="555"/>
      <c r="B219" s="555"/>
      <c r="C219" s="555"/>
      <c r="D219" s="555"/>
      <c r="E219" s="555"/>
      <c r="F219" s="555"/>
      <c r="G219" s="555"/>
      <c r="H219" s="555"/>
      <c r="I219" s="555"/>
      <c r="J219" s="555"/>
      <c r="K219" s="555"/>
      <c r="L219" s="555"/>
      <c r="M219" s="555"/>
      <c r="N219" s="555"/>
    </row>
    <row r="220" spans="1:14" ht="18" customHeight="1" x14ac:dyDescent="0.3">
      <c r="A220" s="555"/>
      <c r="B220" s="555"/>
      <c r="C220" s="555"/>
      <c r="D220" s="555"/>
      <c r="E220" s="555"/>
      <c r="F220" s="555"/>
      <c r="G220" s="555"/>
      <c r="H220" s="555"/>
      <c r="I220" s="555"/>
      <c r="J220" s="555"/>
      <c r="K220" s="555"/>
      <c r="L220" s="555"/>
      <c r="M220" s="555"/>
      <c r="N220" s="555"/>
    </row>
    <row r="221" spans="1:14" ht="18" customHeight="1" x14ac:dyDescent="0.3">
      <c r="A221" s="555"/>
      <c r="B221" s="555"/>
      <c r="C221" s="555"/>
      <c r="D221" s="555"/>
      <c r="E221" s="555"/>
      <c r="F221" s="555"/>
      <c r="G221" s="555"/>
      <c r="H221" s="555"/>
      <c r="I221" s="555"/>
      <c r="J221" s="555"/>
      <c r="K221" s="555"/>
      <c r="L221" s="555"/>
      <c r="M221" s="555"/>
      <c r="N221" s="555"/>
    </row>
    <row r="222" spans="1:14" ht="18" customHeight="1" x14ac:dyDescent="0.3">
      <c r="A222" s="555"/>
      <c r="B222" s="555"/>
      <c r="C222" s="555"/>
      <c r="D222" s="555"/>
      <c r="E222" s="555"/>
      <c r="F222" s="555"/>
      <c r="G222" s="555"/>
      <c r="H222" s="555"/>
      <c r="I222" s="555"/>
      <c r="J222" s="555"/>
      <c r="K222" s="555"/>
      <c r="L222" s="555"/>
      <c r="M222" s="555"/>
      <c r="N222" s="555"/>
    </row>
    <row r="223" spans="1:14" ht="18" customHeight="1" x14ac:dyDescent="0.3">
      <c r="A223" s="555"/>
      <c r="B223" s="555"/>
      <c r="C223" s="555"/>
      <c r="D223" s="555"/>
      <c r="E223" s="555"/>
      <c r="F223" s="555"/>
      <c r="G223" s="555"/>
      <c r="H223" s="555"/>
      <c r="I223" s="555"/>
      <c r="J223" s="555"/>
      <c r="K223" s="555"/>
      <c r="L223" s="555"/>
      <c r="M223" s="555"/>
      <c r="N223" s="555"/>
    </row>
    <row r="224" spans="1:14" ht="18" customHeight="1" x14ac:dyDescent="0.3">
      <c r="A224" s="555"/>
      <c r="B224" s="555"/>
      <c r="C224" s="555"/>
      <c r="D224" s="555"/>
      <c r="E224" s="555"/>
      <c r="F224" s="555"/>
      <c r="G224" s="555"/>
      <c r="H224" s="555"/>
      <c r="I224" s="555"/>
      <c r="J224" s="555"/>
      <c r="K224" s="555"/>
      <c r="L224" s="555"/>
      <c r="M224" s="555"/>
      <c r="N224" s="555"/>
    </row>
    <row r="225" spans="1:14" ht="18" customHeight="1" x14ac:dyDescent="0.3">
      <c r="A225" s="555"/>
      <c r="B225" s="555"/>
      <c r="C225" s="555"/>
      <c r="D225" s="555"/>
      <c r="E225" s="555"/>
      <c r="F225" s="555"/>
      <c r="G225" s="555"/>
      <c r="H225" s="555"/>
      <c r="I225" s="555"/>
      <c r="J225" s="555"/>
      <c r="K225" s="555"/>
      <c r="L225" s="555"/>
      <c r="M225" s="555"/>
      <c r="N225" s="555"/>
    </row>
    <row r="226" spans="1:14" ht="18" customHeight="1" x14ac:dyDescent="0.3">
      <c r="A226" s="555"/>
      <c r="B226" s="555"/>
      <c r="C226" s="555"/>
      <c r="D226" s="555"/>
      <c r="E226" s="555"/>
      <c r="F226" s="555"/>
      <c r="G226" s="555"/>
      <c r="H226" s="555"/>
      <c r="I226" s="555"/>
      <c r="J226" s="555"/>
      <c r="K226" s="555"/>
      <c r="L226" s="555"/>
      <c r="M226" s="555"/>
      <c r="N226" s="555"/>
    </row>
    <row r="227" spans="1:14" ht="18" customHeight="1" x14ac:dyDescent="0.3">
      <c r="A227" s="555"/>
      <c r="B227" s="555"/>
      <c r="C227" s="555"/>
      <c r="D227" s="555"/>
      <c r="E227" s="555"/>
      <c r="F227" s="555"/>
      <c r="G227" s="555"/>
      <c r="H227" s="555"/>
      <c r="I227" s="555"/>
      <c r="J227" s="555"/>
      <c r="K227" s="555"/>
      <c r="L227" s="555"/>
      <c r="M227" s="555"/>
      <c r="N227" s="555"/>
    </row>
    <row r="228" spans="1:14" ht="18" customHeight="1" x14ac:dyDescent="0.3">
      <c r="A228" s="555"/>
      <c r="B228" s="555"/>
      <c r="C228" s="555"/>
      <c r="D228" s="555"/>
      <c r="E228" s="555"/>
      <c r="F228" s="555"/>
      <c r="G228" s="555"/>
      <c r="H228" s="555"/>
      <c r="I228" s="555"/>
      <c r="J228" s="555"/>
      <c r="K228" s="555"/>
      <c r="L228" s="555"/>
      <c r="M228" s="555"/>
      <c r="N228" s="555"/>
    </row>
    <row r="229" spans="1:14" ht="18" customHeight="1" x14ac:dyDescent="0.3">
      <c r="A229" s="555"/>
      <c r="B229" s="555"/>
      <c r="C229" s="555"/>
      <c r="D229" s="555"/>
      <c r="E229" s="555"/>
      <c r="F229" s="555"/>
      <c r="G229" s="555"/>
      <c r="H229" s="555"/>
      <c r="I229" s="555"/>
      <c r="J229" s="555"/>
      <c r="K229" s="555"/>
      <c r="L229" s="555"/>
      <c r="M229" s="555"/>
      <c r="N229" s="555"/>
    </row>
    <row r="230" spans="1:14" ht="18" customHeight="1" x14ac:dyDescent="0.3">
      <c r="A230" s="555"/>
      <c r="B230" s="555"/>
      <c r="C230" s="555"/>
      <c r="D230" s="555"/>
      <c r="E230" s="555"/>
      <c r="F230" s="555"/>
      <c r="G230" s="555"/>
      <c r="H230" s="555"/>
      <c r="I230" s="555"/>
      <c r="J230" s="555"/>
      <c r="K230" s="555"/>
      <c r="L230" s="555"/>
      <c r="M230" s="555"/>
      <c r="N230" s="555"/>
    </row>
    <row r="231" spans="1:14" ht="18" customHeight="1" x14ac:dyDescent="0.3">
      <c r="A231" s="555"/>
      <c r="B231" s="555"/>
      <c r="C231" s="555"/>
      <c r="D231" s="555"/>
      <c r="E231" s="555"/>
      <c r="F231" s="555"/>
      <c r="G231" s="555"/>
      <c r="H231" s="555"/>
      <c r="I231" s="555"/>
      <c r="J231" s="555"/>
      <c r="K231" s="555"/>
      <c r="L231" s="555"/>
      <c r="M231" s="555"/>
      <c r="N231" s="555"/>
    </row>
    <row r="232" spans="1:14" ht="18" customHeight="1" x14ac:dyDescent="0.3">
      <c r="A232" s="555"/>
      <c r="B232" s="555"/>
      <c r="C232" s="555"/>
      <c r="D232" s="555"/>
      <c r="E232" s="555"/>
      <c r="F232" s="555"/>
      <c r="G232" s="555"/>
      <c r="H232" s="555"/>
      <c r="I232" s="555"/>
      <c r="J232" s="555"/>
      <c r="K232" s="555"/>
      <c r="L232" s="555"/>
      <c r="M232" s="555"/>
      <c r="N232" s="555"/>
    </row>
    <row r="233" spans="1:14" ht="18" customHeight="1" x14ac:dyDescent="0.3">
      <c r="A233" s="555"/>
      <c r="B233" s="555"/>
      <c r="C233" s="555"/>
      <c r="D233" s="555"/>
      <c r="E233" s="555"/>
      <c r="F233" s="555"/>
      <c r="G233" s="555"/>
      <c r="H233" s="555"/>
      <c r="I233" s="555"/>
      <c r="J233" s="555"/>
      <c r="K233" s="555"/>
      <c r="L233" s="555"/>
      <c r="M233" s="555"/>
      <c r="N233" s="555"/>
    </row>
    <row r="234" spans="1:14" ht="18" customHeight="1" x14ac:dyDescent="0.3">
      <c r="A234" s="555"/>
      <c r="B234" s="555"/>
      <c r="C234" s="555"/>
      <c r="D234" s="555"/>
      <c r="E234" s="555"/>
      <c r="F234" s="555"/>
      <c r="G234" s="555"/>
      <c r="H234" s="555"/>
      <c r="I234" s="555"/>
      <c r="J234" s="555"/>
      <c r="K234" s="555"/>
      <c r="L234" s="555"/>
      <c r="M234" s="555"/>
      <c r="N234" s="555"/>
    </row>
    <row r="235" spans="1:14" ht="18" customHeight="1" x14ac:dyDescent="0.3">
      <c r="A235" s="555"/>
      <c r="B235" s="555"/>
      <c r="C235" s="555"/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5"/>
    </row>
    <row r="236" spans="1:14" ht="18" customHeight="1" x14ac:dyDescent="0.3">
      <c r="A236" s="555"/>
      <c r="B236" s="555"/>
      <c r="C236" s="555"/>
      <c r="D236" s="555"/>
      <c r="E236" s="555"/>
      <c r="F236" s="555"/>
      <c r="G236" s="555"/>
      <c r="H236" s="555"/>
      <c r="I236" s="555"/>
      <c r="J236" s="555"/>
      <c r="K236" s="555"/>
      <c r="L236" s="555"/>
      <c r="M236" s="555"/>
      <c r="N236" s="555"/>
    </row>
    <row r="237" spans="1:14" ht="18" customHeight="1" x14ac:dyDescent="0.3">
      <c r="A237" s="555"/>
      <c r="B237" s="555"/>
      <c r="C237" s="555"/>
      <c r="D237" s="555"/>
      <c r="E237" s="555"/>
      <c r="F237" s="555"/>
      <c r="G237" s="555"/>
      <c r="H237" s="555"/>
      <c r="I237" s="555"/>
      <c r="J237" s="555"/>
      <c r="K237" s="555"/>
      <c r="L237" s="555"/>
      <c r="M237" s="555"/>
      <c r="N237" s="555"/>
    </row>
    <row r="238" spans="1:14" ht="18" customHeight="1" x14ac:dyDescent="0.3">
      <c r="A238" s="555"/>
      <c r="B238" s="555"/>
      <c r="C238" s="555"/>
      <c r="D238" s="555"/>
      <c r="E238" s="555"/>
      <c r="F238" s="555"/>
      <c r="G238" s="555"/>
      <c r="H238" s="555"/>
      <c r="I238" s="555"/>
      <c r="J238" s="555"/>
      <c r="K238" s="555"/>
      <c r="L238" s="555"/>
      <c r="M238" s="555"/>
      <c r="N238" s="555"/>
    </row>
    <row r="239" spans="1:14" ht="18" customHeight="1" x14ac:dyDescent="0.3">
      <c r="A239" s="555"/>
      <c r="B239" s="555"/>
      <c r="C239" s="555"/>
      <c r="D239" s="555"/>
      <c r="E239" s="555"/>
      <c r="F239" s="555"/>
      <c r="G239" s="555"/>
      <c r="H239" s="555"/>
      <c r="I239" s="555"/>
      <c r="J239" s="555"/>
      <c r="K239" s="555"/>
      <c r="L239" s="555"/>
      <c r="M239" s="555"/>
      <c r="N239" s="555"/>
    </row>
    <row r="240" spans="1:14" ht="18" customHeight="1" x14ac:dyDescent="0.3">
      <c r="A240" s="555"/>
      <c r="B240" s="555"/>
      <c r="C240" s="555"/>
      <c r="D240" s="555"/>
      <c r="E240" s="555"/>
      <c r="F240" s="555"/>
      <c r="G240" s="555"/>
      <c r="H240" s="555"/>
      <c r="I240" s="555"/>
      <c r="J240" s="555"/>
      <c r="K240" s="555"/>
      <c r="L240" s="555"/>
      <c r="M240" s="555"/>
      <c r="N240" s="555"/>
    </row>
    <row r="241" spans="1:14" ht="18" customHeight="1" x14ac:dyDescent="0.3">
      <c r="A241" s="555"/>
      <c r="B241" s="555"/>
      <c r="C241" s="555"/>
      <c r="D241" s="555"/>
      <c r="E241" s="555"/>
      <c r="F241" s="555"/>
      <c r="G241" s="555"/>
      <c r="H241" s="555"/>
      <c r="I241" s="555"/>
      <c r="J241" s="555"/>
      <c r="K241" s="555"/>
      <c r="L241" s="555"/>
      <c r="M241" s="555"/>
      <c r="N241" s="555"/>
    </row>
    <row r="242" spans="1:14" ht="18" customHeight="1" x14ac:dyDescent="0.3">
      <c r="A242" s="555"/>
      <c r="B242" s="555"/>
      <c r="C242" s="555"/>
      <c r="D242" s="555"/>
      <c r="E242" s="555"/>
      <c r="F242" s="555"/>
      <c r="G242" s="555"/>
      <c r="H242" s="555"/>
      <c r="I242" s="555"/>
      <c r="J242" s="555"/>
      <c r="K242" s="555"/>
      <c r="L242" s="555"/>
      <c r="M242" s="555"/>
      <c r="N242" s="555"/>
    </row>
    <row r="243" spans="1:14" ht="18" customHeight="1" x14ac:dyDescent="0.3">
      <c r="A243" s="555"/>
      <c r="B243" s="555"/>
      <c r="C243" s="555"/>
      <c r="D243" s="555"/>
      <c r="E243" s="555"/>
      <c r="F243" s="555"/>
      <c r="G243" s="555"/>
      <c r="H243" s="555"/>
      <c r="I243" s="555"/>
      <c r="J243" s="555"/>
      <c r="K243" s="555"/>
      <c r="L243" s="555"/>
      <c r="M243" s="555"/>
      <c r="N243" s="555"/>
    </row>
    <row r="244" spans="1:14" ht="18" customHeight="1" x14ac:dyDescent="0.3">
      <c r="A244" s="555"/>
      <c r="B244" s="555"/>
      <c r="C244" s="555"/>
      <c r="D244" s="555"/>
      <c r="E244" s="555"/>
      <c r="F244" s="555"/>
      <c r="G244" s="555"/>
      <c r="H244" s="555"/>
      <c r="I244" s="555"/>
      <c r="J244" s="555"/>
      <c r="K244" s="555"/>
      <c r="L244" s="555"/>
      <c r="M244" s="555"/>
      <c r="N244" s="555"/>
    </row>
    <row r="245" spans="1:14" ht="18" customHeight="1" x14ac:dyDescent="0.3">
      <c r="A245" s="555"/>
      <c r="B245" s="555"/>
      <c r="C245" s="555"/>
      <c r="D245" s="555"/>
      <c r="E245" s="555"/>
      <c r="F245" s="555"/>
      <c r="G245" s="555"/>
      <c r="H245" s="555"/>
      <c r="I245" s="555"/>
      <c r="J245" s="555"/>
      <c r="K245" s="555"/>
      <c r="L245" s="555"/>
      <c r="M245" s="555"/>
      <c r="N245" s="555"/>
    </row>
    <row r="246" spans="1:14" ht="18" customHeight="1" x14ac:dyDescent="0.3">
      <c r="A246" s="555"/>
      <c r="B246" s="555"/>
      <c r="C246" s="555"/>
      <c r="D246" s="555"/>
      <c r="E246" s="555"/>
      <c r="F246" s="555"/>
      <c r="G246" s="555"/>
      <c r="H246" s="555"/>
      <c r="I246" s="555"/>
      <c r="J246" s="555"/>
      <c r="K246" s="555"/>
      <c r="L246" s="555"/>
      <c r="M246" s="555"/>
      <c r="N246" s="555"/>
    </row>
    <row r="247" spans="1:14" ht="18" customHeight="1" x14ac:dyDescent="0.3">
      <c r="A247" s="555"/>
      <c r="B247" s="555"/>
      <c r="C247" s="555"/>
      <c r="D247" s="555"/>
      <c r="E247" s="555"/>
      <c r="F247" s="555"/>
      <c r="G247" s="555"/>
      <c r="H247" s="555"/>
      <c r="I247" s="555"/>
      <c r="J247" s="555"/>
      <c r="K247" s="555"/>
      <c r="L247" s="555"/>
      <c r="M247" s="555"/>
      <c r="N247" s="555"/>
    </row>
    <row r="248" spans="1:14" ht="18" customHeight="1" x14ac:dyDescent="0.3">
      <c r="A248" s="555"/>
      <c r="B248" s="555"/>
      <c r="C248" s="555"/>
      <c r="D248" s="555"/>
      <c r="E248" s="555"/>
      <c r="F248" s="555"/>
      <c r="G248" s="555"/>
      <c r="H248" s="555"/>
      <c r="I248" s="555"/>
      <c r="J248" s="555"/>
      <c r="K248" s="555"/>
      <c r="L248" s="555"/>
      <c r="M248" s="555"/>
      <c r="N248" s="555"/>
    </row>
    <row r="249" spans="1:14" ht="18" customHeight="1" x14ac:dyDescent="0.3">
      <c r="A249" s="555"/>
      <c r="B249" s="555"/>
      <c r="C249" s="555"/>
      <c r="D249" s="555"/>
      <c r="E249" s="555"/>
      <c r="F249" s="555"/>
      <c r="G249" s="555"/>
      <c r="H249" s="555"/>
      <c r="I249" s="555"/>
      <c r="J249" s="555"/>
      <c r="K249" s="555"/>
      <c r="L249" s="555"/>
      <c r="M249" s="555"/>
      <c r="N249" s="555"/>
    </row>
    <row r="250" spans="1:14" ht="18" customHeight="1" x14ac:dyDescent="0.3">
      <c r="A250" s="555"/>
      <c r="B250" s="555"/>
      <c r="C250" s="555"/>
      <c r="D250" s="555"/>
      <c r="E250" s="555"/>
      <c r="F250" s="555"/>
      <c r="G250" s="555"/>
      <c r="H250" s="555"/>
      <c r="I250" s="555"/>
      <c r="J250" s="555"/>
      <c r="K250" s="555"/>
      <c r="L250" s="555"/>
      <c r="M250" s="555"/>
      <c r="N250" s="555"/>
    </row>
    <row r="251" spans="1:14" ht="18" customHeight="1" x14ac:dyDescent="0.3">
      <c r="A251" s="555"/>
      <c r="B251" s="555"/>
      <c r="C251" s="555"/>
      <c r="D251" s="555"/>
      <c r="E251" s="555"/>
      <c r="F251" s="555"/>
      <c r="G251" s="555"/>
      <c r="H251" s="555"/>
      <c r="I251" s="555"/>
      <c r="J251" s="555"/>
      <c r="K251" s="555"/>
      <c r="L251" s="555"/>
      <c r="M251" s="555"/>
      <c r="N251" s="555"/>
    </row>
    <row r="252" spans="1:14" ht="18" customHeight="1" x14ac:dyDescent="0.3">
      <c r="A252" s="555"/>
      <c r="B252" s="555"/>
      <c r="C252" s="555"/>
      <c r="D252" s="555"/>
      <c r="E252" s="555"/>
      <c r="F252" s="555"/>
      <c r="G252" s="555"/>
      <c r="H252" s="555"/>
      <c r="I252" s="555"/>
      <c r="J252" s="555"/>
      <c r="K252" s="555"/>
      <c r="L252" s="555"/>
      <c r="M252" s="555"/>
      <c r="N252" s="555"/>
    </row>
    <row r="253" spans="1:14" ht="18" customHeight="1" x14ac:dyDescent="0.3">
      <c r="A253" s="555"/>
      <c r="B253" s="555"/>
      <c r="C253" s="555"/>
      <c r="D253" s="555"/>
      <c r="E253" s="555"/>
      <c r="F253" s="555"/>
      <c r="G253" s="555"/>
      <c r="H253" s="555"/>
      <c r="I253" s="555"/>
      <c r="J253" s="555"/>
      <c r="K253" s="555"/>
      <c r="L253" s="555"/>
      <c r="M253" s="555"/>
      <c r="N253" s="555"/>
    </row>
    <row r="254" spans="1:14" ht="18" customHeight="1" x14ac:dyDescent="0.3">
      <c r="A254" s="555"/>
      <c r="B254" s="555"/>
      <c r="C254" s="555"/>
      <c r="D254" s="555"/>
      <c r="E254" s="555"/>
      <c r="F254" s="555"/>
      <c r="G254" s="555"/>
      <c r="H254" s="555"/>
      <c r="I254" s="555"/>
      <c r="J254" s="555"/>
      <c r="K254" s="555"/>
      <c r="L254" s="555"/>
      <c r="M254" s="555"/>
      <c r="N254" s="555"/>
    </row>
    <row r="255" spans="1:14" ht="18" customHeight="1" x14ac:dyDescent="0.3">
      <c r="A255" s="555"/>
      <c r="B255" s="555"/>
      <c r="C255" s="555"/>
      <c r="D255" s="555"/>
      <c r="E255" s="555"/>
      <c r="F255" s="555"/>
      <c r="G255" s="555"/>
      <c r="H255" s="555"/>
      <c r="I255" s="555"/>
      <c r="J255" s="555"/>
      <c r="K255" s="555"/>
      <c r="L255" s="555"/>
      <c r="M255" s="555"/>
      <c r="N255" s="555"/>
    </row>
    <row r="256" spans="1:14" ht="18" customHeight="1" x14ac:dyDescent="0.3">
      <c r="A256" s="555"/>
      <c r="B256" s="555"/>
      <c r="C256" s="555"/>
      <c r="D256" s="555"/>
      <c r="E256" s="555"/>
      <c r="F256" s="555"/>
      <c r="G256" s="555"/>
      <c r="H256" s="555"/>
      <c r="I256" s="555"/>
      <c r="J256" s="555"/>
      <c r="K256" s="555"/>
      <c r="L256" s="555"/>
      <c r="M256" s="555"/>
      <c r="N256" s="555"/>
    </row>
    <row r="257" spans="1:14" ht="18" customHeight="1" x14ac:dyDescent="0.3">
      <c r="A257" s="555"/>
      <c r="B257" s="555"/>
      <c r="C257" s="555"/>
      <c r="D257" s="555"/>
      <c r="E257" s="555"/>
      <c r="F257" s="555"/>
      <c r="G257" s="555"/>
      <c r="H257" s="555"/>
      <c r="I257" s="555"/>
      <c r="J257" s="555"/>
      <c r="K257" s="555"/>
      <c r="L257" s="555"/>
      <c r="M257" s="555"/>
      <c r="N257" s="555"/>
    </row>
    <row r="258" spans="1:14" ht="18" customHeight="1" x14ac:dyDescent="0.3">
      <c r="A258" s="555"/>
      <c r="B258" s="555"/>
      <c r="C258" s="555"/>
      <c r="D258" s="555"/>
      <c r="E258" s="555"/>
      <c r="F258" s="555"/>
      <c r="G258" s="555"/>
      <c r="H258" s="555"/>
      <c r="I258" s="555"/>
      <c r="J258" s="555"/>
      <c r="K258" s="555"/>
      <c r="L258" s="555"/>
      <c r="M258" s="555"/>
      <c r="N258" s="555"/>
    </row>
    <row r="259" spans="1:14" ht="18" customHeight="1" x14ac:dyDescent="0.3">
      <c r="A259" s="555"/>
      <c r="B259" s="555"/>
      <c r="C259" s="555"/>
      <c r="D259" s="555"/>
      <c r="E259" s="555"/>
      <c r="F259" s="555"/>
      <c r="G259" s="555"/>
      <c r="H259" s="555"/>
      <c r="I259" s="555"/>
      <c r="J259" s="555"/>
      <c r="K259" s="555"/>
      <c r="L259" s="555"/>
      <c r="M259" s="555"/>
      <c r="N259" s="555"/>
    </row>
    <row r="260" spans="1:14" ht="18" customHeight="1" x14ac:dyDescent="0.3">
      <c r="A260" s="555"/>
      <c r="B260" s="555"/>
      <c r="C260" s="555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</row>
    <row r="261" spans="1:14" ht="18" customHeight="1" x14ac:dyDescent="0.3">
      <c r="A261" s="555"/>
      <c r="B261" s="555"/>
      <c r="C261" s="555"/>
      <c r="D261" s="555"/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</row>
    <row r="262" spans="1:14" ht="18" customHeight="1" x14ac:dyDescent="0.3">
      <c r="A262" s="555"/>
      <c r="B262" s="555"/>
      <c r="C262" s="555"/>
      <c r="D262" s="555"/>
      <c r="E262" s="555"/>
      <c r="F262" s="555"/>
      <c r="G262" s="555"/>
      <c r="H262" s="555"/>
      <c r="I262" s="555"/>
      <c r="J262" s="555"/>
      <c r="K262" s="555"/>
      <c r="L262" s="555"/>
      <c r="M262" s="555"/>
      <c r="N262" s="555"/>
    </row>
    <row r="263" spans="1:14" ht="18" customHeight="1" x14ac:dyDescent="0.3">
      <c r="A263" s="555"/>
      <c r="B263" s="555"/>
      <c r="C263" s="555"/>
      <c r="D263" s="555"/>
      <c r="E263" s="555"/>
      <c r="F263" s="555"/>
      <c r="G263" s="555"/>
      <c r="H263" s="555"/>
      <c r="I263" s="555"/>
      <c r="J263" s="555"/>
      <c r="K263" s="555"/>
      <c r="L263" s="555"/>
      <c r="M263" s="555"/>
      <c r="N263" s="555"/>
    </row>
    <row r="264" spans="1:14" ht="18" customHeight="1" x14ac:dyDescent="0.3">
      <c r="A264" s="555"/>
      <c r="B264" s="555"/>
      <c r="C264" s="555"/>
      <c r="D264" s="555"/>
      <c r="E264" s="555"/>
      <c r="F264" s="555"/>
      <c r="G264" s="555"/>
      <c r="H264" s="555"/>
      <c r="I264" s="555"/>
      <c r="J264" s="555"/>
      <c r="K264" s="555"/>
      <c r="L264" s="555"/>
      <c r="M264" s="555"/>
      <c r="N264" s="555"/>
    </row>
    <row r="265" spans="1:14" ht="18" customHeight="1" x14ac:dyDescent="0.3">
      <c r="A265" s="555"/>
      <c r="B265" s="555"/>
      <c r="C265" s="555"/>
      <c r="D265" s="555"/>
      <c r="E265" s="555"/>
      <c r="F265" s="555"/>
      <c r="G265" s="555"/>
      <c r="H265" s="555"/>
      <c r="I265" s="555"/>
      <c r="J265" s="555"/>
      <c r="K265" s="555"/>
      <c r="L265" s="555"/>
      <c r="M265" s="555"/>
      <c r="N265" s="555"/>
    </row>
    <row r="266" spans="1:14" ht="18" customHeight="1" x14ac:dyDescent="0.3">
      <c r="A266" s="555"/>
      <c r="B266" s="555"/>
      <c r="C266" s="555"/>
      <c r="D266" s="555"/>
      <c r="E266" s="555"/>
      <c r="F266" s="555"/>
      <c r="G266" s="555"/>
      <c r="H266" s="555"/>
      <c r="I266" s="555"/>
      <c r="J266" s="555"/>
      <c r="K266" s="555"/>
      <c r="L266" s="555"/>
      <c r="M266" s="555"/>
      <c r="N266" s="555"/>
    </row>
    <row r="267" spans="1:14" ht="18" customHeight="1" x14ac:dyDescent="0.3">
      <c r="A267" s="555"/>
      <c r="B267" s="555"/>
      <c r="C267" s="555"/>
      <c r="D267" s="555"/>
      <c r="E267" s="555"/>
      <c r="F267" s="555"/>
      <c r="G267" s="555"/>
      <c r="H267" s="555"/>
      <c r="I267" s="555"/>
      <c r="J267" s="555"/>
      <c r="K267" s="555"/>
      <c r="L267" s="555"/>
      <c r="M267" s="555"/>
      <c r="N267" s="555"/>
    </row>
    <row r="268" spans="1:14" ht="18" customHeight="1" x14ac:dyDescent="0.3">
      <c r="A268" s="555"/>
      <c r="B268" s="555"/>
      <c r="C268" s="555"/>
      <c r="D268" s="555"/>
      <c r="E268" s="555"/>
      <c r="F268" s="555"/>
      <c r="G268" s="555"/>
      <c r="H268" s="555"/>
      <c r="I268" s="555"/>
      <c r="J268" s="555"/>
      <c r="K268" s="555"/>
      <c r="L268" s="555"/>
      <c r="M268" s="555"/>
      <c r="N268" s="555"/>
    </row>
    <row r="269" spans="1:14" ht="18" customHeight="1" x14ac:dyDescent="0.3">
      <c r="A269" s="555"/>
      <c r="B269" s="555"/>
      <c r="C269" s="555"/>
      <c r="D269" s="555"/>
      <c r="E269" s="555"/>
      <c r="F269" s="555"/>
      <c r="G269" s="555"/>
      <c r="H269" s="555"/>
      <c r="I269" s="555"/>
      <c r="J269" s="555"/>
      <c r="K269" s="555"/>
      <c r="L269" s="555"/>
      <c r="M269" s="555"/>
      <c r="N269" s="555"/>
    </row>
    <row r="270" spans="1:14" ht="18" customHeight="1" x14ac:dyDescent="0.3">
      <c r="A270" s="555"/>
      <c r="B270" s="555"/>
      <c r="C270" s="555"/>
      <c r="D270" s="555"/>
      <c r="E270" s="555"/>
      <c r="F270" s="555"/>
      <c r="G270" s="555"/>
      <c r="H270" s="555"/>
      <c r="I270" s="555"/>
      <c r="J270" s="555"/>
      <c r="K270" s="555"/>
      <c r="L270" s="555"/>
      <c r="M270" s="555"/>
      <c r="N270" s="555"/>
    </row>
    <row r="271" spans="1:14" ht="18" customHeight="1" x14ac:dyDescent="0.3">
      <c r="A271" s="555"/>
      <c r="B271" s="555"/>
      <c r="C271" s="555"/>
      <c r="D271" s="555"/>
      <c r="E271" s="555"/>
      <c r="F271" s="555"/>
      <c r="G271" s="555"/>
      <c r="H271" s="555"/>
      <c r="I271" s="555"/>
      <c r="J271" s="555"/>
      <c r="K271" s="555"/>
      <c r="L271" s="555"/>
      <c r="M271" s="555"/>
      <c r="N271" s="555"/>
    </row>
    <row r="272" spans="1:14" ht="18" customHeight="1" x14ac:dyDescent="0.3">
      <c r="A272" s="555"/>
      <c r="B272" s="555"/>
      <c r="C272" s="555"/>
      <c r="D272" s="555"/>
      <c r="E272" s="555"/>
      <c r="F272" s="555"/>
      <c r="G272" s="555"/>
      <c r="H272" s="555"/>
      <c r="I272" s="555"/>
      <c r="J272" s="555"/>
      <c r="K272" s="555"/>
      <c r="L272" s="555"/>
      <c r="M272" s="555"/>
      <c r="N272" s="555"/>
    </row>
    <row r="273" spans="1:14" ht="18" customHeight="1" x14ac:dyDescent="0.3">
      <c r="A273" s="555"/>
      <c r="B273" s="555"/>
      <c r="C273" s="555"/>
      <c r="D273" s="555"/>
      <c r="E273" s="555"/>
      <c r="F273" s="555"/>
      <c r="G273" s="555"/>
      <c r="H273" s="555"/>
      <c r="I273" s="555"/>
      <c r="J273" s="555"/>
      <c r="K273" s="555"/>
      <c r="L273" s="555"/>
      <c r="M273" s="555"/>
      <c r="N273" s="555"/>
    </row>
    <row r="274" spans="1:14" ht="18" customHeight="1" x14ac:dyDescent="0.3">
      <c r="A274" s="555"/>
      <c r="B274" s="555"/>
      <c r="C274" s="555"/>
      <c r="D274" s="555"/>
      <c r="E274" s="555"/>
      <c r="F274" s="555"/>
      <c r="G274" s="555"/>
      <c r="H274" s="555"/>
      <c r="I274" s="555"/>
      <c r="J274" s="555"/>
      <c r="K274" s="555"/>
      <c r="L274" s="555"/>
      <c r="M274" s="555"/>
      <c r="N274" s="555"/>
    </row>
    <row r="275" spans="1:14" ht="18" customHeight="1" x14ac:dyDescent="0.3">
      <c r="A275" s="555"/>
      <c r="B275" s="555"/>
      <c r="C275" s="555"/>
      <c r="D275" s="555"/>
      <c r="E275" s="555"/>
      <c r="F275" s="555"/>
      <c r="G275" s="555"/>
      <c r="H275" s="555"/>
      <c r="I275" s="555"/>
      <c r="J275" s="555"/>
      <c r="K275" s="555"/>
      <c r="L275" s="555"/>
      <c r="M275" s="555"/>
      <c r="N275" s="555"/>
    </row>
    <row r="276" spans="1:14" ht="18" customHeight="1" x14ac:dyDescent="0.3">
      <c r="A276" s="555"/>
      <c r="B276" s="555"/>
      <c r="C276" s="555"/>
      <c r="D276" s="555"/>
      <c r="E276" s="555"/>
      <c r="F276" s="555"/>
      <c r="G276" s="555"/>
      <c r="H276" s="555"/>
      <c r="I276" s="555"/>
      <c r="J276" s="555"/>
      <c r="K276" s="555"/>
      <c r="L276" s="555"/>
      <c r="M276" s="555"/>
      <c r="N276" s="555"/>
    </row>
    <row r="277" spans="1:14" ht="18" customHeight="1" x14ac:dyDescent="0.3">
      <c r="A277" s="555"/>
      <c r="B277" s="555"/>
      <c r="C277" s="555"/>
      <c r="D277" s="555"/>
      <c r="E277" s="555"/>
      <c r="F277" s="555"/>
      <c r="G277" s="555"/>
      <c r="H277" s="555"/>
      <c r="I277" s="555"/>
      <c r="J277" s="555"/>
      <c r="K277" s="555"/>
      <c r="L277" s="555"/>
      <c r="M277" s="555"/>
      <c r="N277" s="555"/>
    </row>
    <row r="278" spans="1:14" ht="18" customHeight="1" x14ac:dyDescent="0.3">
      <c r="A278" s="555"/>
      <c r="B278" s="555"/>
      <c r="C278" s="555"/>
      <c r="D278" s="555"/>
      <c r="E278" s="555"/>
      <c r="F278" s="555"/>
      <c r="G278" s="555"/>
      <c r="H278" s="555"/>
      <c r="I278" s="555"/>
      <c r="J278" s="555"/>
      <c r="K278" s="555"/>
      <c r="L278" s="555"/>
      <c r="M278" s="555"/>
      <c r="N278" s="555"/>
    </row>
    <row r="279" spans="1:14" ht="18" customHeight="1" x14ac:dyDescent="0.3">
      <c r="A279" s="555"/>
      <c r="B279" s="555"/>
      <c r="C279" s="555"/>
      <c r="D279" s="555"/>
      <c r="E279" s="555"/>
      <c r="F279" s="555"/>
      <c r="G279" s="555"/>
      <c r="H279" s="555"/>
      <c r="I279" s="555"/>
      <c r="J279" s="555"/>
      <c r="K279" s="555"/>
      <c r="L279" s="555"/>
      <c r="M279" s="555"/>
      <c r="N279" s="555"/>
    </row>
    <row r="280" spans="1:14" ht="18" customHeight="1" x14ac:dyDescent="0.3">
      <c r="A280" s="555"/>
      <c r="B280" s="555"/>
      <c r="C280" s="555"/>
      <c r="D280" s="555"/>
      <c r="E280" s="555"/>
      <c r="F280" s="555"/>
      <c r="G280" s="555"/>
      <c r="H280" s="555"/>
      <c r="I280" s="555"/>
      <c r="J280" s="555"/>
      <c r="K280" s="555"/>
      <c r="L280" s="555"/>
      <c r="M280" s="555"/>
      <c r="N280" s="555"/>
    </row>
    <row r="281" spans="1:14" ht="18" customHeight="1" x14ac:dyDescent="0.3">
      <c r="A281" s="555"/>
      <c r="B281" s="555"/>
      <c r="C281" s="555"/>
      <c r="D281" s="555"/>
      <c r="E281" s="555"/>
      <c r="F281" s="555"/>
      <c r="G281" s="555"/>
      <c r="H281" s="555"/>
      <c r="I281" s="555"/>
      <c r="J281" s="555"/>
      <c r="K281" s="555"/>
      <c r="L281" s="555"/>
      <c r="M281" s="555"/>
      <c r="N281" s="555"/>
    </row>
    <row r="282" spans="1:14" ht="18" customHeight="1" x14ac:dyDescent="0.3">
      <c r="A282" s="555"/>
      <c r="B282" s="555"/>
      <c r="C282" s="555"/>
      <c r="D282" s="555"/>
      <c r="E282" s="555"/>
      <c r="F282" s="555"/>
      <c r="G282" s="555"/>
      <c r="H282" s="555"/>
      <c r="I282" s="555"/>
      <c r="J282" s="555"/>
      <c r="K282" s="555"/>
      <c r="L282" s="555"/>
      <c r="M282" s="555"/>
      <c r="N282" s="555"/>
    </row>
    <row r="283" spans="1:14" ht="18" customHeight="1" x14ac:dyDescent="0.3">
      <c r="A283" s="555"/>
      <c r="B283" s="555"/>
      <c r="C283" s="555"/>
      <c r="D283" s="555"/>
      <c r="E283" s="555"/>
      <c r="F283" s="555"/>
      <c r="G283" s="555"/>
      <c r="H283" s="555"/>
      <c r="I283" s="555"/>
      <c r="J283" s="555"/>
      <c r="K283" s="555"/>
      <c r="L283" s="555"/>
      <c r="M283" s="555"/>
      <c r="N283" s="555"/>
    </row>
    <row r="284" spans="1:14" ht="18" customHeight="1" x14ac:dyDescent="0.3">
      <c r="A284" s="555"/>
      <c r="B284" s="555"/>
      <c r="C284" s="555"/>
      <c r="D284" s="555"/>
      <c r="E284" s="555"/>
      <c r="F284" s="555"/>
      <c r="G284" s="555"/>
      <c r="H284" s="555"/>
      <c r="I284" s="555"/>
      <c r="J284" s="555"/>
      <c r="K284" s="555"/>
      <c r="L284" s="555"/>
      <c r="M284" s="555"/>
      <c r="N284" s="555"/>
    </row>
    <row r="285" spans="1:14" ht="18" customHeight="1" x14ac:dyDescent="0.3">
      <c r="A285" s="555"/>
      <c r="B285" s="555"/>
      <c r="C285" s="555"/>
      <c r="D285" s="555"/>
      <c r="E285" s="555"/>
      <c r="F285" s="555"/>
      <c r="G285" s="555"/>
      <c r="H285" s="555"/>
      <c r="I285" s="555"/>
      <c r="J285" s="555"/>
      <c r="K285" s="555"/>
      <c r="L285" s="555"/>
      <c r="M285" s="555"/>
      <c r="N285" s="555"/>
    </row>
    <row r="286" spans="1:14" ht="18" customHeight="1" x14ac:dyDescent="0.3">
      <c r="A286" s="555"/>
      <c r="B286" s="555"/>
      <c r="C286" s="555"/>
      <c r="D286" s="555"/>
      <c r="E286" s="555"/>
      <c r="F286" s="555"/>
      <c r="G286" s="555"/>
      <c r="H286" s="555"/>
      <c r="I286" s="555"/>
      <c r="J286" s="555"/>
      <c r="K286" s="555"/>
      <c r="L286" s="555"/>
      <c r="M286" s="555"/>
      <c r="N286" s="555"/>
    </row>
    <row r="287" spans="1:14" ht="18" customHeight="1" x14ac:dyDescent="0.3">
      <c r="A287" s="555"/>
      <c r="B287" s="555"/>
      <c r="C287" s="555"/>
      <c r="D287" s="555"/>
      <c r="E287" s="555"/>
      <c r="F287" s="555"/>
      <c r="G287" s="555"/>
      <c r="H287" s="555"/>
      <c r="I287" s="555"/>
      <c r="J287" s="555"/>
      <c r="K287" s="555"/>
      <c r="L287" s="555"/>
      <c r="M287" s="555"/>
      <c r="N287" s="555"/>
    </row>
    <row r="288" spans="1:14" ht="18" customHeight="1" x14ac:dyDescent="0.3">
      <c r="A288" s="555"/>
      <c r="B288" s="555"/>
      <c r="C288" s="555"/>
      <c r="D288" s="555"/>
      <c r="E288" s="555"/>
      <c r="F288" s="555"/>
      <c r="G288" s="555"/>
      <c r="H288" s="555"/>
      <c r="I288" s="555"/>
      <c r="J288" s="555"/>
      <c r="K288" s="555"/>
      <c r="L288" s="555"/>
      <c r="M288" s="555"/>
      <c r="N288" s="555"/>
    </row>
    <row r="289" spans="1:14" ht="18" customHeight="1" x14ac:dyDescent="0.3">
      <c r="A289" s="555"/>
      <c r="B289" s="555"/>
      <c r="C289" s="555"/>
      <c r="D289" s="555"/>
      <c r="E289" s="555"/>
      <c r="F289" s="555"/>
      <c r="G289" s="555"/>
      <c r="H289" s="555"/>
      <c r="I289" s="555"/>
      <c r="J289" s="555"/>
      <c r="K289" s="555"/>
      <c r="L289" s="555"/>
      <c r="M289" s="555"/>
      <c r="N289" s="555"/>
    </row>
    <row r="290" spans="1:14" ht="18" customHeight="1" x14ac:dyDescent="0.3">
      <c r="A290" s="555"/>
      <c r="B290" s="555"/>
      <c r="C290" s="555"/>
      <c r="D290" s="555"/>
      <c r="E290" s="555"/>
      <c r="F290" s="555"/>
      <c r="G290" s="555"/>
      <c r="H290" s="555"/>
      <c r="I290" s="555"/>
      <c r="J290" s="555"/>
      <c r="K290" s="555"/>
      <c r="L290" s="555"/>
      <c r="M290" s="555"/>
      <c r="N290" s="555"/>
    </row>
    <row r="291" spans="1:14" ht="18" customHeight="1" x14ac:dyDescent="0.3">
      <c r="A291" s="555"/>
      <c r="B291" s="555"/>
      <c r="C291" s="555"/>
      <c r="D291" s="555"/>
      <c r="E291" s="555"/>
      <c r="F291" s="555"/>
      <c r="G291" s="555"/>
      <c r="H291" s="555"/>
      <c r="I291" s="555"/>
      <c r="J291" s="555"/>
      <c r="K291" s="555"/>
      <c r="L291" s="555"/>
      <c r="M291" s="555"/>
      <c r="N291" s="555"/>
    </row>
    <row r="292" spans="1:14" ht="18" customHeight="1" x14ac:dyDescent="0.3">
      <c r="A292" s="555"/>
      <c r="B292" s="555"/>
      <c r="C292" s="555"/>
      <c r="D292" s="555"/>
      <c r="E292" s="555"/>
      <c r="F292" s="555"/>
      <c r="G292" s="555"/>
      <c r="H292" s="555"/>
      <c r="I292" s="555"/>
      <c r="J292" s="555"/>
      <c r="K292" s="555"/>
      <c r="L292" s="555"/>
      <c r="M292" s="555"/>
      <c r="N292" s="555"/>
    </row>
    <row r="293" spans="1:14" ht="18" customHeight="1" x14ac:dyDescent="0.3">
      <c r="A293" s="555"/>
      <c r="B293" s="555"/>
      <c r="C293" s="555"/>
      <c r="D293" s="555"/>
      <c r="E293" s="555"/>
      <c r="F293" s="555"/>
      <c r="G293" s="555"/>
      <c r="H293" s="555"/>
      <c r="I293" s="555"/>
      <c r="J293" s="555"/>
      <c r="K293" s="555"/>
      <c r="L293" s="555"/>
      <c r="M293" s="555"/>
      <c r="N293" s="555"/>
    </row>
    <row r="294" spans="1:14" ht="18" customHeight="1" x14ac:dyDescent="0.3">
      <c r="A294" s="555"/>
      <c r="B294" s="555"/>
      <c r="C294" s="555"/>
      <c r="D294" s="555"/>
      <c r="E294" s="555"/>
      <c r="F294" s="555"/>
      <c r="G294" s="555"/>
      <c r="H294" s="555"/>
      <c r="I294" s="555"/>
      <c r="J294" s="555"/>
      <c r="K294" s="555"/>
      <c r="L294" s="555"/>
      <c r="M294" s="555"/>
      <c r="N294" s="555"/>
    </row>
    <row r="295" spans="1:14" ht="18" customHeight="1" x14ac:dyDescent="0.3">
      <c r="A295" s="555"/>
      <c r="B295" s="555"/>
      <c r="C295" s="555"/>
      <c r="D295" s="555"/>
      <c r="E295" s="555"/>
      <c r="F295" s="555"/>
      <c r="G295" s="555"/>
      <c r="H295" s="555"/>
      <c r="I295" s="555"/>
      <c r="J295" s="555"/>
      <c r="K295" s="555"/>
      <c r="L295" s="555"/>
      <c r="M295" s="555"/>
      <c r="N295" s="555"/>
    </row>
    <row r="296" spans="1:14" ht="18" customHeight="1" x14ac:dyDescent="0.3">
      <c r="A296" s="555"/>
      <c r="B296" s="555"/>
      <c r="C296" s="555"/>
      <c r="D296" s="555"/>
      <c r="E296" s="555"/>
      <c r="F296" s="555"/>
      <c r="G296" s="555"/>
      <c r="H296" s="555"/>
      <c r="I296" s="555"/>
      <c r="J296" s="555"/>
      <c r="K296" s="555"/>
      <c r="L296" s="555"/>
      <c r="M296" s="555"/>
      <c r="N296" s="555"/>
    </row>
    <row r="297" spans="1:14" ht="18" customHeight="1" x14ac:dyDescent="0.3">
      <c r="A297" s="555"/>
      <c r="B297" s="555"/>
      <c r="C297" s="555"/>
      <c r="D297" s="555"/>
      <c r="E297" s="555"/>
      <c r="F297" s="555"/>
      <c r="G297" s="555"/>
      <c r="H297" s="555"/>
      <c r="I297" s="555"/>
      <c r="J297" s="555"/>
      <c r="K297" s="555"/>
      <c r="L297" s="555"/>
      <c r="M297" s="555"/>
      <c r="N297" s="555"/>
    </row>
    <row r="298" spans="1:14" ht="18" customHeight="1" x14ac:dyDescent="0.3">
      <c r="A298" s="555"/>
      <c r="B298" s="555"/>
      <c r="C298" s="555"/>
      <c r="D298" s="555"/>
      <c r="E298" s="555"/>
      <c r="F298" s="555"/>
      <c r="G298" s="555"/>
      <c r="H298" s="555"/>
      <c r="I298" s="555"/>
      <c r="J298" s="555"/>
      <c r="K298" s="555"/>
      <c r="L298" s="555"/>
      <c r="M298" s="555"/>
      <c r="N298" s="555"/>
    </row>
    <row r="299" spans="1:14" ht="18" customHeight="1" x14ac:dyDescent="0.3">
      <c r="A299" s="555"/>
      <c r="B299" s="555"/>
      <c r="C299" s="555"/>
      <c r="D299" s="555"/>
      <c r="E299" s="555"/>
      <c r="F299" s="555"/>
      <c r="G299" s="555"/>
      <c r="H299" s="555"/>
      <c r="I299" s="555"/>
      <c r="J299" s="555"/>
      <c r="K299" s="555"/>
      <c r="L299" s="555"/>
      <c r="M299" s="555"/>
      <c r="N299" s="555"/>
    </row>
    <row r="300" spans="1:14" ht="18" customHeight="1" x14ac:dyDescent="0.3">
      <c r="A300" s="555"/>
      <c r="B300" s="555"/>
      <c r="C300" s="555"/>
      <c r="D300" s="555"/>
      <c r="E300" s="555"/>
      <c r="F300" s="555"/>
      <c r="G300" s="555"/>
      <c r="H300" s="555"/>
      <c r="I300" s="555"/>
      <c r="J300" s="555"/>
      <c r="K300" s="555"/>
      <c r="L300" s="555"/>
      <c r="M300" s="555"/>
      <c r="N300" s="555"/>
    </row>
    <row r="301" spans="1:14" ht="18" customHeight="1" x14ac:dyDescent="0.3">
      <c r="A301" s="555"/>
      <c r="B301" s="555"/>
      <c r="C301" s="555"/>
      <c r="D301" s="555"/>
      <c r="E301" s="555"/>
      <c r="F301" s="555"/>
      <c r="G301" s="555"/>
      <c r="H301" s="555"/>
      <c r="I301" s="555"/>
      <c r="J301" s="555"/>
      <c r="K301" s="555"/>
      <c r="L301" s="555"/>
      <c r="M301" s="555"/>
      <c r="N301" s="555"/>
    </row>
    <row r="302" spans="1:14" ht="18" customHeight="1" x14ac:dyDescent="0.3">
      <c r="A302" s="555"/>
      <c r="B302" s="555"/>
      <c r="C302" s="555"/>
      <c r="D302" s="555"/>
      <c r="E302" s="555"/>
      <c r="F302" s="555"/>
      <c r="G302" s="555"/>
      <c r="H302" s="555"/>
      <c r="I302" s="555"/>
      <c r="J302" s="555"/>
      <c r="K302" s="555"/>
      <c r="L302" s="555"/>
      <c r="M302" s="555"/>
      <c r="N302" s="555"/>
    </row>
    <row r="303" spans="1:14" ht="18" customHeight="1" x14ac:dyDescent="0.3">
      <c r="A303" s="555"/>
      <c r="B303" s="555"/>
      <c r="C303" s="555"/>
      <c r="D303" s="555"/>
      <c r="E303" s="555"/>
      <c r="F303" s="555"/>
      <c r="G303" s="555"/>
      <c r="H303" s="555"/>
      <c r="I303" s="555"/>
      <c r="J303" s="555"/>
      <c r="K303" s="555"/>
      <c r="L303" s="555"/>
      <c r="M303" s="555"/>
      <c r="N303" s="555"/>
    </row>
    <row r="304" spans="1:14" ht="18" customHeight="1" x14ac:dyDescent="0.3">
      <c r="A304" s="555"/>
      <c r="B304" s="555"/>
      <c r="C304" s="555"/>
      <c r="D304" s="555"/>
      <c r="E304" s="555"/>
      <c r="F304" s="555"/>
      <c r="G304" s="555"/>
      <c r="H304" s="555"/>
      <c r="I304" s="555"/>
      <c r="J304" s="555"/>
      <c r="K304" s="555"/>
      <c r="L304" s="555"/>
      <c r="M304" s="555"/>
      <c r="N304" s="555"/>
    </row>
    <row r="305" spans="1:14" ht="18" customHeight="1" x14ac:dyDescent="0.3">
      <c r="A305" s="555"/>
      <c r="B305" s="555"/>
      <c r="C305" s="555"/>
      <c r="D305" s="555"/>
      <c r="E305" s="555"/>
      <c r="F305" s="555"/>
      <c r="G305" s="555"/>
      <c r="H305" s="555"/>
      <c r="I305" s="555"/>
      <c r="J305" s="555"/>
      <c r="K305" s="555"/>
      <c r="L305" s="555"/>
      <c r="M305" s="555"/>
      <c r="N305" s="555"/>
    </row>
    <row r="306" spans="1:14" ht="18" customHeight="1" x14ac:dyDescent="0.3">
      <c r="A306" s="555"/>
      <c r="B306" s="555"/>
      <c r="C306" s="555"/>
      <c r="D306" s="555"/>
      <c r="E306" s="555"/>
      <c r="F306" s="555"/>
      <c r="G306" s="555"/>
      <c r="H306" s="555"/>
      <c r="I306" s="555"/>
      <c r="J306" s="555"/>
      <c r="K306" s="555"/>
      <c r="L306" s="555"/>
      <c r="M306" s="555"/>
      <c r="N306" s="555"/>
    </row>
    <row r="307" spans="1:14" ht="18" customHeight="1" x14ac:dyDescent="0.3">
      <c r="A307" s="555"/>
      <c r="B307" s="555"/>
      <c r="C307" s="555"/>
      <c r="D307" s="555"/>
      <c r="E307" s="555"/>
      <c r="F307" s="555"/>
      <c r="G307" s="555"/>
      <c r="H307" s="555"/>
      <c r="I307" s="555"/>
      <c r="J307" s="555"/>
      <c r="K307" s="555"/>
      <c r="L307" s="555"/>
      <c r="M307" s="555"/>
      <c r="N307" s="555"/>
    </row>
    <row r="308" spans="1:14" ht="18" customHeight="1" x14ac:dyDescent="0.3">
      <c r="A308" s="555"/>
      <c r="B308" s="555"/>
      <c r="C308" s="555"/>
      <c r="D308" s="555"/>
      <c r="E308" s="555"/>
      <c r="F308" s="555"/>
      <c r="G308" s="555"/>
      <c r="H308" s="555"/>
      <c r="I308" s="555"/>
      <c r="J308" s="555"/>
      <c r="K308" s="555"/>
      <c r="L308" s="555"/>
      <c r="M308" s="555"/>
      <c r="N308" s="555"/>
    </row>
    <row r="309" spans="1:14" ht="18" customHeight="1" x14ac:dyDescent="0.3">
      <c r="A309" s="555"/>
      <c r="B309" s="555"/>
      <c r="C309" s="555"/>
      <c r="D309" s="555"/>
      <c r="E309" s="555"/>
      <c r="F309" s="555"/>
      <c r="G309" s="555"/>
      <c r="H309" s="555"/>
      <c r="I309" s="555"/>
      <c r="J309" s="555"/>
      <c r="K309" s="555"/>
      <c r="L309" s="555"/>
      <c r="M309" s="555"/>
      <c r="N309" s="555"/>
    </row>
    <row r="310" spans="1:14" ht="18" customHeight="1" x14ac:dyDescent="0.3">
      <c r="A310" s="555"/>
      <c r="B310" s="555"/>
      <c r="C310" s="555"/>
      <c r="D310" s="555"/>
      <c r="E310" s="555"/>
      <c r="F310" s="555"/>
      <c r="G310" s="555"/>
      <c r="H310" s="555"/>
      <c r="I310" s="555"/>
      <c r="J310" s="555"/>
      <c r="K310" s="555"/>
      <c r="L310" s="555"/>
      <c r="M310" s="555"/>
      <c r="N310" s="555"/>
    </row>
    <row r="311" spans="1:14" ht="18" customHeight="1" x14ac:dyDescent="0.3">
      <c r="A311" s="555"/>
      <c r="B311" s="555"/>
      <c r="C311" s="555"/>
      <c r="D311" s="555"/>
      <c r="E311" s="555"/>
      <c r="F311" s="555"/>
      <c r="G311" s="555"/>
      <c r="H311" s="555"/>
      <c r="I311" s="555"/>
      <c r="J311" s="555"/>
      <c r="K311" s="555"/>
      <c r="L311" s="555"/>
      <c r="M311" s="555"/>
      <c r="N311" s="555"/>
    </row>
    <row r="312" spans="1:14" ht="18" customHeight="1" x14ac:dyDescent="0.3">
      <c r="A312" s="555"/>
      <c r="B312" s="555"/>
      <c r="C312" s="555"/>
      <c r="D312" s="555"/>
      <c r="E312" s="555"/>
      <c r="F312" s="555"/>
      <c r="G312" s="555"/>
      <c r="H312" s="555"/>
      <c r="I312" s="555"/>
      <c r="J312" s="555"/>
      <c r="K312" s="555"/>
      <c r="L312" s="555"/>
      <c r="M312" s="555"/>
      <c r="N312" s="555"/>
    </row>
    <row r="313" spans="1:14" ht="18" customHeight="1" x14ac:dyDescent="0.3">
      <c r="A313" s="555"/>
      <c r="B313" s="555"/>
      <c r="C313" s="555"/>
      <c r="D313" s="555"/>
      <c r="E313" s="555"/>
      <c r="F313" s="555"/>
      <c r="G313" s="555"/>
      <c r="H313" s="555"/>
      <c r="I313" s="555"/>
      <c r="J313" s="555"/>
      <c r="K313" s="555"/>
      <c r="L313" s="555"/>
      <c r="M313" s="555"/>
      <c r="N313" s="555"/>
    </row>
    <row r="314" spans="1:14" ht="18" customHeight="1" x14ac:dyDescent="0.3">
      <c r="A314" s="555"/>
      <c r="B314" s="555"/>
      <c r="C314" s="555"/>
      <c r="D314" s="555"/>
      <c r="E314" s="555"/>
      <c r="F314" s="555"/>
      <c r="G314" s="555"/>
      <c r="H314" s="555"/>
      <c r="I314" s="555"/>
      <c r="J314" s="555"/>
      <c r="K314" s="555"/>
      <c r="L314" s="555"/>
      <c r="M314" s="555"/>
      <c r="N314" s="555"/>
    </row>
    <row r="315" spans="1:14" ht="18" customHeight="1" x14ac:dyDescent="0.3">
      <c r="A315" s="555"/>
      <c r="B315" s="555"/>
      <c r="C315" s="555"/>
      <c r="D315" s="555"/>
      <c r="E315" s="555"/>
      <c r="F315" s="555"/>
      <c r="G315" s="555"/>
      <c r="H315" s="555"/>
      <c r="I315" s="555"/>
      <c r="J315" s="555"/>
      <c r="K315" s="555"/>
      <c r="L315" s="555"/>
      <c r="M315" s="555"/>
      <c r="N315" s="555"/>
    </row>
    <row r="316" spans="1:14" ht="18" customHeight="1" x14ac:dyDescent="0.3">
      <c r="A316" s="555"/>
      <c r="B316" s="555"/>
      <c r="C316" s="555"/>
      <c r="D316" s="555"/>
      <c r="E316" s="555"/>
      <c r="F316" s="555"/>
      <c r="G316" s="555"/>
      <c r="H316" s="555"/>
      <c r="I316" s="555"/>
      <c r="J316" s="555"/>
      <c r="K316" s="555"/>
      <c r="L316" s="555"/>
      <c r="M316" s="555"/>
      <c r="N316" s="555"/>
    </row>
    <row r="317" spans="1:14" ht="18" customHeight="1" x14ac:dyDescent="0.3">
      <c r="A317" s="555"/>
      <c r="B317" s="555"/>
      <c r="C317" s="555"/>
      <c r="D317" s="555"/>
      <c r="E317" s="555"/>
      <c r="F317" s="555"/>
      <c r="G317" s="555"/>
      <c r="H317" s="555"/>
      <c r="I317" s="555"/>
      <c r="J317" s="555"/>
      <c r="K317" s="555"/>
      <c r="L317" s="555"/>
      <c r="M317" s="555"/>
      <c r="N317" s="555"/>
    </row>
    <row r="318" spans="1:14" ht="18" customHeight="1" x14ac:dyDescent="0.3">
      <c r="A318" s="555"/>
      <c r="B318" s="555"/>
      <c r="C318" s="555"/>
      <c r="D318" s="555"/>
      <c r="E318" s="555"/>
      <c r="F318" s="555"/>
      <c r="G318" s="555"/>
      <c r="H318" s="555"/>
      <c r="I318" s="555"/>
      <c r="J318" s="555"/>
      <c r="K318" s="555"/>
      <c r="L318" s="555"/>
      <c r="M318" s="555"/>
      <c r="N318" s="555"/>
    </row>
    <row r="319" spans="1:14" ht="18" customHeight="1" x14ac:dyDescent="0.3">
      <c r="A319" s="555"/>
      <c r="B319" s="555"/>
      <c r="C319" s="555"/>
      <c r="D319" s="555"/>
      <c r="E319" s="555"/>
      <c r="F319" s="555"/>
      <c r="G319" s="555"/>
      <c r="H319" s="555"/>
      <c r="I319" s="555"/>
      <c r="J319" s="555"/>
      <c r="K319" s="555"/>
      <c r="L319" s="555"/>
      <c r="M319" s="555"/>
      <c r="N319" s="555"/>
    </row>
    <row r="320" spans="1:14" ht="18" customHeight="1" x14ac:dyDescent="0.3">
      <c r="A320" s="555"/>
      <c r="B320" s="555"/>
      <c r="C320" s="555"/>
      <c r="D320" s="555"/>
      <c r="E320" s="555"/>
      <c r="F320" s="555"/>
      <c r="G320" s="555"/>
      <c r="H320" s="555"/>
      <c r="I320" s="555"/>
      <c r="J320" s="555"/>
      <c r="K320" s="555"/>
      <c r="L320" s="555"/>
      <c r="M320" s="555"/>
      <c r="N320" s="555"/>
    </row>
    <row r="321" spans="1:14" ht="18" customHeight="1" x14ac:dyDescent="0.3">
      <c r="A321" s="555"/>
      <c r="B321" s="555"/>
      <c r="C321" s="555"/>
      <c r="D321" s="555"/>
      <c r="E321" s="555"/>
      <c r="F321" s="555"/>
      <c r="G321" s="555"/>
      <c r="H321" s="555"/>
      <c r="I321" s="555"/>
      <c r="J321" s="555"/>
      <c r="K321" s="555"/>
      <c r="L321" s="555"/>
      <c r="M321" s="555"/>
      <c r="N321" s="555"/>
    </row>
    <row r="322" spans="1:14" ht="18" customHeight="1" x14ac:dyDescent="0.3">
      <c r="A322" s="555"/>
      <c r="B322" s="555"/>
      <c r="C322" s="555"/>
      <c r="D322" s="555"/>
      <c r="E322" s="555"/>
      <c r="F322" s="555"/>
      <c r="G322" s="555"/>
      <c r="H322" s="555"/>
      <c r="I322" s="555"/>
      <c r="J322" s="555"/>
      <c r="K322" s="555"/>
      <c r="L322" s="555"/>
      <c r="M322" s="555"/>
      <c r="N322" s="555"/>
    </row>
    <row r="323" spans="1:14" ht="18" customHeight="1" x14ac:dyDescent="0.3">
      <c r="A323" s="555"/>
      <c r="B323" s="555"/>
      <c r="C323" s="555"/>
      <c r="D323" s="555"/>
      <c r="E323" s="555"/>
      <c r="F323" s="555"/>
      <c r="G323" s="555"/>
      <c r="H323" s="555"/>
      <c r="I323" s="555"/>
      <c r="J323" s="555"/>
      <c r="K323" s="555"/>
      <c r="L323" s="555"/>
      <c r="M323" s="555"/>
      <c r="N323" s="555"/>
    </row>
    <row r="324" spans="1:14" ht="18" customHeight="1" x14ac:dyDescent="0.3">
      <c r="A324" s="555"/>
      <c r="B324" s="555"/>
      <c r="C324" s="555"/>
      <c r="D324" s="555"/>
      <c r="E324" s="555"/>
      <c r="F324" s="555"/>
      <c r="G324" s="555"/>
      <c r="H324" s="555"/>
      <c r="I324" s="555"/>
      <c r="J324" s="555"/>
      <c r="K324" s="555"/>
      <c r="L324" s="555"/>
      <c r="M324" s="555"/>
      <c r="N324" s="555"/>
    </row>
    <row r="325" spans="1:14" ht="18" customHeight="1" x14ac:dyDescent="0.3">
      <c r="A325" s="555"/>
      <c r="B325" s="555"/>
      <c r="C325" s="555"/>
      <c r="D325" s="555"/>
      <c r="E325" s="555"/>
      <c r="F325" s="555"/>
      <c r="G325" s="555"/>
      <c r="H325" s="555"/>
      <c r="I325" s="555"/>
      <c r="J325" s="555"/>
      <c r="K325" s="555"/>
      <c r="L325" s="555"/>
      <c r="M325" s="555"/>
      <c r="N325" s="555"/>
    </row>
    <row r="326" spans="1:14" ht="18" customHeight="1" x14ac:dyDescent="0.3">
      <c r="A326" s="555"/>
      <c r="B326" s="555"/>
      <c r="C326" s="555"/>
      <c r="D326" s="555"/>
      <c r="E326" s="555"/>
      <c r="F326" s="555"/>
      <c r="G326" s="555"/>
      <c r="H326" s="555"/>
      <c r="I326" s="555"/>
      <c r="J326" s="555"/>
      <c r="K326" s="555"/>
      <c r="L326" s="555"/>
      <c r="M326" s="555"/>
      <c r="N326" s="555"/>
    </row>
    <row r="327" spans="1:14" ht="18" customHeight="1" x14ac:dyDescent="0.3">
      <c r="A327" s="555"/>
      <c r="B327" s="555"/>
      <c r="C327" s="555"/>
      <c r="D327" s="555"/>
      <c r="E327" s="555"/>
      <c r="F327" s="555"/>
      <c r="G327" s="555"/>
      <c r="H327" s="555"/>
      <c r="I327" s="555"/>
      <c r="J327" s="555"/>
      <c r="K327" s="555"/>
      <c r="L327" s="555"/>
      <c r="M327" s="555"/>
      <c r="N327" s="555"/>
    </row>
    <row r="328" spans="1:14" ht="18" customHeight="1" x14ac:dyDescent="0.3">
      <c r="A328" s="555"/>
      <c r="B328" s="555"/>
      <c r="C328" s="555"/>
      <c r="D328" s="555"/>
      <c r="E328" s="555"/>
      <c r="F328" s="555"/>
      <c r="G328" s="555"/>
      <c r="H328" s="555"/>
      <c r="I328" s="555"/>
      <c r="J328" s="555"/>
      <c r="K328" s="555"/>
      <c r="L328" s="555"/>
      <c r="M328" s="555"/>
      <c r="N328" s="555"/>
    </row>
    <row r="329" spans="1:14" ht="18" customHeight="1" x14ac:dyDescent="0.3">
      <c r="A329" s="555"/>
      <c r="B329" s="555"/>
      <c r="C329" s="555"/>
      <c r="D329" s="555"/>
      <c r="E329" s="555"/>
      <c r="F329" s="555"/>
      <c r="G329" s="555"/>
      <c r="H329" s="555"/>
      <c r="I329" s="555"/>
      <c r="J329" s="555"/>
      <c r="K329" s="555"/>
      <c r="L329" s="555"/>
      <c r="M329" s="555"/>
      <c r="N329" s="555"/>
    </row>
    <row r="330" spans="1:14" ht="18" customHeight="1" x14ac:dyDescent="0.3">
      <c r="A330" s="555"/>
      <c r="B330" s="555"/>
      <c r="C330" s="555"/>
      <c r="D330" s="555"/>
      <c r="E330" s="555"/>
      <c r="F330" s="555"/>
      <c r="G330" s="555"/>
      <c r="H330" s="555"/>
      <c r="I330" s="555"/>
      <c r="J330" s="555"/>
      <c r="K330" s="555"/>
      <c r="L330" s="555"/>
      <c r="M330" s="555"/>
      <c r="N330" s="555"/>
    </row>
    <row r="331" spans="1:14" ht="18" customHeight="1" x14ac:dyDescent="0.3">
      <c r="A331" s="555"/>
      <c r="B331" s="555"/>
      <c r="C331" s="555"/>
      <c r="D331" s="555"/>
      <c r="E331" s="555"/>
      <c r="F331" s="555"/>
      <c r="G331" s="555"/>
      <c r="H331" s="555"/>
      <c r="I331" s="555"/>
      <c r="J331" s="555"/>
      <c r="K331" s="555"/>
      <c r="L331" s="555"/>
      <c r="M331" s="555"/>
      <c r="N331" s="555"/>
    </row>
    <row r="332" spans="1:14" ht="18" customHeight="1" x14ac:dyDescent="0.3">
      <c r="A332" s="555"/>
      <c r="B332" s="555"/>
      <c r="C332" s="555"/>
      <c r="D332" s="555"/>
      <c r="E332" s="555"/>
      <c r="F332" s="555"/>
      <c r="G332" s="555"/>
      <c r="H332" s="555"/>
      <c r="I332" s="555"/>
      <c r="J332" s="555"/>
      <c r="K332" s="555"/>
      <c r="L332" s="555"/>
      <c r="M332" s="555"/>
      <c r="N332" s="555"/>
    </row>
    <row r="333" spans="1:14" ht="18" customHeight="1" x14ac:dyDescent="0.3">
      <c r="A333" s="555"/>
      <c r="B333" s="555"/>
      <c r="C333" s="555"/>
      <c r="D333" s="555"/>
      <c r="E333" s="555"/>
      <c r="F333" s="555"/>
      <c r="G333" s="555"/>
      <c r="H333" s="555"/>
      <c r="I333" s="555"/>
      <c r="J333" s="555"/>
      <c r="K333" s="555"/>
      <c r="L333" s="555"/>
      <c r="M333" s="555"/>
      <c r="N333" s="555"/>
    </row>
    <row r="334" spans="1:14" ht="18" customHeight="1" x14ac:dyDescent="0.3">
      <c r="A334" s="555"/>
      <c r="B334" s="555"/>
      <c r="C334" s="555"/>
      <c r="D334" s="555"/>
      <c r="E334" s="555"/>
      <c r="F334" s="555"/>
      <c r="G334" s="555"/>
      <c r="H334" s="555"/>
      <c r="I334" s="555"/>
      <c r="J334" s="555"/>
      <c r="K334" s="555"/>
      <c r="L334" s="555"/>
      <c r="M334" s="555"/>
      <c r="N334" s="555"/>
    </row>
    <row r="335" spans="1:14" ht="18" customHeight="1" x14ac:dyDescent="0.3">
      <c r="A335" s="555"/>
      <c r="B335" s="555"/>
      <c r="C335" s="555"/>
      <c r="D335" s="555"/>
      <c r="E335" s="555"/>
      <c r="F335" s="555"/>
      <c r="G335" s="555"/>
      <c r="H335" s="555"/>
      <c r="I335" s="555"/>
      <c r="J335" s="555"/>
      <c r="K335" s="555"/>
      <c r="L335" s="555"/>
      <c r="M335" s="555"/>
      <c r="N335" s="555"/>
    </row>
    <row r="336" spans="1:14" ht="18" customHeight="1" x14ac:dyDescent="0.3">
      <c r="A336" s="555"/>
      <c r="B336" s="555"/>
      <c r="C336" s="555"/>
      <c r="D336" s="555"/>
      <c r="E336" s="555"/>
      <c r="F336" s="555"/>
      <c r="G336" s="555"/>
      <c r="H336" s="555"/>
      <c r="I336" s="555"/>
      <c r="J336" s="555"/>
      <c r="K336" s="555"/>
      <c r="L336" s="555"/>
      <c r="M336" s="555"/>
      <c r="N336" s="555"/>
    </row>
    <row r="337" spans="1:14" ht="18" customHeight="1" x14ac:dyDescent="0.3">
      <c r="A337" s="555"/>
      <c r="B337" s="555"/>
      <c r="C337" s="555"/>
      <c r="D337" s="555"/>
      <c r="E337" s="555"/>
      <c r="F337" s="555"/>
      <c r="G337" s="555"/>
      <c r="H337" s="555"/>
      <c r="I337" s="555"/>
      <c r="J337" s="555"/>
      <c r="K337" s="555"/>
      <c r="L337" s="555"/>
      <c r="M337" s="555"/>
      <c r="N337" s="555"/>
    </row>
    <row r="338" spans="1:14" ht="18" customHeight="1" x14ac:dyDescent="0.3">
      <c r="A338" s="555"/>
      <c r="B338" s="555"/>
      <c r="C338" s="555"/>
      <c r="D338" s="555"/>
      <c r="E338" s="555"/>
      <c r="F338" s="555"/>
      <c r="G338" s="555"/>
      <c r="H338" s="555"/>
      <c r="I338" s="555"/>
      <c r="J338" s="555"/>
      <c r="K338" s="555"/>
      <c r="L338" s="555"/>
      <c r="M338" s="555"/>
      <c r="N338" s="555"/>
    </row>
    <row r="339" spans="1:14" ht="18" customHeight="1" x14ac:dyDescent="0.3">
      <c r="A339" s="555"/>
      <c r="B339" s="555"/>
      <c r="C339" s="555"/>
      <c r="D339" s="555"/>
      <c r="E339" s="555"/>
      <c r="F339" s="555"/>
      <c r="G339" s="555"/>
      <c r="H339" s="555"/>
      <c r="I339" s="555"/>
      <c r="J339" s="555"/>
      <c r="K339" s="555"/>
      <c r="L339" s="555"/>
      <c r="M339" s="555"/>
      <c r="N339" s="555"/>
    </row>
    <row r="340" spans="1:14" ht="18" customHeight="1" x14ac:dyDescent="0.3">
      <c r="A340" s="555"/>
      <c r="B340" s="555"/>
      <c r="C340" s="555"/>
      <c r="D340" s="555"/>
      <c r="E340" s="555"/>
      <c r="F340" s="555"/>
      <c r="G340" s="555"/>
      <c r="H340" s="555"/>
      <c r="I340" s="555"/>
      <c r="J340" s="555"/>
      <c r="K340" s="555"/>
      <c r="L340" s="555"/>
      <c r="M340" s="555"/>
      <c r="N340" s="555"/>
    </row>
    <row r="341" spans="1:14" ht="18" customHeight="1" x14ac:dyDescent="0.3">
      <c r="A341" s="555"/>
      <c r="B341" s="555"/>
      <c r="C341" s="555"/>
      <c r="D341" s="555"/>
      <c r="E341" s="555"/>
      <c r="F341" s="555"/>
      <c r="G341" s="555"/>
      <c r="H341" s="555"/>
      <c r="I341" s="555"/>
      <c r="J341" s="555"/>
      <c r="K341" s="555"/>
      <c r="L341" s="555"/>
      <c r="M341" s="555"/>
      <c r="N341" s="555"/>
    </row>
    <row r="342" spans="1:14" ht="18" customHeight="1" x14ac:dyDescent="0.3">
      <c r="A342" s="555"/>
      <c r="B342" s="555"/>
      <c r="C342" s="555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</row>
    <row r="343" spans="1:14" ht="18" customHeight="1" x14ac:dyDescent="0.3">
      <c r="A343" s="555"/>
      <c r="B343" s="555"/>
      <c r="C343" s="555"/>
      <c r="D343" s="555"/>
      <c r="E343" s="555"/>
      <c r="F343" s="555"/>
      <c r="G343" s="555"/>
      <c r="H343" s="555"/>
      <c r="I343" s="555"/>
      <c r="J343" s="555"/>
      <c r="K343" s="555"/>
      <c r="L343" s="555"/>
      <c r="M343" s="555"/>
      <c r="N343" s="555"/>
    </row>
    <row r="344" spans="1:14" ht="18" customHeight="1" x14ac:dyDescent="0.3">
      <c r="A344" s="555"/>
      <c r="B344" s="555"/>
      <c r="C344" s="555"/>
      <c r="D344" s="555"/>
      <c r="E344" s="555"/>
      <c r="F344" s="555"/>
      <c r="G344" s="555"/>
      <c r="H344" s="555"/>
      <c r="I344" s="555"/>
      <c r="J344" s="555"/>
      <c r="K344" s="555"/>
      <c r="L344" s="555"/>
      <c r="M344" s="555"/>
      <c r="N344" s="555"/>
    </row>
    <row r="345" spans="1:14" ht="18" customHeight="1" x14ac:dyDescent="0.3">
      <c r="A345" s="555"/>
      <c r="B345" s="555"/>
      <c r="C345" s="555"/>
      <c r="D345" s="555"/>
      <c r="E345" s="555"/>
      <c r="F345" s="555"/>
      <c r="G345" s="555"/>
      <c r="H345" s="555"/>
      <c r="I345" s="555"/>
      <c r="J345" s="555"/>
      <c r="K345" s="555"/>
      <c r="L345" s="555"/>
      <c r="M345" s="555"/>
      <c r="N345" s="555"/>
    </row>
    <row r="346" spans="1:14" ht="18" customHeight="1" x14ac:dyDescent="0.3">
      <c r="A346" s="555"/>
      <c r="B346" s="555"/>
      <c r="C346" s="555"/>
      <c r="D346" s="555"/>
      <c r="E346" s="555"/>
      <c r="F346" s="555"/>
      <c r="G346" s="555"/>
      <c r="H346" s="555"/>
      <c r="I346" s="555"/>
      <c r="J346" s="555"/>
      <c r="K346" s="555"/>
      <c r="L346" s="555"/>
      <c r="M346" s="555"/>
      <c r="N346" s="555"/>
    </row>
    <row r="347" spans="1:14" ht="18" customHeight="1" x14ac:dyDescent="0.3">
      <c r="A347" s="555"/>
      <c r="B347" s="555"/>
      <c r="C347" s="555"/>
      <c r="D347" s="555"/>
      <c r="E347" s="555"/>
      <c r="F347" s="555"/>
      <c r="G347" s="555"/>
      <c r="H347" s="555"/>
      <c r="I347" s="555"/>
      <c r="J347" s="555"/>
      <c r="K347" s="555"/>
      <c r="L347" s="555"/>
      <c r="M347" s="555"/>
      <c r="N347" s="555"/>
    </row>
    <row r="348" spans="1:14" ht="18" customHeight="1" x14ac:dyDescent="0.3">
      <c r="A348" s="555"/>
      <c r="B348" s="555"/>
      <c r="C348" s="555"/>
      <c r="D348" s="555"/>
      <c r="E348" s="555"/>
      <c r="F348" s="555"/>
      <c r="G348" s="555"/>
      <c r="H348" s="555"/>
      <c r="I348" s="555"/>
      <c r="J348" s="555"/>
      <c r="K348" s="555"/>
      <c r="L348" s="555"/>
      <c r="M348" s="555"/>
      <c r="N348" s="555"/>
    </row>
    <row r="349" spans="1:14" ht="18" customHeight="1" x14ac:dyDescent="0.3">
      <c r="A349" s="555"/>
      <c r="B349" s="555"/>
      <c r="C349" s="555"/>
      <c r="D349" s="555"/>
      <c r="E349" s="555"/>
      <c r="F349" s="555"/>
      <c r="G349" s="555"/>
      <c r="H349" s="555"/>
      <c r="I349" s="555"/>
      <c r="J349" s="555"/>
      <c r="K349" s="555"/>
      <c r="L349" s="555"/>
      <c r="M349" s="555"/>
      <c r="N349" s="555"/>
    </row>
    <row r="350" spans="1:14" ht="18" customHeight="1" x14ac:dyDescent="0.3">
      <c r="A350" s="555"/>
      <c r="B350" s="555"/>
      <c r="C350" s="555"/>
      <c r="D350" s="555"/>
      <c r="E350" s="555"/>
      <c r="F350" s="555"/>
      <c r="G350" s="555"/>
      <c r="H350" s="555"/>
      <c r="I350" s="555"/>
      <c r="J350" s="555"/>
      <c r="K350" s="555"/>
      <c r="L350" s="555"/>
      <c r="M350" s="555"/>
      <c r="N350" s="555"/>
    </row>
    <row r="351" spans="1:14" ht="18" customHeight="1" x14ac:dyDescent="0.3">
      <c r="A351" s="555"/>
      <c r="B351" s="555"/>
      <c r="C351" s="555"/>
      <c r="D351" s="555"/>
      <c r="E351" s="555"/>
      <c r="F351" s="555"/>
      <c r="G351" s="555"/>
      <c r="H351" s="555"/>
      <c r="I351" s="555"/>
      <c r="J351" s="555"/>
      <c r="K351" s="555"/>
      <c r="L351" s="555"/>
      <c r="M351" s="555"/>
      <c r="N351" s="555"/>
    </row>
    <row r="352" spans="1:14" ht="18" customHeight="1" x14ac:dyDescent="0.3">
      <c r="A352" s="555"/>
      <c r="B352" s="555"/>
      <c r="C352" s="555"/>
      <c r="D352" s="555"/>
      <c r="E352" s="555"/>
      <c r="F352" s="555"/>
      <c r="G352" s="555"/>
      <c r="H352" s="555"/>
      <c r="I352" s="555"/>
      <c r="J352" s="555"/>
      <c r="K352" s="555"/>
      <c r="L352" s="555"/>
      <c r="M352" s="555"/>
      <c r="N352" s="555"/>
    </row>
    <row r="353" spans="1:14" ht="18" customHeight="1" x14ac:dyDescent="0.3">
      <c r="A353" s="555"/>
      <c r="B353" s="555"/>
      <c r="C353" s="555"/>
      <c r="D353" s="555"/>
      <c r="E353" s="555"/>
      <c r="F353" s="555"/>
      <c r="G353" s="555"/>
      <c r="H353" s="555"/>
      <c r="I353" s="555"/>
      <c r="J353" s="555"/>
      <c r="K353" s="555"/>
      <c r="L353" s="555"/>
      <c r="M353" s="555"/>
      <c r="N353" s="555"/>
    </row>
    <row r="354" spans="1:14" ht="18" customHeight="1" x14ac:dyDescent="0.3">
      <c r="A354" s="555"/>
      <c r="B354" s="555"/>
      <c r="C354" s="555"/>
      <c r="D354" s="555"/>
      <c r="E354" s="555"/>
      <c r="F354" s="555"/>
      <c r="G354" s="555"/>
      <c r="H354" s="555"/>
      <c r="I354" s="555"/>
      <c r="J354" s="555"/>
      <c r="K354" s="555"/>
      <c r="L354" s="555"/>
      <c r="M354" s="555"/>
      <c r="N354" s="555"/>
    </row>
    <row r="355" spans="1:14" ht="18" customHeight="1" x14ac:dyDescent="0.3">
      <c r="A355" s="555"/>
      <c r="B355" s="555"/>
      <c r="C355" s="555"/>
      <c r="D355" s="555"/>
      <c r="E355" s="555"/>
      <c r="F355" s="555"/>
      <c r="G355" s="555"/>
      <c r="H355" s="555"/>
      <c r="I355" s="555"/>
      <c r="J355" s="555"/>
      <c r="K355" s="555"/>
      <c r="L355" s="555"/>
      <c r="M355" s="555"/>
      <c r="N355" s="555"/>
    </row>
    <row r="356" spans="1:14" ht="18" customHeight="1" x14ac:dyDescent="0.3">
      <c r="A356" s="555"/>
      <c r="B356" s="555"/>
      <c r="C356" s="555"/>
      <c r="D356" s="555"/>
      <c r="E356" s="555"/>
      <c r="F356" s="555"/>
      <c r="G356" s="555"/>
      <c r="H356" s="555"/>
      <c r="I356" s="555"/>
      <c r="J356" s="555"/>
      <c r="K356" s="555"/>
      <c r="L356" s="555"/>
      <c r="M356" s="555"/>
      <c r="N356" s="555"/>
    </row>
    <row r="357" spans="1:14" ht="18" customHeight="1" x14ac:dyDescent="0.3">
      <c r="A357" s="555"/>
      <c r="B357" s="555"/>
      <c r="C357" s="555"/>
      <c r="D357" s="555"/>
      <c r="E357" s="555"/>
      <c r="F357" s="555"/>
      <c r="G357" s="555"/>
      <c r="H357" s="555"/>
      <c r="I357" s="555"/>
      <c r="J357" s="555"/>
      <c r="K357" s="555"/>
      <c r="L357" s="555"/>
      <c r="M357" s="555"/>
      <c r="N357" s="555"/>
    </row>
    <row r="358" spans="1:14" ht="18" customHeight="1" x14ac:dyDescent="0.3">
      <c r="A358" s="555"/>
      <c r="B358" s="555"/>
      <c r="C358" s="555"/>
      <c r="D358" s="555"/>
      <c r="E358" s="555"/>
      <c r="F358" s="555"/>
      <c r="G358" s="555"/>
      <c r="H358" s="555"/>
      <c r="I358" s="555"/>
      <c r="J358" s="555"/>
      <c r="K358" s="555"/>
      <c r="L358" s="555"/>
      <c r="M358" s="555"/>
      <c r="N358" s="555"/>
    </row>
    <row r="359" spans="1:14" ht="18" customHeight="1" x14ac:dyDescent="0.3">
      <c r="A359" s="555"/>
      <c r="B359" s="555"/>
      <c r="C359" s="555"/>
      <c r="D359" s="555"/>
      <c r="E359" s="555"/>
      <c r="F359" s="555"/>
      <c r="G359" s="555"/>
      <c r="H359" s="555"/>
      <c r="I359" s="555"/>
      <c r="J359" s="555"/>
      <c r="K359" s="555"/>
      <c r="L359" s="555"/>
      <c r="M359" s="555"/>
      <c r="N359" s="555"/>
    </row>
    <row r="360" spans="1:14" ht="18" customHeight="1" x14ac:dyDescent="0.3">
      <c r="A360" s="555"/>
      <c r="B360" s="555"/>
      <c r="C360" s="555"/>
      <c r="D360" s="555"/>
      <c r="E360" s="555"/>
      <c r="F360" s="555"/>
      <c r="G360" s="555"/>
      <c r="H360" s="555"/>
      <c r="I360" s="555"/>
      <c r="J360" s="555"/>
      <c r="K360" s="555"/>
      <c r="L360" s="555"/>
      <c r="M360" s="555"/>
      <c r="N360" s="555"/>
    </row>
    <row r="361" spans="1:14" ht="18" customHeight="1" x14ac:dyDescent="0.3">
      <c r="A361" s="555"/>
      <c r="B361" s="555"/>
      <c r="C361" s="555"/>
      <c r="D361" s="555"/>
      <c r="E361" s="555"/>
      <c r="F361" s="555"/>
      <c r="G361" s="555"/>
      <c r="H361" s="555"/>
      <c r="I361" s="555"/>
      <c r="J361" s="555"/>
      <c r="K361" s="555"/>
      <c r="L361" s="555"/>
      <c r="M361" s="555"/>
      <c r="N361" s="555"/>
    </row>
    <row r="362" spans="1:14" ht="18" customHeight="1" x14ac:dyDescent="0.3">
      <c r="A362" s="555"/>
      <c r="B362" s="555"/>
      <c r="C362" s="555"/>
      <c r="D362" s="555"/>
      <c r="E362" s="555"/>
      <c r="F362" s="555"/>
      <c r="G362" s="555"/>
      <c r="H362" s="555"/>
      <c r="I362" s="555"/>
      <c r="J362" s="555"/>
      <c r="K362" s="555"/>
      <c r="L362" s="555"/>
      <c r="M362" s="555"/>
      <c r="N362" s="555"/>
    </row>
    <row r="363" spans="1:14" ht="18" customHeight="1" x14ac:dyDescent="0.3">
      <c r="A363" s="555"/>
      <c r="B363" s="555"/>
      <c r="C363" s="555"/>
      <c r="D363" s="555"/>
      <c r="E363" s="555"/>
      <c r="F363" s="555"/>
      <c r="G363" s="555"/>
      <c r="H363" s="555"/>
      <c r="I363" s="555"/>
      <c r="J363" s="555"/>
      <c r="K363" s="555"/>
      <c r="L363" s="555"/>
      <c r="M363" s="555"/>
      <c r="N363" s="555"/>
    </row>
    <row r="364" spans="1:14" ht="18" customHeight="1" x14ac:dyDescent="0.3">
      <c r="A364" s="555"/>
      <c r="B364" s="555"/>
      <c r="C364" s="555"/>
      <c r="D364" s="555"/>
      <c r="E364" s="555"/>
      <c r="F364" s="555"/>
      <c r="G364" s="555"/>
      <c r="H364" s="555"/>
      <c r="I364" s="555"/>
      <c r="J364" s="555"/>
      <c r="K364" s="555"/>
      <c r="L364" s="555"/>
      <c r="M364" s="555"/>
      <c r="N364" s="555"/>
    </row>
    <row r="365" spans="1:14" ht="18" customHeight="1" x14ac:dyDescent="0.3">
      <c r="A365" s="555"/>
      <c r="B365" s="555"/>
      <c r="C365" s="555"/>
      <c r="D365" s="555"/>
      <c r="E365" s="555"/>
      <c r="F365" s="555"/>
      <c r="G365" s="555"/>
      <c r="H365" s="555"/>
      <c r="I365" s="555"/>
      <c r="J365" s="555"/>
      <c r="K365" s="555"/>
      <c r="L365" s="555"/>
      <c r="M365" s="555"/>
      <c r="N365" s="555"/>
    </row>
    <row r="366" spans="1:14" ht="18" customHeight="1" x14ac:dyDescent="0.3">
      <c r="A366" s="555"/>
      <c r="B366" s="555"/>
      <c r="C366" s="555"/>
      <c r="D366" s="555"/>
      <c r="E366" s="555"/>
      <c r="F366" s="555"/>
      <c r="G366" s="555"/>
      <c r="H366" s="555"/>
      <c r="I366" s="555"/>
      <c r="J366" s="555"/>
      <c r="K366" s="555"/>
      <c r="L366" s="555"/>
      <c r="M366" s="555"/>
      <c r="N366" s="555"/>
    </row>
    <row r="367" spans="1:14" ht="18" customHeight="1" x14ac:dyDescent="0.3">
      <c r="A367" s="555"/>
      <c r="B367" s="555"/>
      <c r="C367" s="555"/>
      <c r="D367" s="555"/>
      <c r="E367" s="555"/>
      <c r="F367" s="555"/>
      <c r="G367" s="555"/>
      <c r="H367" s="555"/>
      <c r="I367" s="555"/>
      <c r="J367" s="555"/>
      <c r="K367" s="555"/>
      <c r="L367" s="555"/>
      <c r="M367" s="555"/>
      <c r="N367" s="555"/>
    </row>
    <row r="368" spans="1:14" ht="18" customHeight="1" x14ac:dyDescent="0.3">
      <c r="A368" s="555"/>
      <c r="B368" s="555"/>
      <c r="C368" s="555"/>
      <c r="D368" s="555"/>
      <c r="E368" s="555"/>
      <c r="F368" s="555"/>
      <c r="G368" s="555"/>
      <c r="H368" s="555"/>
      <c r="I368" s="555"/>
      <c r="J368" s="555"/>
      <c r="K368" s="555"/>
      <c r="L368" s="555"/>
      <c r="M368" s="555"/>
      <c r="N368" s="555"/>
    </row>
    <row r="369" spans="1:14" ht="18" customHeight="1" x14ac:dyDescent="0.3">
      <c r="A369" s="555"/>
      <c r="B369" s="555"/>
      <c r="C369" s="555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</row>
    <row r="370" spans="1:14" ht="18" customHeight="1" x14ac:dyDescent="0.3">
      <c r="A370" s="555"/>
      <c r="B370" s="555"/>
      <c r="C370" s="555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</row>
    <row r="371" spans="1:14" ht="18" customHeight="1" x14ac:dyDescent="0.3">
      <c r="A371" s="555"/>
      <c r="B371" s="555"/>
      <c r="C371" s="555"/>
      <c r="D371" s="555"/>
      <c r="E371" s="555"/>
      <c r="F371" s="555"/>
      <c r="G371" s="555"/>
      <c r="H371" s="555"/>
      <c r="I371" s="555"/>
      <c r="J371" s="555"/>
      <c r="K371" s="555"/>
      <c r="L371" s="555"/>
      <c r="M371" s="555"/>
      <c r="N371" s="555"/>
    </row>
    <row r="372" spans="1:14" ht="18" customHeight="1" x14ac:dyDescent="0.3">
      <c r="A372" s="555"/>
      <c r="B372" s="555"/>
      <c r="C372" s="555"/>
      <c r="D372" s="555"/>
      <c r="E372" s="555"/>
      <c r="F372" s="555"/>
      <c r="G372" s="555"/>
      <c r="H372" s="555"/>
      <c r="I372" s="555"/>
      <c r="J372" s="555"/>
      <c r="K372" s="555"/>
      <c r="L372" s="555"/>
      <c r="M372" s="555"/>
      <c r="N372" s="555"/>
    </row>
    <row r="373" spans="1:14" ht="18" customHeight="1" x14ac:dyDescent="0.3">
      <c r="A373" s="555"/>
      <c r="B373" s="555"/>
      <c r="C373" s="555"/>
      <c r="D373" s="555"/>
      <c r="E373" s="555"/>
      <c r="F373" s="555"/>
      <c r="G373" s="555"/>
      <c r="H373" s="555"/>
      <c r="I373" s="555"/>
      <c r="J373" s="555"/>
      <c r="K373" s="555"/>
      <c r="L373" s="555"/>
      <c r="M373" s="555"/>
      <c r="N373" s="555"/>
    </row>
    <row r="374" spans="1:14" ht="18" customHeight="1" x14ac:dyDescent="0.3">
      <c r="A374" s="555"/>
      <c r="B374" s="555"/>
      <c r="C374" s="555"/>
      <c r="D374" s="555"/>
      <c r="E374" s="555"/>
      <c r="F374" s="555"/>
      <c r="G374" s="555"/>
      <c r="H374" s="555"/>
      <c r="I374" s="555"/>
      <c r="J374" s="555"/>
      <c r="K374" s="555"/>
      <c r="L374" s="555"/>
      <c r="M374" s="555"/>
      <c r="N374" s="555"/>
    </row>
    <row r="375" spans="1:14" ht="18" customHeight="1" x14ac:dyDescent="0.3">
      <c r="A375" s="555"/>
      <c r="B375" s="555"/>
      <c r="C375" s="555"/>
      <c r="D375" s="555"/>
      <c r="E375" s="555"/>
      <c r="F375" s="555"/>
      <c r="G375" s="555"/>
      <c r="H375" s="555"/>
      <c r="I375" s="555"/>
      <c r="J375" s="555"/>
      <c r="K375" s="555"/>
      <c r="L375" s="555"/>
      <c r="M375" s="555"/>
      <c r="N375" s="555"/>
    </row>
    <row r="376" spans="1:14" ht="18" customHeight="1" x14ac:dyDescent="0.3">
      <c r="A376" s="555"/>
      <c r="B376" s="555"/>
      <c r="C376" s="555"/>
      <c r="D376" s="555"/>
      <c r="E376" s="555"/>
      <c r="F376" s="555"/>
      <c r="G376" s="555"/>
      <c r="H376" s="555"/>
      <c r="I376" s="555"/>
      <c r="J376" s="555"/>
      <c r="K376" s="555"/>
      <c r="L376" s="555"/>
      <c r="M376" s="555"/>
      <c r="N376" s="555"/>
    </row>
    <row r="377" spans="1:14" ht="18" customHeight="1" x14ac:dyDescent="0.3">
      <c r="A377" s="555"/>
      <c r="B377" s="555"/>
      <c r="C377" s="555"/>
      <c r="D377" s="555"/>
      <c r="E377" s="555"/>
      <c r="F377" s="555"/>
      <c r="G377" s="555"/>
      <c r="H377" s="555"/>
      <c r="I377" s="555"/>
      <c r="J377" s="555"/>
      <c r="K377" s="555"/>
      <c r="L377" s="555"/>
      <c r="M377" s="555"/>
      <c r="N377" s="555"/>
    </row>
    <row r="378" spans="1:14" ht="18" customHeight="1" x14ac:dyDescent="0.3">
      <c r="A378" s="555"/>
      <c r="B378" s="555"/>
      <c r="C378" s="555"/>
      <c r="D378" s="555"/>
      <c r="E378" s="555"/>
      <c r="F378" s="555"/>
      <c r="G378" s="555"/>
      <c r="H378" s="555"/>
      <c r="I378" s="555"/>
      <c r="J378" s="555"/>
      <c r="K378" s="555"/>
      <c r="L378" s="555"/>
      <c r="M378" s="555"/>
      <c r="N378" s="555"/>
    </row>
    <row r="379" spans="1:14" ht="18" customHeight="1" x14ac:dyDescent="0.3">
      <c r="A379" s="555"/>
      <c r="B379" s="555"/>
      <c r="C379" s="555"/>
      <c r="D379" s="555"/>
      <c r="E379" s="555"/>
      <c r="F379" s="555"/>
      <c r="G379" s="555"/>
      <c r="H379" s="555"/>
      <c r="I379" s="555"/>
      <c r="J379" s="555"/>
      <c r="K379" s="555"/>
      <c r="L379" s="555"/>
      <c r="M379" s="555"/>
      <c r="N379" s="555"/>
    </row>
    <row r="380" spans="1:14" ht="18" customHeight="1" x14ac:dyDescent="0.3">
      <c r="A380" s="555"/>
      <c r="B380" s="555"/>
      <c r="C380" s="555"/>
      <c r="D380" s="555"/>
      <c r="E380" s="555"/>
      <c r="F380" s="555"/>
      <c r="G380" s="555"/>
      <c r="H380" s="555"/>
      <c r="I380" s="555"/>
      <c r="J380" s="555"/>
      <c r="K380" s="555"/>
      <c r="L380" s="555"/>
      <c r="M380" s="555"/>
      <c r="N380" s="555"/>
    </row>
    <row r="381" spans="1:14" ht="18" customHeight="1" x14ac:dyDescent="0.3">
      <c r="A381" s="555"/>
      <c r="B381" s="555"/>
      <c r="C381" s="555"/>
      <c r="D381" s="555"/>
      <c r="E381" s="555"/>
      <c r="F381" s="555"/>
      <c r="G381" s="555"/>
      <c r="H381" s="555"/>
      <c r="I381" s="555"/>
      <c r="J381" s="555"/>
      <c r="K381" s="555"/>
      <c r="L381" s="555"/>
      <c r="M381" s="555"/>
      <c r="N381" s="555"/>
    </row>
    <row r="382" spans="1:14" ht="18" customHeight="1" x14ac:dyDescent="0.3">
      <c r="A382" s="555"/>
      <c r="B382" s="555"/>
      <c r="C382" s="555"/>
      <c r="D382" s="555"/>
      <c r="E382" s="555"/>
      <c r="F382" s="555"/>
      <c r="G382" s="555"/>
      <c r="H382" s="555"/>
      <c r="I382" s="555"/>
      <c r="J382" s="555"/>
      <c r="K382" s="555"/>
      <c r="L382" s="555"/>
      <c r="M382" s="555"/>
      <c r="N382" s="555"/>
    </row>
    <row r="383" spans="1:14" ht="18" customHeight="1" x14ac:dyDescent="0.3">
      <c r="A383" s="555"/>
      <c r="B383" s="555"/>
      <c r="C383" s="555"/>
      <c r="D383" s="555"/>
      <c r="E383" s="555"/>
      <c r="F383" s="555"/>
      <c r="G383" s="555"/>
      <c r="H383" s="555"/>
      <c r="I383" s="555"/>
      <c r="J383" s="555"/>
      <c r="K383" s="555"/>
      <c r="L383" s="555"/>
      <c r="M383" s="555"/>
      <c r="N383" s="555"/>
    </row>
    <row r="384" spans="1:14" ht="18" customHeight="1" x14ac:dyDescent="0.3">
      <c r="A384" s="555"/>
      <c r="B384" s="555"/>
      <c r="C384" s="555"/>
      <c r="D384" s="555"/>
      <c r="E384" s="555"/>
      <c r="F384" s="555"/>
      <c r="G384" s="555"/>
      <c r="H384" s="555"/>
      <c r="I384" s="555"/>
      <c r="J384" s="555"/>
      <c r="K384" s="555"/>
      <c r="L384" s="555"/>
      <c r="M384" s="555"/>
      <c r="N384" s="555"/>
    </row>
    <row r="385" spans="1:14" ht="18" customHeight="1" x14ac:dyDescent="0.3">
      <c r="A385" s="555"/>
      <c r="B385" s="555"/>
      <c r="C385" s="555"/>
      <c r="D385" s="555"/>
      <c r="E385" s="555"/>
      <c r="F385" s="555"/>
      <c r="G385" s="555"/>
      <c r="H385" s="555"/>
      <c r="I385" s="555"/>
      <c r="J385" s="555"/>
      <c r="K385" s="555"/>
      <c r="L385" s="555"/>
      <c r="M385" s="555"/>
      <c r="N385" s="555"/>
    </row>
    <row r="386" spans="1:14" ht="18" customHeight="1" x14ac:dyDescent="0.3">
      <c r="A386" s="555"/>
      <c r="B386" s="555"/>
      <c r="C386" s="555"/>
      <c r="D386" s="555"/>
      <c r="E386" s="555"/>
      <c r="F386" s="555"/>
      <c r="G386" s="555"/>
      <c r="H386" s="555"/>
      <c r="I386" s="555"/>
      <c r="J386" s="555"/>
      <c r="K386" s="555"/>
      <c r="L386" s="555"/>
      <c r="M386" s="555"/>
      <c r="N386" s="555"/>
    </row>
    <row r="387" spans="1:14" ht="18" customHeight="1" x14ac:dyDescent="0.3">
      <c r="A387" s="555"/>
      <c r="B387" s="555"/>
      <c r="C387" s="555"/>
      <c r="D387" s="555"/>
      <c r="E387" s="555"/>
      <c r="F387" s="555"/>
      <c r="G387" s="555"/>
      <c r="H387" s="555"/>
      <c r="I387" s="555"/>
      <c r="J387" s="555"/>
      <c r="K387" s="555"/>
      <c r="L387" s="555"/>
      <c r="M387" s="555"/>
      <c r="N387" s="555"/>
    </row>
    <row r="388" spans="1:14" ht="18" customHeight="1" x14ac:dyDescent="0.3">
      <c r="A388" s="555"/>
      <c r="B388" s="555"/>
      <c r="C388" s="555"/>
      <c r="D388" s="555"/>
      <c r="E388" s="555"/>
      <c r="F388" s="555"/>
      <c r="G388" s="555"/>
      <c r="H388" s="555"/>
      <c r="I388" s="555"/>
      <c r="J388" s="555"/>
      <c r="K388" s="555"/>
      <c r="L388" s="555"/>
      <c r="M388" s="555"/>
      <c r="N388" s="555"/>
    </row>
    <row r="389" spans="1:14" ht="18" customHeight="1" x14ac:dyDescent="0.3">
      <c r="A389" s="555"/>
      <c r="B389" s="555"/>
      <c r="C389" s="555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</row>
    <row r="390" spans="1:14" ht="18" customHeight="1" x14ac:dyDescent="0.3">
      <c r="A390" s="555"/>
      <c r="B390" s="555"/>
      <c r="C390" s="555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</row>
    <row r="391" spans="1:14" ht="18" customHeight="1" x14ac:dyDescent="0.3">
      <c r="A391" s="555"/>
      <c r="B391" s="555"/>
      <c r="C391" s="555"/>
      <c r="D391" s="555"/>
      <c r="E391" s="555"/>
      <c r="F391" s="555"/>
      <c r="G391" s="555"/>
      <c r="H391" s="555"/>
      <c r="I391" s="555"/>
      <c r="J391" s="555"/>
      <c r="K391" s="555"/>
      <c r="L391" s="555"/>
      <c r="M391" s="555"/>
      <c r="N391" s="555"/>
    </row>
    <row r="392" spans="1:14" ht="18" customHeight="1" x14ac:dyDescent="0.3">
      <c r="A392" s="555"/>
      <c r="B392" s="555"/>
      <c r="C392" s="555"/>
      <c r="D392" s="555"/>
      <c r="E392" s="555"/>
      <c r="F392" s="555"/>
      <c r="G392" s="555"/>
      <c r="H392" s="555"/>
      <c r="I392" s="555"/>
      <c r="J392" s="555"/>
      <c r="K392" s="555"/>
      <c r="L392" s="555"/>
      <c r="M392" s="555"/>
      <c r="N392" s="555"/>
    </row>
    <row r="393" spans="1:14" ht="18" customHeight="1" x14ac:dyDescent="0.3">
      <c r="A393" s="555"/>
      <c r="B393" s="555"/>
      <c r="C393" s="555"/>
      <c r="D393" s="555"/>
      <c r="E393" s="555"/>
      <c r="F393" s="555"/>
      <c r="G393" s="555"/>
      <c r="H393" s="555"/>
      <c r="I393" s="555"/>
      <c r="J393" s="555"/>
      <c r="K393" s="555"/>
      <c r="L393" s="555"/>
      <c r="M393" s="555"/>
      <c r="N393" s="555"/>
    </row>
    <row r="394" spans="1:14" ht="18" customHeight="1" x14ac:dyDescent="0.3">
      <c r="A394" s="555"/>
      <c r="B394" s="555"/>
      <c r="C394" s="555"/>
      <c r="D394" s="555"/>
      <c r="E394" s="555"/>
      <c r="F394" s="555"/>
      <c r="G394" s="555"/>
      <c r="H394" s="555"/>
      <c r="I394" s="555"/>
      <c r="J394" s="555"/>
      <c r="K394" s="555"/>
      <c r="L394" s="555"/>
      <c r="M394" s="555"/>
      <c r="N394" s="555"/>
    </row>
    <row r="395" spans="1:14" ht="18" customHeight="1" x14ac:dyDescent="0.3">
      <c r="A395" s="555"/>
      <c r="B395" s="555"/>
      <c r="C395" s="555"/>
      <c r="D395" s="555"/>
      <c r="E395" s="555"/>
      <c r="F395" s="555"/>
      <c r="G395" s="555"/>
      <c r="H395" s="555"/>
      <c r="I395" s="555"/>
      <c r="J395" s="555"/>
      <c r="K395" s="555"/>
      <c r="L395" s="555"/>
      <c r="M395" s="555"/>
      <c r="N395" s="555"/>
    </row>
    <row r="396" spans="1:14" ht="18" customHeight="1" x14ac:dyDescent="0.3">
      <c r="A396" s="555"/>
      <c r="B396" s="555"/>
      <c r="C396" s="555"/>
      <c r="D396" s="555"/>
      <c r="E396" s="555"/>
      <c r="F396" s="555"/>
      <c r="G396" s="555"/>
      <c r="H396" s="555"/>
      <c r="I396" s="555"/>
      <c r="J396" s="555"/>
      <c r="K396" s="555"/>
      <c r="L396" s="555"/>
      <c r="M396" s="555"/>
      <c r="N396" s="555"/>
    </row>
    <row r="397" spans="1:14" ht="18" customHeight="1" x14ac:dyDescent="0.3">
      <c r="A397" s="555"/>
      <c r="B397" s="555"/>
      <c r="C397" s="555"/>
      <c r="D397" s="555"/>
      <c r="E397" s="555"/>
      <c r="F397" s="555"/>
      <c r="G397" s="555"/>
      <c r="H397" s="555"/>
      <c r="I397" s="555"/>
      <c r="J397" s="555"/>
      <c r="K397" s="555"/>
      <c r="L397" s="555"/>
      <c r="M397" s="555"/>
      <c r="N397" s="555"/>
    </row>
    <row r="398" spans="1:14" ht="18" customHeight="1" x14ac:dyDescent="0.3">
      <c r="A398" s="555"/>
      <c r="B398" s="555"/>
      <c r="C398" s="555"/>
      <c r="D398" s="555"/>
      <c r="E398" s="555"/>
      <c r="F398" s="555"/>
      <c r="G398" s="555"/>
      <c r="H398" s="555"/>
      <c r="I398" s="555"/>
      <c r="J398" s="555"/>
      <c r="K398" s="555"/>
      <c r="L398" s="555"/>
      <c r="M398" s="555"/>
      <c r="N398" s="555"/>
    </row>
    <row r="399" spans="1:14" ht="18" customHeight="1" x14ac:dyDescent="0.3">
      <c r="A399" s="555"/>
      <c r="B399" s="555"/>
      <c r="C399" s="555"/>
      <c r="D399" s="555"/>
      <c r="E399" s="555"/>
      <c r="F399" s="555"/>
      <c r="G399" s="555"/>
      <c r="H399" s="555"/>
      <c r="I399" s="555"/>
      <c r="J399" s="555"/>
      <c r="K399" s="555"/>
      <c r="L399" s="555"/>
      <c r="M399" s="555"/>
      <c r="N399" s="555"/>
    </row>
    <row r="400" spans="1:14" ht="18" customHeight="1" x14ac:dyDescent="0.3">
      <c r="A400" s="555"/>
      <c r="B400" s="555"/>
      <c r="C400" s="555"/>
      <c r="D400" s="555"/>
      <c r="E400" s="555"/>
      <c r="F400" s="555"/>
      <c r="G400" s="555"/>
      <c r="H400" s="555"/>
      <c r="I400" s="555"/>
      <c r="J400" s="555"/>
      <c r="K400" s="555"/>
      <c r="L400" s="555"/>
      <c r="M400" s="555"/>
      <c r="N400" s="555"/>
    </row>
    <row r="401" spans="1:14" ht="18" customHeight="1" x14ac:dyDescent="0.3">
      <c r="A401" s="555"/>
      <c r="B401" s="555"/>
      <c r="C401" s="555"/>
      <c r="D401" s="555"/>
      <c r="E401" s="555"/>
      <c r="F401" s="555"/>
      <c r="G401" s="555"/>
      <c r="H401" s="555"/>
      <c r="I401" s="555"/>
      <c r="J401" s="555"/>
      <c r="K401" s="555"/>
      <c r="L401" s="555"/>
      <c r="M401" s="555"/>
      <c r="N401" s="555"/>
    </row>
    <row r="402" spans="1:14" ht="18" customHeight="1" x14ac:dyDescent="0.3">
      <c r="A402" s="555"/>
      <c r="B402" s="555"/>
      <c r="C402" s="555"/>
      <c r="D402" s="555"/>
      <c r="E402" s="555"/>
      <c r="F402" s="555"/>
      <c r="G402" s="555"/>
      <c r="H402" s="555"/>
      <c r="I402" s="555"/>
      <c r="J402" s="555"/>
      <c r="K402" s="555"/>
      <c r="L402" s="555"/>
      <c r="M402" s="555"/>
      <c r="N402" s="555"/>
    </row>
    <row r="403" spans="1:14" ht="18" customHeight="1" x14ac:dyDescent="0.3">
      <c r="A403" s="555"/>
      <c r="B403" s="555"/>
      <c r="C403" s="555"/>
      <c r="D403" s="555"/>
      <c r="E403" s="555"/>
      <c r="F403" s="555"/>
      <c r="G403" s="555"/>
      <c r="H403" s="555"/>
      <c r="I403" s="555"/>
      <c r="J403" s="555"/>
      <c r="K403" s="555"/>
      <c r="L403" s="555"/>
      <c r="M403" s="555"/>
      <c r="N403" s="555"/>
    </row>
    <row r="404" spans="1:14" ht="18" customHeight="1" x14ac:dyDescent="0.3">
      <c r="A404" s="555"/>
      <c r="B404" s="555"/>
      <c r="C404" s="555"/>
      <c r="D404" s="555"/>
      <c r="E404" s="555"/>
      <c r="F404" s="555"/>
      <c r="G404" s="555"/>
      <c r="H404" s="555"/>
      <c r="I404" s="555"/>
      <c r="J404" s="555"/>
      <c r="K404" s="555"/>
      <c r="L404" s="555"/>
      <c r="M404" s="555"/>
      <c r="N404" s="555"/>
    </row>
    <row r="405" spans="1:14" ht="18" customHeight="1" x14ac:dyDescent="0.3">
      <c r="A405" s="555"/>
      <c r="B405" s="555"/>
      <c r="C405" s="555"/>
      <c r="D405" s="555"/>
      <c r="E405" s="555"/>
      <c r="F405" s="555"/>
      <c r="G405" s="555"/>
      <c r="H405" s="555"/>
      <c r="I405" s="555"/>
      <c r="J405" s="555"/>
      <c r="K405" s="555"/>
      <c r="L405" s="555"/>
      <c r="M405" s="555"/>
      <c r="N405" s="555"/>
    </row>
    <row r="406" spans="1:14" ht="18" customHeight="1" x14ac:dyDescent="0.3">
      <c r="A406" s="555"/>
      <c r="B406" s="555"/>
      <c r="C406" s="555"/>
      <c r="D406" s="555"/>
      <c r="E406" s="555"/>
      <c r="F406" s="555"/>
      <c r="G406" s="555"/>
      <c r="H406" s="555"/>
      <c r="I406" s="555"/>
      <c r="J406" s="555"/>
      <c r="K406" s="555"/>
      <c r="L406" s="555"/>
      <c r="M406" s="555"/>
      <c r="N406" s="555"/>
    </row>
    <row r="407" spans="1:14" ht="18" customHeight="1" x14ac:dyDescent="0.3">
      <c r="A407" s="555"/>
      <c r="B407" s="555"/>
      <c r="C407" s="555"/>
      <c r="D407" s="555"/>
      <c r="E407" s="555"/>
      <c r="F407" s="555"/>
      <c r="G407" s="555"/>
      <c r="H407" s="555"/>
      <c r="I407" s="555"/>
      <c r="J407" s="555"/>
      <c r="K407" s="555"/>
      <c r="L407" s="555"/>
      <c r="M407" s="555"/>
      <c r="N407" s="555"/>
    </row>
    <row r="408" spans="1:14" ht="18" customHeight="1" x14ac:dyDescent="0.3">
      <c r="A408" s="555"/>
      <c r="B408" s="555"/>
      <c r="C408" s="555"/>
      <c r="D408" s="555"/>
      <c r="E408" s="555"/>
      <c r="F408" s="555"/>
      <c r="G408" s="555"/>
      <c r="H408" s="555"/>
      <c r="I408" s="555"/>
      <c r="J408" s="555"/>
      <c r="K408" s="555"/>
      <c r="L408" s="555"/>
      <c r="M408" s="555"/>
      <c r="N408" s="555"/>
    </row>
    <row r="409" spans="1:14" ht="18" customHeight="1" x14ac:dyDescent="0.3">
      <c r="A409" s="555"/>
      <c r="B409" s="555"/>
      <c r="C409" s="555"/>
      <c r="D409" s="555"/>
      <c r="E409" s="555"/>
      <c r="F409" s="555"/>
      <c r="G409" s="555"/>
      <c r="H409" s="555"/>
      <c r="I409" s="555"/>
      <c r="J409" s="555"/>
      <c r="K409" s="555"/>
      <c r="L409" s="555"/>
      <c r="M409" s="555"/>
      <c r="N409" s="555"/>
    </row>
    <row r="410" spans="1:14" ht="18" customHeight="1" x14ac:dyDescent="0.3">
      <c r="A410" s="555"/>
      <c r="B410" s="555"/>
      <c r="C410" s="555"/>
      <c r="D410" s="555"/>
      <c r="E410" s="555"/>
      <c r="F410" s="555"/>
      <c r="G410" s="555"/>
      <c r="H410" s="555"/>
      <c r="I410" s="555"/>
      <c r="J410" s="555"/>
      <c r="K410" s="555"/>
      <c r="L410" s="555"/>
      <c r="M410" s="555"/>
      <c r="N410" s="555"/>
    </row>
    <row r="411" spans="1:14" ht="18" customHeight="1" x14ac:dyDescent="0.3">
      <c r="A411" s="555"/>
      <c r="B411" s="555"/>
      <c r="C411" s="555"/>
      <c r="D411" s="555"/>
      <c r="E411" s="555"/>
      <c r="F411" s="555"/>
      <c r="G411" s="555"/>
      <c r="H411" s="555"/>
      <c r="I411" s="555"/>
      <c r="J411" s="555"/>
      <c r="K411" s="555"/>
      <c r="L411" s="555"/>
      <c r="M411" s="555"/>
      <c r="N411" s="555"/>
    </row>
    <row r="412" spans="1:14" ht="18" customHeight="1" x14ac:dyDescent="0.3">
      <c r="A412" s="555"/>
      <c r="B412" s="555"/>
      <c r="C412" s="555"/>
      <c r="D412" s="555"/>
      <c r="E412" s="555"/>
      <c r="F412" s="555"/>
      <c r="G412" s="555"/>
      <c r="H412" s="555"/>
      <c r="I412" s="555"/>
      <c r="J412" s="555"/>
      <c r="K412" s="555"/>
      <c r="L412" s="555"/>
      <c r="M412" s="555"/>
      <c r="N412" s="555"/>
    </row>
    <row r="413" spans="1:14" ht="18" customHeight="1" x14ac:dyDescent="0.3">
      <c r="A413" s="555"/>
      <c r="B413" s="555"/>
      <c r="C413" s="555"/>
      <c r="D413" s="555"/>
      <c r="E413" s="555"/>
      <c r="F413" s="555"/>
      <c r="G413" s="555"/>
      <c r="H413" s="555"/>
      <c r="I413" s="555"/>
      <c r="J413" s="555"/>
      <c r="K413" s="555"/>
      <c r="L413" s="555"/>
      <c r="M413" s="555"/>
      <c r="N413" s="555"/>
    </row>
    <row r="414" spans="1:14" ht="18" customHeight="1" x14ac:dyDescent="0.3">
      <c r="A414" s="555"/>
      <c r="B414" s="555"/>
      <c r="C414" s="555"/>
      <c r="D414" s="555"/>
      <c r="E414" s="555"/>
      <c r="F414" s="555"/>
      <c r="G414" s="555"/>
      <c r="H414" s="555"/>
      <c r="I414" s="555"/>
      <c r="J414" s="555"/>
      <c r="K414" s="555"/>
      <c r="L414" s="555"/>
      <c r="M414" s="555"/>
      <c r="N414" s="555"/>
    </row>
    <row r="415" spans="1:14" ht="18" customHeight="1" x14ac:dyDescent="0.3">
      <c r="A415" s="555"/>
      <c r="B415" s="555"/>
      <c r="C415" s="555"/>
      <c r="D415" s="555"/>
      <c r="E415" s="555"/>
      <c r="F415" s="555"/>
      <c r="G415" s="555"/>
      <c r="H415" s="555"/>
      <c r="I415" s="555"/>
      <c r="J415" s="555"/>
      <c r="K415" s="555"/>
      <c r="L415" s="555"/>
      <c r="M415" s="555"/>
      <c r="N415" s="555"/>
    </row>
    <row r="416" spans="1:14" ht="18" customHeight="1" x14ac:dyDescent="0.3">
      <c r="A416" s="555"/>
      <c r="B416" s="555"/>
      <c r="C416" s="555"/>
      <c r="D416" s="555"/>
      <c r="E416" s="555"/>
      <c r="F416" s="555"/>
      <c r="G416" s="555"/>
      <c r="H416" s="555"/>
      <c r="I416" s="555"/>
      <c r="J416" s="555"/>
      <c r="K416" s="555"/>
      <c r="L416" s="555"/>
      <c r="M416" s="555"/>
      <c r="N416" s="555"/>
    </row>
    <row r="417" spans="1:14" ht="18" customHeight="1" x14ac:dyDescent="0.3">
      <c r="A417" s="555"/>
      <c r="B417" s="555"/>
      <c r="C417" s="555"/>
      <c r="D417" s="555"/>
      <c r="E417" s="555"/>
      <c r="F417" s="555"/>
      <c r="G417" s="555"/>
      <c r="H417" s="555"/>
      <c r="I417" s="555"/>
      <c r="J417" s="555"/>
      <c r="K417" s="555"/>
      <c r="L417" s="555"/>
      <c r="M417" s="555"/>
      <c r="N417" s="555"/>
    </row>
    <row r="418" spans="1:14" ht="18" customHeight="1" x14ac:dyDescent="0.3">
      <c r="A418" s="555"/>
      <c r="B418" s="555"/>
      <c r="C418" s="555"/>
      <c r="D418" s="555"/>
      <c r="E418" s="555"/>
      <c r="F418" s="555"/>
      <c r="G418" s="555"/>
      <c r="H418" s="555"/>
      <c r="I418" s="555"/>
      <c r="J418" s="555"/>
      <c r="K418" s="555"/>
      <c r="L418" s="555"/>
      <c r="M418" s="555"/>
      <c r="N418" s="555"/>
    </row>
    <row r="419" spans="1:14" ht="18" customHeight="1" x14ac:dyDescent="0.3">
      <c r="A419" s="555"/>
      <c r="B419" s="555"/>
      <c r="C419" s="555"/>
      <c r="D419" s="555"/>
      <c r="E419" s="555"/>
      <c r="F419" s="555"/>
      <c r="G419" s="555"/>
      <c r="H419" s="555"/>
      <c r="I419" s="555"/>
      <c r="J419" s="555"/>
      <c r="K419" s="555"/>
      <c r="L419" s="555"/>
      <c r="M419" s="555"/>
      <c r="N419" s="555"/>
    </row>
    <row r="420" spans="1:14" ht="18" customHeight="1" x14ac:dyDescent="0.3">
      <c r="A420" s="555"/>
      <c r="B420" s="555"/>
      <c r="C420" s="555"/>
      <c r="D420" s="555"/>
      <c r="E420" s="555"/>
      <c r="F420" s="555"/>
      <c r="G420" s="555"/>
      <c r="H420" s="555"/>
      <c r="I420" s="555"/>
      <c r="J420" s="555"/>
      <c r="K420" s="555"/>
      <c r="L420" s="555"/>
      <c r="M420" s="555"/>
      <c r="N420" s="555"/>
    </row>
    <row r="421" spans="1:14" ht="18" customHeight="1" x14ac:dyDescent="0.3">
      <c r="A421" s="555"/>
      <c r="B421" s="555"/>
      <c r="C421" s="555"/>
      <c r="D421" s="555"/>
      <c r="E421" s="555"/>
      <c r="F421" s="555"/>
      <c r="G421" s="555"/>
      <c r="H421" s="555"/>
      <c r="I421" s="555"/>
      <c r="J421" s="555"/>
      <c r="K421" s="555"/>
      <c r="L421" s="555"/>
      <c r="M421" s="555"/>
      <c r="N421" s="555"/>
    </row>
    <row r="422" spans="1:14" ht="18" customHeight="1" x14ac:dyDescent="0.3">
      <c r="A422" s="555"/>
      <c r="B422" s="555"/>
      <c r="C422" s="555"/>
      <c r="D422" s="555"/>
      <c r="E422" s="555"/>
      <c r="F422" s="555"/>
      <c r="G422" s="555"/>
      <c r="H422" s="555"/>
      <c r="I422" s="555"/>
      <c r="J422" s="555"/>
      <c r="K422" s="555"/>
      <c r="L422" s="555"/>
      <c r="M422" s="555"/>
      <c r="N422" s="555"/>
    </row>
    <row r="423" spans="1:14" ht="18" customHeight="1" x14ac:dyDescent="0.3">
      <c r="A423" s="555"/>
      <c r="B423" s="555"/>
      <c r="C423" s="555"/>
      <c r="D423" s="555"/>
      <c r="E423" s="555"/>
      <c r="F423" s="555"/>
      <c r="G423" s="555"/>
      <c r="H423" s="555"/>
      <c r="I423" s="555"/>
      <c r="J423" s="555"/>
      <c r="K423" s="555"/>
      <c r="L423" s="555"/>
      <c r="M423" s="555"/>
      <c r="N423" s="555"/>
    </row>
    <row r="424" spans="1:14" ht="18" customHeight="1" x14ac:dyDescent="0.3">
      <c r="A424" s="555"/>
      <c r="B424" s="555"/>
      <c r="C424" s="555"/>
      <c r="D424" s="555"/>
      <c r="E424" s="555"/>
      <c r="F424" s="555"/>
      <c r="G424" s="555"/>
      <c r="H424" s="555"/>
      <c r="I424" s="555"/>
      <c r="J424" s="555"/>
      <c r="K424" s="555"/>
      <c r="L424" s="555"/>
      <c r="M424" s="555"/>
      <c r="N424" s="555"/>
    </row>
    <row r="425" spans="1:14" ht="18" customHeight="1" x14ac:dyDescent="0.3">
      <c r="A425" s="555"/>
      <c r="B425" s="555"/>
      <c r="C425" s="555"/>
      <c r="D425" s="555"/>
      <c r="E425" s="555"/>
      <c r="F425" s="555"/>
      <c r="G425" s="555"/>
      <c r="H425" s="555"/>
      <c r="I425" s="555"/>
      <c r="J425" s="555"/>
      <c r="K425" s="555"/>
      <c r="L425" s="555"/>
      <c r="M425" s="555"/>
      <c r="N425" s="555"/>
    </row>
    <row r="426" spans="1:14" ht="18" customHeight="1" x14ac:dyDescent="0.3">
      <c r="A426" s="555"/>
      <c r="B426" s="555"/>
      <c r="C426" s="555"/>
      <c r="D426" s="555"/>
      <c r="E426" s="555"/>
      <c r="F426" s="555"/>
      <c r="G426" s="555"/>
      <c r="H426" s="555"/>
      <c r="I426" s="555"/>
      <c r="J426" s="555"/>
      <c r="K426" s="555"/>
      <c r="L426" s="555"/>
      <c r="M426" s="555"/>
      <c r="N426" s="555"/>
    </row>
    <row r="427" spans="1:14" ht="18" customHeight="1" x14ac:dyDescent="0.3">
      <c r="A427" s="555"/>
      <c r="B427" s="555"/>
      <c r="C427" s="555"/>
      <c r="D427" s="555"/>
      <c r="E427" s="555"/>
      <c r="F427" s="555"/>
      <c r="G427" s="555"/>
      <c r="H427" s="555"/>
      <c r="I427" s="555"/>
      <c r="J427" s="555"/>
      <c r="K427" s="555"/>
      <c r="L427" s="555"/>
      <c r="M427" s="555"/>
      <c r="N427" s="555"/>
    </row>
    <row r="428" spans="1:14" ht="18" customHeight="1" x14ac:dyDescent="0.3">
      <c r="A428" s="555"/>
      <c r="B428" s="555"/>
      <c r="C428" s="555"/>
      <c r="D428" s="555"/>
      <c r="E428" s="555"/>
      <c r="F428" s="555"/>
      <c r="G428" s="555"/>
      <c r="H428" s="555"/>
      <c r="I428" s="555"/>
      <c r="J428" s="555"/>
      <c r="K428" s="555"/>
      <c r="L428" s="555"/>
      <c r="M428" s="555"/>
      <c r="N428" s="555"/>
    </row>
    <row r="429" spans="1:14" ht="18" customHeight="1" x14ac:dyDescent="0.3">
      <c r="A429" s="555"/>
      <c r="B429" s="555"/>
      <c r="C429" s="555"/>
      <c r="D429" s="555"/>
      <c r="E429" s="555"/>
      <c r="F429" s="555"/>
      <c r="G429" s="555"/>
      <c r="H429" s="555"/>
      <c r="I429" s="555"/>
      <c r="J429" s="555"/>
      <c r="K429" s="555"/>
      <c r="L429" s="555"/>
      <c r="M429" s="555"/>
      <c r="N429" s="555"/>
    </row>
    <row r="430" spans="1:14" ht="18" customHeight="1" x14ac:dyDescent="0.3">
      <c r="A430" s="555"/>
      <c r="B430" s="555"/>
      <c r="C430" s="555"/>
      <c r="D430" s="555"/>
      <c r="E430" s="555"/>
      <c r="F430" s="555"/>
      <c r="G430" s="555"/>
      <c r="H430" s="555"/>
      <c r="I430" s="555"/>
      <c r="J430" s="555"/>
      <c r="K430" s="555"/>
      <c r="L430" s="555"/>
      <c r="M430" s="555"/>
      <c r="N430" s="555"/>
    </row>
    <row r="431" spans="1:14" ht="18" customHeight="1" x14ac:dyDescent="0.3">
      <c r="A431" s="555"/>
      <c r="B431" s="555"/>
      <c r="C431" s="555"/>
      <c r="D431" s="555"/>
      <c r="E431" s="555"/>
      <c r="F431" s="555"/>
      <c r="G431" s="555"/>
      <c r="H431" s="555"/>
      <c r="I431" s="555"/>
      <c r="J431" s="555"/>
      <c r="K431" s="555"/>
      <c r="L431" s="555"/>
      <c r="M431" s="555"/>
      <c r="N431" s="555"/>
    </row>
    <row r="432" spans="1:14" ht="18" customHeight="1" x14ac:dyDescent="0.3">
      <c r="A432" s="555"/>
      <c r="B432" s="555"/>
      <c r="C432" s="555"/>
      <c r="D432" s="555"/>
      <c r="E432" s="555"/>
      <c r="F432" s="555"/>
      <c r="G432" s="555"/>
      <c r="H432" s="555"/>
      <c r="I432" s="555"/>
      <c r="J432" s="555"/>
      <c r="K432" s="555"/>
      <c r="L432" s="555"/>
      <c r="M432" s="555"/>
      <c r="N432" s="555"/>
    </row>
    <row r="433" spans="1:14" ht="18" customHeight="1" x14ac:dyDescent="0.3">
      <c r="A433" s="555"/>
      <c r="B433" s="555"/>
      <c r="C433" s="555"/>
      <c r="D433" s="555"/>
      <c r="E433" s="555"/>
      <c r="F433" s="555"/>
      <c r="G433" s="555"/>
      <c r="H433" s="555"/>
      <c r="I433" s="555"/>
      <c r="J433" s="555"/>
      <c r="K433" s="555"/>
      <c r="L433" s="555"/>
      <c r="M433" s="555"/>
      <c r="N433" s="555"/>
    </row>
    <row r="434" spans="1:14" ht="18" customHeight="1" x14ac:dyDescent="0.3">
      <c r="A434" s="555"/>
      <c r="B434" s="555"/>
      <c r="C434" s="555"/>
      <c r="D434" s="555"/>
      <c r="E434" s="555"/>
      <c r="F434" s="555"/>
      <c r="G434" s="555"/>
      <c r="H434" s="555"/>
      <c r="I434" s="555"/>
      <c r="J434" s="555"/>
      <c r="K434" s="555"/>
      <c r="L434" s="555"/>
      <c r="M434" s="555"/>
      <c r="N434" s="555"/>
    </row>
    <row r="435" spans="1:14" ht="18" customHeight="1" x14ac:dyDescent="0.3">
      <c r="A435" s="555"/>
      <c r="B435" s="555"/>
      <c r="C435" s="555"/>
      <c r="D435" s="555"/>
      <c r="E435" s="555"/>
      <c r="F435" s="555"/>
      <c r="G435" s="555"/>
      <c r="H435" s="555"/>
      <c r="I435" s="555"/>
      <c r="J435" s="555"/>
      <c r="K435" s="555"/>
      <c r="L435" s="555"/>
      <c r="M435" s="555"/>
      <c r="N435" s="555"/>
    </row>
    <row r="436" spans="1:14" ht="18" customHeight="1" x14ac:dyDescent="0.3">
      <c r="A436" s="555"/>
      <c r="B436" s="555"/>
      <c r="C436" s="555"/>
      <c r="D436" s="555"/>
      <c r="E436" s="555"/>
      <c r="F436" s="555"/>
      <c r="G436" s="555"/>
      <c r="H436" s="555"/>
      <c r="I436" s="555"/>
      <c r="J436" s="555"/>
      <c r="K436" s="555"/>
      <c r="L436" s="555"/>
      <c r="M436" s="555"/>
      <c r="N436" s="555"/>
    </row>
    <row r="437" spans="1:14" ht="18" customHeight="1" x14ac:dyDescent="0.3">
      <c r="A437" s="555"/>
      <c r="B437" s="555"/>
      <c r="C437" s="555"/>
      <c r="D437" s="555"/>
      <c r="E437" s="555"/>
      <c r="F437" s="555"/>
      <c r="G437" s="555"/>
      <c r="H437" s="555"/>
      <c r="I437" s="555"/>
      <c r="J437" s="555"/>
      <c r="K437" s="555"/>
      <c r="L437" s="555"/>
      <c r="M437" s="555"/>
      <c r="N437" s="555"/>
    </row>
    <row r="438" spans="1:14" ht="18" customHeight="1" x14ac:dyDescent="0.3">
      <c r="A438" s="555"/>
      <c r="B438" s="555"/>
      <c r="C438" s="555"/>
      <c r="D438" s="555"/>
      <c r="E438" s="555"/>
      <c r="F438" s="555"/>
      <c r="G438" s="555"/>
      <c r="H438" s="555"/>
      <c r="I438" s="555"/>
      <c r="J438" s="555"/>
      <c r="K438" s="555"/>
      <c r="L438" s="555"/>
      <c r="M438" s="555"/>
      <c r="N438" s="555"/>
    </row>
    <row r="439" spans="1:14" ht="18" customHeight="1" x14ac:dyDescent="0.3">
      <c r="A439" s="555"/>
      <c r="B439" s="555"/>
      <c r="C439" s="555"/>
      <c r="D439" s="555"/>
      <c r="E439" s="555"/>
      <c r="F439" s="555"/>
      <c r="G439" s="555"/>
      <c r="H439" s="555"/>
      <c r="I439" s="555"/>
      <c r="J439" s="555"/>
      <c r="K439" s="555"/>
      <c r="L439" s="555"/>
      <c r="M439" s="555"/>
      <c r="N439" s="555"/>
    </row>
    <row r="440" spans="1:14" ht="18" customHeight="1" x14ac:dyDescent="0.3">
      <c r="A440" s="555"/>
      <c r="B440" s="555"/>
      <c r="C440" s="555"/>
      <c r="D440" s="555"/>
      <c r="E440" s="555"/>
      <c r="F440" s="555"/>
      <c r="G440" s="555"/>
      <c r="H440" s="555"/>
      <c r="I440" s="555"/>
      <c r="J440" s="555"/>
      <c r="K440" s="555"/>
      <c r="L440" s="555"/>
      <c r="M440" s="555"/>
      <c r="N440" s="555"/>
    </row>
    <row r="441" spans="1:14" ht="18" customHeight="1" x14ac:dyDescent="0.3">
      <c r="A441" s="555"/>
      <c r="B441" s="555"/>
      <c r="C441" s="555"/>
      <c r="D441" s="555"/>
      <c r="E441" s="555"/>
      <c r="F441" s="555"/>
      <c r="G441" s="555"/>
      <c r="H441" s="555"/>
      <c r="I441" s="555"/>
      <c r="J441" s="555"/>
      <c r="K441" s="555"/>
      <c r="L441" s="555"/>
      <c r="M441" s="555"/>
      <c r="N441" s="555"/>
    </row>
    <row r="442" spans="1:14" ht="18" customHeight="1" x14ac:dyDescent="0.3">
      <c r="A442" s="555"/>
      <c r="B442" s="555"/>
      <c r="C442" s="555"/>
      <c r="D442" s="555"/>
      <c r="E442" s="555"/>
      <c r="F442" s="555"/>
      <c r="G442" s="555"/>
      <c r="H442" s="555"/>
      <c r="I442" s="555"/>
      <c r="J442" s="555"/>
      <c r="K442" s="555"/>
      <c r="L442" s="555"/>
      <c r="M442" s="555"/>
      <c r="N442" s="555"/>
    </row>
    <row r="443" spans="1:14" ht="18" customHeight="1" x14ac:dyDescent="0.3">
      <c r="A443" s="555"/>
      <c r="B443" s="555"/>
      <c r="C443" s="555"/>
      <c r="D443" s="555"/>
      <c r="E443" s="555"/>
      <c r="F443" s="555"/>
      <c r="G443" s="555"/>
      <c r="H443" s="555"/>
      <c r="I443" s="555"/>
      <c r="J443" s="555"/>
      <c r="K443" s="555"/>
      <c r="L443" s="555"/>
      <c r="M443" s="555"/>
      <c r="N443" s="555"/>
    </row>
    <row r="444" spans="1:14" ht="18" customHeight="1" x14ac:dyDescent="0.3">
      <c r="A444" s="555"/>
      <c r="B444" s="555"/>
      <c r="C444" s="555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</row>
    <row r="445" spans="1:14" ht="18" customHeight="1" x14ac:dyDescent="0.3">
      <c r="A445" s="555"/>
      <c r="B445" s="555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</row>
    <row r="446" spans="1:14" ht="18" customHeight="1" x14ac:dyDescent="0.3">
      <c r="A446" s="555"/>
      <c r="B446" s="555"/>
      <c r="C446" s="555"/>
      <c r="D446" s="555"/>
      <c r="E446" s="555"/>
      <c r="F446" s="555"/>
      <c r="G446" s="555"/>
      <c r="H446" s="555"/>
      <c r="I446" s="555"/>
      <c r="J446" s="555"/>
      <c r="K446" s="555"/>
      <c r="L446" s="555"/>
      <c r="M446" s="555"/>
      <c r="N446" s="555"/>
    </row>
    <row r="447" spans="1:14" ht="18" customHeight="1" x14ac:dyDescent="0.3">
      <c r="A447" s="555"/>
      <c r="B447" s="555"/>
      <c r="C447" s="555"/>
      <c r="D447" s="555"/>
      <c r="E447" s="555"/>
      <c r="F447" s="555"/>
      <c r="G447" s="555"/>
      <c r="H447" s="555"/>
      <c r="I447" s="555"/>
      <c r="J447" s="555"/>
      <c r="K447" s="555"/>
      <c r="L447" s="555"/>
      <c r="M447" s="555"/>
      <c r="N447" s="555"/>
    </row>
    <row r="448" spans="1:14" ht="18" customHeight="1" x14ac:dyDescent="0.3">
      <c r="A448" s="555"/>
      <c r="B448" s="555"/>
      <c r="C448" s="555"/>
      <c r="D448" s="555"/>
      <c r="E448" s="555"/>
      <c r="F448" s="555"/>
      <c r="G448" s="555"/>
      <c r="H448" s="555"/>
      <c r="I448" s="555"/>
      <c r="J448" s="555"/>
      <c r="K448" s="555"/>
      <c r="L448" s="555"/>
      <c r="M448" s="555"/>
      <c r="N448" s="555"/>
    </row>
    <row r="449" spans="1:14" ht="18" customHeight="1" x14ac:dyDescent="0.3">
      <c r="A449" s="555"/>
      <c r="B449" s="555"/>
      <c r="C449" s="555"/>
      <c r="D449" s="555"/>
      <c r="E449" s="555"/>
      <c r="F449" s="555"/>
      <c r="G449" s="555"/>
      <c r="H449" s="555"/>
      <c r="I449" s="555"/>
      <c r="J449" s="555"/>
      <c r="K449" s="555"/>
      <c r="L449" s="555"/>
      <c r="M449" s="555"/>
      <c r="N449" s="555"/>
    </row>
    <row r="450" spans="1:14" ht="18" customHeight="1" x14ac:dyDescent="0.3">
      <c r="A450" s="555"/>
      <c r="B450" s="555"/>
      <c r="C450" s="555"/>
      <c r="D450" s="555"/>
      <c r="E450" s="555"/>
      <c r="F450" s="555"/>
      <c r="G450" s="555"/>
      <c r="H450" s="555"/>
      <c r="I450" s="555"/>
      <c r="J450" s="555"/>
      <c r="K450" s="555"/>
      <c r="L450" s="555"/>
      <c r="M450" s="555"/>
      <c r="N450" s="555"/>
    </row>
    <row r="451" spans="1:14" ht="18" customHeight="1" x14ac:dyDescent="0.3">
      <c r="A451" s="555"/>
      <c r="B451" s="555"/>
      <c r="C451" s="555"/>
      <c r="D451" s="555"/>
      <c r="E451" s="555"/>
      <c r="F451" s="555"/>
      <c r="G451" s="555"/>
      <c r="H451" s="555"/>
      <c r="I451" s="555"/>
      <c r="J451" s="555"/>
      <c r="K451" s="555"/>
      <c r="L451" s="555"/>
      <c r="M451" s="555"/>
      <c r="N451" s="555"/>
    </row>
    <row r="452" spans="1:14" ht="18" customHeight="1" x14ac:dyDescent="0.3">
      <c r="A452" s="555"/>
      <c r="B452" s="555"/>
      <c r="C452" s="555"/>
      <c r="D452" s="555"/>
      <c r="E452" s="555"/>
      <c r="F452" s="555"/>
      <c r="G452" s="555"/>
      <c r="H452" s="555"/>
      <c r="I452" s="555"/>
      <c r="J452" s="555"/>
      <c r="K452" s="555"/>
      <c r="L452" s="555"/>
      <c r="M452" s="555"/>
      <c r="N452" s="555"/>
    </row>
    <row r="453" spans="1:14" ht="18" customHeight="1" x14ac:dyDescent="0.3">
      <c r="A453" s="555"/>
      <c r="B453" s="555"/>
      <c r="C453" s="555"/>
      <c r="D453" s="555"/>
      <c r="E453" s="555"/>
      <c r="F453" s="555"/>
      <c r="G453" s="555"/>
      <c r="H453" s="555"/>
      <c r="I453" s="555"/>
      <c r="J453" s="555"/>
      <c r="K453" s="555"/>
      <c r="L453" s="555"/>
      <c r="M453" s="555"/>
      <c r="N453" s="555"/>
    </row>
    <row r="454" spans="1:14" ht="18" customHeight="1" x14ac:dyDescent="0.3">
      <c r="A454" s="555"/>
      <c r="B454" s="555"/>
      <c r="C454" s="555"/>
      <c r="D454" s="555"/>
      <c r="E454" s="555"/>
      <c r="F454" s="555"/>
      <c r="G454" s="555"/>
      <c r="H454" s="555"/>
      <c r="I454" s="555"/>
      <c r="J454" s="555"/>
      <c r="K454" s="555"/>
      <c r="L454" s="555"/>
      <c r="M454" s="555"/>
      <c r="N454" s="555"/>
    </row>
    <row r="455" spans="1:14" ht="18" customHeight="1" x14ac:dyDescent="0.3">
      <c r="A455" s="555"/>
      <c r="B455" s="555"/>
      <c r="C455" s="555"/>
      <c r="D455" s="555"/>
      <c r="E455" s="555"/>
      <c r="F455" s="555"/>
      <c r="G455" s="555"/>
      <c r="H455" s="555"/>
      <c r="I455" s="555"/>
      <c r="J455" s="555"/>
      <c r="K455" s="555"/>
      <c r="L455" s="555"/>
      <c r="M455" s="555"/>
      <c r="N455" s="555"/>
    </row>
    <row r="456" spans="1:14" ht="18" customHeight="1" x14ac:dyDescent="0.3">
      <c r="A456" s="555"/>
      <c r="B456" s="555"/>
      <c r="C456" s="555"/>
      <c r="D456" s="555"/>
      <c r="E456" s="555"/>
      <c r="F456" s="555"/>
      <c r="G456" s="555"/>
      <c r="H456" s="555"/>
      <c r="I456" s="555"/>
      <c r="J456" s="555"/>
      <c r="K456" s="555"/>
      <c r="L456" s="555"/>
      <c r="M456" s="555"/>
      <c r="N456" s="555"/>
    </row>
    <row r="457" spans="1:14" ht="18" customHeight="1" x14ac:dyDescent="0.3">
      <c r="A457" s="555"/>
      <c r="B457" s="555"/>
      <c r="C457" s="555"/>
      <c r="D457" s="555"/>
      <c r="E457" s="555"/>
      <c r="F457" s="555"/>
      <c r="G457" s="555"/>
      <c r="H457" s="555"/>
      <c r="I457" s="555"/>
      <c r="J457" s="555"/>
      <c r="K457" s="555"/>
      <c r="L457" s="555"/>
      <c r="M457" s="555"/>
      <c r="N457" s="555"/>
    </row>
    <row r="458" spans="1:14" ht="18" customHeight="1" x14ac:dyDescent="0.3">
      <c r="A458" s="555"/>
      <c r="B458" s="555"/>
      <c r="C458" s="555"/>
      <c r="D458" s="555"/>
      <c r="E458" s="555"/>
      <c r="F458" s="555"/>
      <c r="G458" s="555"/>
      <c r="H458" s="555"/>
      <c r="I458" s="555"/>
      <c r="J458" s="555"/>
      <c r="K458" s="555"/>
      <c r="L458" s="555"/>
      <c r="M458" s="555"/>
      <c r="N458" s="555"/>
    </row>
    <row r="459" spans="1:14" ht="18" customHeight="1" x14ac:dyDescent="0.3">
      <c r="A459" s="555"/>
      <c r="B459" s="555"/>
      <c r="C459" s="555"/>
      <c r="D459" s="555"/>
      <c r="E459" s="555"/>
      <c r="F459" s="555"/>
      <c r="G459" s="555"/>
      <c r="H459" s="555"/>
      <c r="I459" s="555"/>
      <c r="J459" s="555"/>
      <c r="K459" s="555"/>
      <c r="L459" s="555"/>
      <c r="M459" s="555"/>
      <c r="N459" s="555"/>
    </row>
    <row r="460" spans="1:14" ht="18" customHeight="1" x14ac:dyDescent="0.3">
      <c r="A460" s="555"/>
      <c r="B460" s="555"/>
      <c r="C460" s="555"/>
      <c r="D460" s="555"/>
      <c r="E460" s="555"/>
      <c r="F460" s="555"/>
      <c r="G460" s="555"/>
      <c r="H460" s="555"/>
      <c r="I460" s="555"/>
      <c r="J460" s="555"/>
      <c r="K460" s="555"/>
      <c r="L460" s="555"/>
      <c r="M460" s="555"/>
      <c r="N460" s="555"/>
    </row>
    <row r="461" spans="1:14" ht="18" customHeight="1" x14ac:dyDescent="0.3">
      <c r="A461" s="555"/>
      <c r="B461" s="555"/>
      <c r="C461" s="555"/>
      <c r="D461" s="555"/>
      <c r="E461" s="555"/>
      <c r="F461" s="555"/>
      <c r="G461" s="555"/>
      <c r="H461" s="555"/>
      <c r="I461" s="555"/>
      <c r="J461" s="555"/>
      <c r="K461" s="555"/>
      <c r="L461" s="555"/>
      <c r="M461" s="555"/>
      <c r="N461" s="555"/>
    </row>
    <row r="462" spans="1:14" ht="18" customHeight="1" x14ac:dyDescent="0.3">
      <c r="A462" s="555"/>
      <c r="B462" s="555"/>
      <c r="C462" s="555"/>
      <c r="D462" s="555"/>
      <c r="E462" s="555"/>
      <c r="F462" s="555"/>
      <c r="G462" s="555"/>
      <c r="H462" s="555"/>
      <c r="I462" s="555"/>
      <c r="J462" s="555"/>
      <c r="K462" s="555"/>
      <c r="L462" s="555"/>
      <c r="M462" s="555"/>
      <c r="N462" s="555"/>
    </row>
    <row r="463" spans="1:14" ht="18" customHeight="1" x14ac:dyDescent="0.3">
      <c r="A463" s="555"/>
      <c r="B463" s="555"/>
      <c r="C463" s="555"/>
      <c r="D463" s="555"/>
      <c r="E463" s="555"/>
      <c r="F463" s="555"/>
      <c r="G463" s="555"/>
      <c r="H463" s="555"/>
      <c r="I463" s="555"/>
      <c r="J463" s="555"/>
      <c r="K463" s="555"/>
      <c r="L463" s="555"/>
      <c r="M463" s="555"/>
      <c r="N463" s="555"/>
    </row>
    <row r="464" spans="1:14" ht="18" customHeight="1" x14ac:dyDescent="0.3">
      <c r="A464" s="555"/>
      <c r="B464" s="555"/>
      <c r="C464" s="555"/>
      <c r="D464" s="555"/>
      <c r="E464" s="555"/>
      <c r="F464" s="555"/>
      <c r="G464" s="555"/>
      <c r="H464" s="555"/>
      <c r="I464" s="555"/>
      <c r="J464" s="555"/>
      <c r="K464" s="555"/>
      <c r="L464" s="555"/>
      <c r="M464" s="555"/>
      <c r="N464" s="555"/>
    </row>
    <row r="465" spans="1:14" ht="18" customHeight="1" x14ac:dyDescent="0.3">
      <c r="A465" s="555"/>
      <c r="B465" s="555"/>
      <c r="C465" s="555"/>
      <c r="D465" s="555"/>
      <c r="E465" s="555"/>
      <c r="F465" s="555"/>
      <c r="G465" s="555"/>
      <c r="H465" s="555"/>
      <c r="I465" s="555"/>
      <c r="J465" s="555"/>
      <c r="K465" s="555"/>
      <c r="L465" s="555"/>
      <c r="M465" s="555"/>
      <c r="N465" s="555"/>
    </row>
    <row r="466" spans="1:14" ht="18" customHeight="1" x14ac:dyDescent="0.3">
      <c r="A466" s="555"/>
      <c r="B466" s="555"/>
      <c r="C466" s="555"/>
      <c r="D466" s="555"/>
      <c r="E466" s="555"/>
      <c r="F466" s="555"/>
      <c r="G466" s="555"/>
      <c r="H466" s="555"/>
      <c r="I466" s="555"/>
      <c r="J466" s="555"/>
      <c r="K466" s="555"/>
      <c r="L466" s="555"/>
      <c r="M466" s="555"/>
      <c r="N466" s="555"/>
    </row>
    <row r="467" spans="1:14" ht="18" customHeight="1" x14ac:dyDescent="0.3">
      <c r="A467" s="555"/>
      <c r="B467" s="555"/>
      <c r="C467" s="555"/>
      <c r="D467" s="555"/>
      <c r="E467" s="555"/>
      <c r="F467" s="555"/>
      <c r="G467" s="555"/>
      <c r="H467" s="555"/>
      <c r="I467" s="555"/>
      <c r="J467" s="555"/>
      <c r="K467" s="555"/>
      <c r="L467" s="555"/>
      <c r="M467" s="555"/>
      <c r="N467" s="555"/>
    </row>
    <row r="468" spans="1:14" ht="18" customHeight="1" x14ac:dyDescent="0.3">
      <c r="A468" s="555"/>
      <c r="B468" s="555"/>
      <c r="C468" s="555"/>
      <c r="D468" s="555"/>
      <c r="E468" s="555"/>
      <c r="F468" s="555"/>
      <c r="G468" s="555"/>
      <c r="H468" s="555"/>
      <c r="I468" s="555"/>
      <c r="J468" s="555"/>
      <c r="K468" s="555"/>
      <c r="L468" s="555"/>
      <c r="M468" s="555"/>
      <c r="N468" s="555"/>
    </row>
    <row r="469" spans="1:14" ht="18" customHeight="1" x14ac:dyDescent="0.3">
      <c r="A469" s="555"/>
      <c r="B469" s="555"/>
      <c r="C469" s="555"/>
      <c r="D469" s="555"/>
      <c r="E469" s="555"/>
      <c r="F469" s="555"/>
      <c r="G469" s="555"/>
      <c r="H469" s="555"/>
      <c r="I469" s="555"/>
      <c r="J469" s="555"/>
      <c r="K469" s="555"/>
      <c r="L469" s="555"/>
      <c r="M469" s="555"/>
      <c r="N469" s="555"/>
    </row>
    <row r="470" spans="1:14" ht="18" customHeight="1" x14ac:dyDescent="0.3">
      <c r="A470" s="555"/>
      <c r="B470" s="555"/>
      <c r="C470" s="555"/>
      <c r="D470" s="555"/>
      <c r="E470" s="555"/>
      <c r="F470" s="555"/>
      <c r="G470" s="555"/>
      <c r="H470" s="555"/>
      <c r="I470" s="555"/>
      <c r="J470" s="555"/>
      <c r="K470" s="555"/>
      <c r="L470" s="555"/>
      <c r="M470" s="555"/>
      <c r="N470" s="555"/>
    </row>
    <row r="471" spans="1:14" ht="18" customHeight="1" x14ac:dyDescent="0.3">
      <c r="A471" s="555"/>
      <c r="B471" s="555"/>
      <c r="C471" s="555"/>
      <c r="D471" s="555"/>
      <c r="E471" s="555"/>
      <c r="F471" s="555"/>
      <c r="G471" s="555"/>
      <c r="H471" s="555"/>
      <c r="I471" s="555"/>
      <c r="J471" s="555"/>
      <c r="K471" s="555"/>
      <c r="L471" s="555"/>
      <c r="M471" s="555"/>
      <c r="N471" s="555"/>
    </row>
    <row r="472" spans="1:14" ht="18" customHeight="1" x14ac:dyDescent="0.3">
      <c r="A472" s="555"/>
      <c r="B472" s="555"/>
      <c r="C472" s="555"/>
      <c r="D472" s="555"/>
      <c r="E472" s="555"/>
      <c r="F472" s="555"/>
      <c r="G472" s="555"/>
      <c r="H472" s="555"/>
      <c r="I472" s="555"/>
      <c r="J472" s="555"/>
      <c r="K472" s="555"/>
      <c r="L472" s="555"/>
      <c r="M472" s="555"/>
      <c r="N472" s="555"/>
    </row>
    <row r="473" spans="1:14" ht="18" customHeight="1" x14ac:dyDescent="0.3">
      <c r="A473" s="555"/>
      <c r="B473" s="555"/>
      <c r="C473" s="555"/>
      <c r="D473" s="555"/>
      <c r="E473" s="555"/>
      <c r="F473" s="555"/>
      <c r="G473" s="555"/>
      <c r="H473" s="555"/>
      <c r="I473" s="555"/>
      <c r="J473" s="555"/>
      <c r="K473" s="555"/>
      <c r="L473" s="555"/>
      <c r="M473" s="555"/>
      <c r="N473" s="555"/>
    </row>
    <row r="474" spans="1:14" ht="18" customHeight="1" x14ac:dyDescent="0.3">
      <c r="A474" s="555"/>
      <c r="B474" s="555"/>
      <c r="C474" s="555"/>
      <c r="D474" s="555"/>
      <c r="E474" s="555"/>
      <c r="F474" s="555"/>
      <c r="G474" s="555"/>
      <c r="H474" s="555"/>
      <c r="I474" s="555"/>
      <c r="J474" s="555"/>
      <c r="K474" s="555"/>
      <c r="L474" s="555"/>
      <c r="M474" s="555"/>
      <c r="N474" s="555"/>
    </row>
    <row r="475" spans="1:14" ht="18" customHeight="1" x14ac:dyDescent="0.3">
      <c r="A475" s="555"/>
      <c r="B475" s="555"/>
      <c r="C475" s="555"/>
      <c r="D475" s="555"/>
      <c r="E475" s="555"/>
      <c r="F475" s="555"/>
      <c r="G475" s="555"/>
      <c r="H475" s="555"/>
      <c r="I475" s="555"/>
      <c r="J475" s="555"/>
      <c r="K475" s="555"/>
      <c r="L475" s="555"/>
      <c r="M475" s="555"/>
      <c r="N475" s="555"/>
    </row>
    <row r="476" spans="1:14" ht="18" customHeight="1" x14ac:dyDescent="0.3">
      <c r="A476" s="555"/>
      <c r="B476" s="555"/>
      <c r="C476" s="555"/>
      <c r="D476" s="555"/>
      <c r="E476" s="555"/>
      <c r="F476" s="555"/>
      <c r="G476" s="555"/>
      <c r="H476" s="555"/>
      <c r="I476" s="555"/>
      <c r="J476" s="555"/>
      <c r="K476" s="555"/>
      <c r="L476" s="555"/>
      <c r="M476" s="555"/>
      <c r="N476" s="555"/>
    </row>
    <row r="477" spans="1:14" ht="18" customHeight="1" x14ac:dyDescent="0.3">
      <c r="A477" s="555"/>
      <c r="B477" s="555"/>
      <c r="C477" s="555"/>
      <c r="D477" s="555"/>
      <c r="E477" s="555"/>
      <c r="F477" s="555"/>
      <c r="G477" s="555"/>
      <c r="H477" s="555"/>
      <c r="I477" s="555"/>
      <c r="J477" s="555"/>
      <c r="K477" s="555"/>
      <c r="L477" s="555"/>
      <c r="M477" s="555"/>
      <c r="N477" s="555"/>
    </row>
    <row r="478" spans="1:14" ht="18" customHeight="1" x14ac:dyDescent="0.3">
      <c r="A478" s="555"/>
      <c r="B478" s="555"/>
      <c r="C478" s="555"/>
      <c r="D478" s="555"/>
      <c r="E478" s="555"/>
      <c r="F478" s="555"/>
      <c r="G478" s="555"/>
      <c r="H478" s="555"/>
      <c r="I478" s="555"/>
      <c r="J478" s="555"/>
      <c r="K478" s="555"/>
      <c r="L478" s="555"/>
      <c r="M478" s="555"/>
      <c r="N478" s="555"/>
    </row>
    <row r="479" spans="1:14" ht="18" customHeight="1" x14ac:dyDescent="0.3">
      <c r="A479" s="555"/>
      <c r="B479" s="555"/>
      <c r="C479" s="555"/>
      <c r="D479" s="555"/>
      <c r="E479" s="555"/>
      <c r="F479" s="555"/>
      <c r="G479" s="555"/>
      <c r="H479" s="555"/>
      <c r="I479" s="555"/>
      <c r="J479" s="555"/>
      <c r="K479" s="555"/>
      <c r="L479" s="555"/>
      <c r="M479" s="555"/>
      <c r="N479" s="555"/>
    </row>
    <row r="480" spans="1:14" ht="18" customHeight="1" x14ac:dyDescent="0.3">
      <c r="A480" s="555"/>
      <c r="B480" s="555"/>
      <c r="C480" s="555"/>
      <c r="D480" s="555"/>
      <c r="E480" s="555"/>
      <c r="F480" s="555"/>
      <c r="G480" s="555"/>
      <c r="H480" s="555"/>
      <c r="I480" s="555"/>
      <c r="J480" s="555"/>
      <c r="K480" s="555"/>
      <c r="L480" s="555"/>
      <c r="M480" s="555"/>
      <c r="N480" s="555"/>
    </row>
    <row r="481" spans="1:14" ht="18" customHeight="1" x14ac:dyDescent="0.3">
      <c r="A481" s="555"/>
      <c r="B481" s="555"/>
      <c r="C481" s="555"/>
      <c r="D481" s="555"/>
      <c r="E481" s="555"/>
      <c r="F481" s="555"/>
      <c r="G481" s="555"/>
      <c r="H481" s="555"/>
      <c r="I481" s="555"/>
      <c r="J481" s="555"/>
      <c r="K481" s="555"/>
      <c r="L481" s="555"/>
      <c r="M481" s="555"/>
      <c r="N481" s="555"/>
    </row>
    <row r="482" spans="1:14" ht="18" customHeight="1" x14ac:dyDescent="0.3">
      <c r="A482" s="555"/>
      <c r="B482" s="555"/>
      <c r="C482" s="555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</row>
    <row r="483" spans="1:14" ht="18" customHeight="1" x14ac:dyDescent="0.3">
      <c r="A483" s="555"/>
      <c r="B483" s="555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</row>
    <row r="484" spans="1:14" ht="18" customHeight="1" x14ac:dyDescent="0.3">
      <c r="A484" s="555"/>
      <c r="B484" s="555"/>
      <c r="C484" s="555"/>
      <c r="D484" s="555"/>
      <c r="E484" s="555"/>
      <c r="F484" s="555"/>
      <c r="G484" s="555"/>
      <c r="H484" s="555"/>
      <c r="I484" s="555"/>
      <c r="J484" s="555"/>
      <c r="K484" s="555"/>
      <c r="L484" s="555"/>
      <c r="M484" s="555"/>
      <c r="N484" s="555"/>
    </row>
    <row r="485" spans="1:14" ht="18" customHeight="1" x14ac:dyDescent="0.3">
      <c r="A485" s="555"/>
      <c r="B485" s="555"/>
      <c r="C485" s="555"/>
      <c r="D485" s="555"/>
      <c r="E485" s="555"/>
      <c r="F485" s="555"/>
      <c r="G485" s="555"/>
      <c r="H485" s="555"/>
      <c r="I485" s="555"/>
      <c r="J485" s="555"/>
      <c r="K485" s="555"/>
      <c r="L485" s="555"/>
      <c r="M485" s="555"/>
      <c r="N485" s="555"/>
    </row>
    <row r="486" spans="1:14" ht="18" customHeight="1" x14ac:dyDescent="0.3">
      <c r="A486" s="555"/>
      <c r="B486" s="555"/>
      <c r="C486" s="555"/>
      <c r="D486" s="555"/>
      <c r="E486" s="555"/>
      <c r="F486" s="555"/>
      <c r="G486" s="555"/>
      <c r="H486" s="555"/>
      <c r="I486" s="555"/>
      <c r="J486" s="555"/>
      <c r="K486" s="555"/>
      <c r="L486" s="555"/>
      <c r="M486" s="555"/>
      <c r="N486" s="555"/>
    </row>
    <row r="487" spans="1:14" ht="18" customHeight="1" x14ac:dyDescent="0.3">
      <c r="A487" s="555"/>
      <c r="B487" s="555"/>
      <c r="C487" s="555"/>
      <c r="D487" s="555"/>
      <c r="E487" s="555"/>
      <c r="F487" s="555"/>
      <c r="G487" s="555"/>
      <c r="H487" s="555"/>
      <c r="I487" s="555"/>
      <c r="J487" s="555"/>
      <c r="K487" s="555"/>
      <c r="L487" s="555"/>
      <c r="M487" s="555"/>
      <c r="N487" s="555"/>
    </row>
    <row r="488" spans="1:14" ht="18" customHeight="1" x14ac:dyDescent="0.3">
      <c r="A488" s="555"/>
      <c r="B488" s="555"/>
      <c r="C488" s="555"/>
      <c r="D488" s="555"/>
      <c r="E488" s="555"/>
      <c r="F488" s="555"/>
      <c r="G488" s="555"/>
      <c r="H488" s="555"/>
      <c r="I488" s="555"/>
      <c r="J488" s="555"/>
      <c r="K488" s="555"/>
      <c r="L488" s="555"/>
      <c r="M488" s="555"/>
      <c r="N488" s="555"/>
    </row>
    <row r="489" spans="1:14" ht="18" customHeight="1" x14ac:dyDescent="0.3">
      <c r="A489" s="555"/>
      <c r="B489" s="555"/>
      <c r="C489" s="555"/>
      <c r="D489" s="555"/>
      <c r="E489" s="555"/>
      <c r="F489" s="555"/>
      <c r="G489" s="555"/>
      <c r="H489" s="555"/>
      <c r="I489" s="555"/>
      <c r="J489" s="555"/>
      <c r="K489" s="555"/>
      <c r="L489" s="555"/>
      <c r="M489" s="555"/>
      <c r="N489" s="555"/>
    </row>
    <row r="490" spans="1:14" ht="18" customHeight="1" x14ac:dyDescent="0.3">
      <c r="A490" s="555"/>
      <c r="B490" s="555"/>
      <c r="C490" s="555"/>
      <c r="D490" s="555"/>
      <c r="E490" s="555"/>
      <c r="F490" s="555"/>
      <c r="G490" s="555"/>
      <c r="H490" s="555"/>
      <c r="I490" s="555"/>
      <c r="J490" s="555"/>
      <c r="K490" s="555"/>
      <c r="L490" s="555"/>
      <c r="M490" s="555"/>
      <c r="N490" s="555"/>
    </row>
    <row r="491" spans="1:14" ht="18" customHeight="1" x14ac:dyDescent="0.3">
      <c r="A491" s="555"/>
      <c r="B491" s="555"/>
      <c r="C491" s="555"/>
      <c r="D491" s="555"/>
      <c r="E491" s="555"/>
      <c r="F491" s="555"/>
      <c r="G491" s="555"/>
      <c r="H491" s="555"/>
      <c r="I491" s="555"/>
      <c r="J491" s="555"/>
      <c r="K491" s="555"/>
      <c r="L491" s="555"/>
      <c r="M491" s="555"/>
      <c r="N491" s="555"/>
    </row>
    <row r="492" spans="1:14" ht="18" customHeight="1" x14ac:dyDescent="0.3">
      <c r="A492" s="555"/>
      <c r="B492" s="555"/>
      <c r="C492" s="555"/>
      <c r="D492" s="555"/>
      <c r="E492" s="555"/>
      <c r="F492" s="555"/>
      <c r="G492" s="555"/>
      <c r="H492" s="555"/>
      <c r="I492" s="555"/>
      <c r="J492" s="555"/>
      <c r="K492" s="555"/>
      <c r="L492" s="555"/>
      <c r="M492" s="555"/>
      <c r="N492" s="555"/>
    </row>
    <row r="493" spans="1:14" ht="18" customHeight="1" x14ac:dyDescent="0.3">
      <c r="A493" s="555"/>
      <c r="B493" s="555"/>
      <c r="C493" s="555"/>
      <c r="D493" s="555"/>
      <c r="E493" s="555"/>
      <c r="F493" s="555"/>
      <c r="G493" s="555"/>
      <c r="H493" s="555"/>
      <c r="I493" s="555"/>
      <c r="J493" s="555"/>
      <c r="K493" s="555"/>
      <c r="L493" s="555"/>
      <c r="M493" s="555"/>
      <c r="N493" s="555"/>
    </row>
    <row r="494" spans="1:14" ht="18" customHeight="1" x14ac:dyDescent="0.3">
      <c r="A494" s="555"/>
      <c r="B494" s="555"/>
      <c r="C494" s="555"/>
      <c r="D494" s="555"/>
      <c r="E494" s="555"/>
      <c r="F494" s="555"/>
      <c r="G494" s="555"/>
      <c r="H494" s="555"/>
      <c r="I494" s="555"/>
      <c r="J494" s="555"/>
      <c r="K494" s="555"/>
      <c r="L494" s="555"/>
      <c r="M494" s="555"/>
      <c r="N494" s="555"/>
    </row>
    <row r="495" spans="1:14" ht="18" customHeight="1" x14ac:dyDescent="0.3">
      <c r="A495" s="555"/>
      <c r="B495" s="555"/>
      <c r="C495" s="555"/>
      <c r="D495" s="555"/>
      <c r="E495" s="555"/>
      <c r="F495" s="555"/>
      <c r="G495" s="555"/>
      <c r="H495" s="555"/>
      <c r="I495" s="555"/>
      <c r="J495" s="555"/>
      <c r="K495" s="555"/>
      <c r="L495" s="555"/>
      <c r="M495" s="555"/>
      <c r="N495" s="555"/>
    </row>
    <row r="496" spans="1:14" ht="18" customHeight="1" x14ac:dyDescent="0.3">
      <c r="A496" s="555"/>
      <c r="B496" s="555"/>
      <c r="C496" s="555"/>
      <c r="D496" s="555"/>
      <c r="E496" s="555"/>
      <c r="F496" s="555"/>
      <c r="G496" s="555"/>
      <c r="H496" s="555"/>
      <c r="I496" s="555"/>
      <c r="J496" s="555"/>
      <c r="K496" s="555"/>
      <c r="L496" s="555"/>
      <c r="M496" s="555"/>
      <c r="N496" s="555"/>
    </row>
    <row r="497" spans="1:14" ht="18" customHeight="1" x14ac:dyDescent="0.3">
      <c r="A497" s="555"/>
      <c r="B497" s="555"/>
      <c r="C497" s="555"/>
      <c r="D497" s="555"/>
      <c r="E497" s="555"/>
      <c r="F497" s="555"/>
      <c r="G497" s="555"/>
      <c r="H497" s="555"/>
      <c r="I497" s="555"/>
      <c r="J497" s="555"/>
      <c r="K497" s="555"/>
      <c r="L497" s="555"/>
      <c r="M497" s="555"/>
      <c r="N497" s="555"/>
    </row>
    <row r="498" spans="1:14" ht="18" customHeight="1" x14ac:dyDescent="0.3">
      <c r="A498" s="555"/>
      <c r="B498" s="555"/>
      <c r="C498" s="555"/>
      <c r="D498" s="555"/>
      <c r="E498" s="555"/>
      <c r="F498" s="555"/>
      <c r="G498" s="555"/>
      <c r="H498" s="555"/>
      <c r="I498" s="555"/>
      <c r="J498" s="555"/>
      <c r="K498" s="555"/>
      <c r="L498" s="555"/>
      <c r="M498" s="555"/>
      <c r="N498" s="555"/>
    </row>
    <row r="499" spans="1:14" ht="18" customHeight="1" x14ac:dyDescent="0.3">
      <c r="A499" s="555"/>
      <c r="B499" s="555"/>
      <c r="C499" s="555"/>
      <c r="D499" s="555"/>
      <c r="E499" s="555"/>
      <c r="F499" s="555"/>
      <c r="G499" s="555"/>
      <c r="H499" s="555"/>
      <c r="I499" s="555"/>
      <c r="J499" s="555"/>
      <c r="K499" s="555"/>
      <c r="L499" s="555"/>
      <c r="M499" s="555"/>
      <c r="N499" s="555"/>
    </row>
    <row r="500" spans="1:14" ht="18" customHeight="1" x14ac:dyDescent="0.3">
      <c r="A500" s="555"/>
      <c r="B500" s="555"/>
      <c r="C500" s="555"/>
      <c r="D500" s="555"/>
      <c r="E500" s="555"/>
      <c r="F500" s="555"/>
      <c r="G500" s="555"/>
      <c r="H500" s="555"/>
      <c r="I500" s="555"/>
      <c r="J500" s="555"/>
      <c r="K500" s="555"/>
      <c r="L500" s="555"/>
      <c r="M500" s="555"/>
      <c r="N500" s="555"/>
    </row>
    <row r="501" spans="1:14" ht="18" customHeight="1" x14ac:dyDescent="0.3">
      <c r="A501" s="555"/>
      <c r="B501" s="555"/>
      <c r="C501" s="555"/>
      <c r="D501" s="555"/>
      <c r="E501" s="555"/>
      <c r="F501" s="555"/>
      <c r="G501" s="555"/>
      <c r="H501" s="555"/>
      <c r="I501" s="555"/>
      <c r="J501" s="555"/>
      <c r="K501" s="555"/>
      <c r="L501" s="555"/>
      <c r="M501" s="555"/>
      <c r="N501" s="555"/>
    </row>
    <row r="502" spans="1:14" ht="18" customHeight="1" x14ac:dyDescent="0.3">
      <c r="A502" s="555"/>
      <c r="B502" s="555"/>
      <c r="C502" s="555"/>
      <c r="D502" s="555"/>
      <c r="E502" s="555"/>
      <c r="F502" s="555"/>
      <c r="G502" s="555"/>
      <c r="H502" s="555"/>
      <c r="I502" s="555"/>
      <c r="J502" s="555"/>
      <c r="K502" s="555"/>
      <c r="L502" s="555"/>
      <c r="M502" s="555"/>
      <c r="N502" s="555"/>
    </row>
    <row r="503" spans="1:14" ht="18" customHeight="1" x14ac:dyDescent="0.3">
      <c r="A503" s="555"/>
      <c r="B503" s="555"/>
      <c r="C503" s="555"/>
      <c r="D503" s="555"/>
      <c r="E503" s="555"/>
      <c r="F503" s="555"/>
      <c r="G503" s="555"/>
      <c r="H503" s="555"/>
      <c r="I503" s="555"/>
      <c r="J503" s="555"/>
      <c r="K503" s="555"/>
      <c r="L503" s="555"/>
      <c r="M503" s="555"/>
      <c r="N503" s="555"/>
    </row>
    <row r="504" spans="1:14" ht="18" customHeight="1" x14ac:dyDescent="0.3">
      <c r="A504" s="555"/>
      <c r="B504" s="555"/>
      <c r="C504" s="555"/>
      <c r="D504" s="555"/>
      <c r="E504" s="555"/>
      <c r="F504" s="555"/>
      <c r="G504" s="555"/>
      <c r="H504" s="555"/>
      <c r="I504" s="555"/>
      <c r="J504" s="555"/>
      <c r="K504" s="555"/>
      <c r="L504" s="555"/>
      <c r="M504" s="555"/>
      <c r="N504" s="555"/>
    </row>
    <row r="505" spans="1:14" ht="18" customHeight="1" x14ac:dyDescent="0.3">
      <c r="A505" s="555"/>
      <c r="B505" s="555"/>
      <c r="C505" s="555"/>
      <c r="D505" s="555"/>
      <c r="E505" s="555"/>
      <c r="F505" s="555"/>
      <c r="G505" s="555"/>
      <c r="H505" s="555"/>
      <c r="I505" s="555"/>
      <c r="J505" s="555"/>
      <c r="K505" s="555"/>
      <c r="L505" s="555"/>
      <c r="M505" s="555"/>
      <c r="N505" s="555"/>
    </row>
    <row r="506" spans="1:14" ht="18" customHeight="1" x14ac:dyDescent="0.3">
      <c r="A506" s="555"/>
      <c r="B506" s="555"/>
      <c r="C506" s="555"/>
      <c r="D506" s="555"/>
      <c r="E506" s="555"/>
      <c r="F506" s="555"/>
      <c r="G506" s="555"/>
      <c r="H506" s="555"/>
      <c r="I506" s="555"/>
      <c r="J506" s="555"/>
      <c r="K506" s="555"/>
      <c r="L506" s="555"/>
      <c r="M506" s="555"/>
      <c r="N506" s="555"/>
    </row>
    <row r="507" spans="1:14" ht="18" customHeight="1" x14ac:dyDescent="0.3">
      <c r="A507" s="555"/>
      <c r="B507" s="555"/>
      <c r="C507" s="555"/>
      <c r="D507" s="555"/>
      <c r="E507" s="555"/>
      <c r="F507" s="555"/>
      <c r="G507" s="555"/>
      <c r="H507" s="555"/>
      <c r="I507" s="555"/>
      <c r="J507" s="555"/>
      <c r="K507" s="555"/>
      <c r="L507" s="555"/>
      <c r="M507" s="555"/>
      <c r="N507" s="555"/>
    </row>
    <row r="508" spans="1:14" ht="18" customHeight="1" x14ac:dyDescent="0.3">
      <c r="A508" s="555"/>
      <c r="B508" s="555"/>
      <c r="C508" s="555"/>
      <c r="D508" s="555"/>
      <c r="E508" s="555"/>
      <c r="F508" s="555"/>
      <c r="G508" s="555"/>
      <c r="H508" s="555"/>
      <c r="I508" s="555"/>
      <c r="J508" s="555"/>
      <c r="K508" s="555"/>
      <c r="L508" s="555"/>
      <c r="M508" s="555"/>
      <c r="N508" s="555"/>
    </row>
    <row r="509" spans="1:14" ht="18" customHeight="1" x14ac:dyDescent="0.3">
      <c r="A509" s="555"/>
      <c r="B509" s="555"/>
      <c r="C509" s="555"/>
      <c r="D509" s="555"/>
      <c r="E509" s="555"/>
      <c r="F509" s="555"/>
      <c r="G509" s="555"/>
      <c r="H509" s="555"/>
      <c r="I509" s="555"/>
      <c r="J509" s="555"/>
      <c r="K509" s="555"/>
      <c r="L509" s="555"/>
      <c r="M509" s="555"/>
      <c r="N509" s="555"/>
    </row>
    <row r="510" spans="1:14" ht="18" customHeight="1" x14ac:dyDescent="0.3">
      <c r="A510" s="555"/>
      <c r="B510" s="555"/>
      <c r="C510" s="555"/>
      <c r="D510" s="555"/>
      <c r="E510" s="555"/>
      <c r="F510" s="555"/>
      <c r="G510" s="555"/>
      <c r="H510" s="555"/>
      <c r="I510" s="555"/>
      <c r="J510" s="555"/>
      <c r="K510" s="555"/>
      <c r="L510" s="555"/>
      <c r="M510" s="555"/>
      <c r="N510" s="555"/>
    </row>
    <row r="511" spans="1:14" ht="18" customHeight="1" x14ac:dyDescent="0.3">
      <c r="A511" s="555"/>
      <c r="B511" s="555"/>
      <c r="C511" s="555"/>
      <c r="D511" s="555"/>
      <c r="E511" s="555"/>
      <c r="F511" s="555"/>
      <c r="G511" s="555"/>
      <c r="H511" s="555"/>
      <c r="I511" s="555"/>
      <c r="J511" s="555"/>
      <c r="K511" s="555"/>
      <c r="L511" s="555"/>
      <c r="M511" s="555"/>
      <c r="N511" s="555"/>
    </row>
    <row r="512" spans="1:14" ht="18" customHeight="1" x14ac:dyDescent="0.3">
      <c r="A512" s="555"/>
      <c r="B512" s="555"/>
      <c r="C512" s="555"/>
      <c r="D512" s="555"/>
      <c r="E512" s="555"/>
      <c r="F512" s="555"/>
      <c r="G512" s="555"/>
      <c r="H512" s="555"/>
      <c r="I512" s="555"/>
      <c r="J512" s="555"/>
      <c r="K512" s="555"/>
      <c r="L512" s="555"/>
      <c r="M512" s="555"/>
      <c r="N512" s="555"/>
    </row>
    <row r="513" spans="1:14" ht="18" customHeight="1" x14ac:dyDescent="0.3">
      <c r="A513" s="555"/>
      <c r="B513" s="555"/>
      <c r="C513" s="555"/>
      <c r="D513" s="555"/>
      <c r="E513" s="555"/>
      <c r="F513" s="555"/>
      <c r="G513" s="555"/>
      <c r="H513" s="555"/>
      <c r="I513" s="555"/>
      <c r="J513" s="555"/>
      <c r="K513" s="555"/>
      <c r="L513" s="555"/>
      <c r="M513" s="555"/>
      <c r="N513" s="555"/>
    </row>
    <row r="514" spans="1:14" ht="18" customHeight="1" x14ac:dyDescent="0.3">
      <c r="A514" s="555"/>
      <c r="B514" s="555"/>
      <c r="C514" s="555"/>
      <c r="D514" s="555"/>
      <c r="E514" s="555"/>
      <c r="F514" s="555"/>
      <c r="G514" s="555"/>
      <c r="H514" s="555"/>
      <c r="I514" s="555"/>
      <c r="J514" s="555"/>
      <c r="K514" s="555"/>
      <c r="L514" s="555"/>
      <c r="M514" s="555"/>
      <c r="N514" s="555"/>
    </row>
    <row r="515" spans="1:14" ht="18" customHeight="1" x14ac:dyDescent="0.3">
      <c r="A515" s="555"/>
      <c r="B515" s="555"/>
      <c r="C515" s="555"/>
      <c r="D515" s="555"/>
      <c r="E515" s="555"/>
      <c r="F515" s="555"/>
      <c r="G515" s="555"/>
      <c r="H515" s="555"/>
      <c r="I515" s="555"/>
      <c r="J515" s="555"/>
      <c r="K515" s="555"/>
      <c r="L515" s="555"/>
      <c r="M515" s="555"/>
      <c r="N515" s="555"/>
    </row>
    <row r="516" spans="1:14" ht="18" customHeight="1" x14ac:dyDescent="0.3">
      <c r="A516" s="555"/>
      <c r="B516" s="555"/>
      <c r="C516" s="555"/>
      <c r="D516" s="555"/>
      <c r="E516" s="555"/>
      <c r="F516" s="555"/>
      <c r="G516" s="555"/>
      <c r="H516" s="555"/>
      <c r="I516" s="555"/>
      <c r="J516" s="555"/>
      <c r="K516" s="555"/>
      <c r="L516" s="555"/>
      <c r="M516" s="555"/>
      <c r="N516" s="555"/>
    </row>
    <row r="517" spans="1:14" ht="18" customHeight="1" x14ac:dyDescent="0.3">
      <c r="A517" s="555"/>
      <c r="B517" s="555"/>
      <c r="C517" s="555"/>
      <c r="D517" s="555"/>
      <c r="E517" s="555"/>
      <c r="F517" s="555"/>
      <c r="G517" s="555"/>
      <c r="H517" s="555"/>
      <c r="I517" s="555"/>
      <c r="J517" s="555"/>
      <c r="K517" s="555"/>
      <c r="L517" s="555"/>
      <c r="M517" s="555"/>
      <c r="N517" s="555"/>
    </row>
    <row r="518" spans="1:14" ht="18" customHeight="1" x14ac:dyDescent="0.3">
      <c r="A518" s="555"/>
      <c r="B518" s="555"/>
      <c r="C518" s="555"/>
      <c r="D518" s="555"/>
      <c r="E518" s="555"/>
      <c r="F518" s="555"/>
      <c r="G518" s="555"/>
      <c r="H518" s="555"/>
      <c r="I518" s="555"/>
      <c r="J518" s="555"/>
      <c r="K518" s="555"/>
      <c r="L518" s="555"/>
      <c r="M518" s="555"/>
      <c r="N518" s="555"/>
    </row>
    <row r="519" spans="1:14" ht="18" customHeight="1" x14ac:dyDescent="0.3">
      <c r="A519" s="555"/>
      <c r="B519" s="555"/>
      <c r="C519" s="555"/>
      <c r="D519" s="555"/>
      <c r="E519" s="555"/>
      <c r="F519" s="555"/>
      <c r="G519" s="555"/>
      <c r="H519" s="555"/>
      <c r="I519" s="555"/>
      <c r="J519" s="555"/>
      <c r="K519" s="555"/>
      <c r="L519" s="555"/>
      <c r="M519" s="555"/>
      <c r="N519" s="555"/>
    </row>
    <row r="520" spans="1:14" ht="18" customHeight="1" x14ac:dyDescent="0.3">
      <c r="A520" s="555"/>
      <c r="B520" s="555"/>
      <c r="C520" s="555"/>
      <c r="D520" s="555"/>
      <c r="E520" s="555"/>
      <c r="F520" s="555"/>
      <c r="G520" s="555"/>
      <c r="H520" s="555"/>
      <c r="I520" s="555"/>
      <c r="J520" s="555"/>
      <c r="K520" s="555"/>
      <c r="L520" s="555"/>
      <c r="M520" s="555"/>
      <c r="N520" s="555"/>
    </row>
    <row r="521" spans="1:14" ht="18" customHeight="1" x14ac:dyDescent="0.3">
      <c r="A521" s="555"/>
      <c r="B521" s="555"/>
      <c r="C521" s="555"/>
      <c r="D521" s="555"/>
      <c r="E521" s="555"/>
      <c r="F521" s="555"/>
      <c r="G521" s="555"/>
      <c r="H521" s="555"/>
      <c r="I521" s="555"/>
      <c r="J521" s="555"/>
      <c r="K521" s="555"/>
      <c r="L521" s="555"/>
      <c r="M521" s="555"/>
      <c r="N521" s="555"/>
    </row>
    <row r="522" spans="1:14" ht="18" customHeight="1" x14ac:dyDescent="0.3">
      <c r="A522" s="555"/>
      <c r="B522" s="555"/>
      <c r="C522" s="555"/>
      <c r="D522" s="555"/>
      <c r="E522" s="555"/>
      <c r="F522" s="555"/>
      <c r="G522" s="555"/>
      <c r="H522" s="555"/>
      <c r="I522" s="555"/>
      <c r="J522" s="555"/>
      <c r="K522" s="555"/>
      <c r="L522" s="555"/>
      <c r="M522" s="555"/>
      <c r="N522" s="555"/>
    </row>
    <row r="523" spans="1:14" ht="18" customHeight="1" x14ac:dyDescent="0.3">
      <c r="A523" s="555"/>
      <c r="B523" s="555"/>
      <c r="C523" s="555"/>
      <c r="D523" s="555"/>
      <c r="E523" s="555"/>
      <c r="F523" s="555"/>
      <c r="G523" s="555"/>
      <c r="H523" s="555"/>
      <c r="I523" s="555"/>
      <c r="J523" s="555"/>
      <c r="K523" s="555"/>
      <c r="L523" s="555"/>
      <c r="M523" s="555"/>
      <c r="N523" s="555"/>
    </row>
    <row r="524" spans="1:14" ht="18" customHeight="1" x14ac:dyDescent="0.3">
      <c r="A524" s="555"/>
      <c r="B524" s="555"/>
      <c r="C524" s="555"/>
      <c r="D524" s="555"/>
      <c r="E524" s="555"/>
      <c r="F524" s="555"/>
      <c r="G524" s="555"/>
      <c r="H524" s="555"/>
      <c r="I524" s="555"/>
      <c r="J524" s="555"/>
      <c r="K524" s="555"/>
      <c r="L524" s="555"/>
      <c r="M524" s="555"/>
      <c r="N524" s="555"/>
    </row>
    <row r="525" spans="1:14" ht="18" customHeight="1" x14ac:dyDescent="0.3">
      <c r="A525" s="555"/>
      <c r="B525" s="555"/>
      <c r="C525" s="555"/>
      <c r="D525" s="555"/>
      <c r="E525" s="555"/>
      <c r="F525" s="555"/>
      <c r="G525" s="555"/>
      <c r="H525" s="555"/>
      <c r="I525" s="555"/>
      <c r="J525" s="555"/>
      <c r="K525" s="555"/>
      <c r="L525" s="555"/>
      <c r="M525" s="555"/>
      <c r="N525" s="555"/>
    </row>
    <row r="526" spans="1:14" ht="18" customHeight="1" x14ac:dyDescent="0.3">
      <c r="A526" s="555"/>
      <c r="B526" s="555"/>
      <c r="C526" s="555"/>
      <c r="D526" s="555"/>
      <c r="E526" s="555"/>
      <c r="F526" s="555"/>
      <c r="G526" s="555"/>
      <c r="H526" s="555"/>
      <c r="I526" s="555"/>
      <c r="J526" s="555"/>
      <c r="K526" s="555"/>
      <c r="L526" s="555"/>
      <c r="M526" s="555"/>
      <c r="N526" s="555"/>
    </row>
    <row r="527" spans="1:14" ht="18" customHeight="1" x14ac:dyDescent="0.3">
      <c r="A527" s="555"/>
      <c r="B527" s="555"/>
      <c r="C527" s="555"/>
      <c r="D527" s="555"/>
      <c r="E527" s="555"/>
      <c r="F527" s="555"/>
      <c r="G527" s="555"/>
      <c r="H527" s="555"/>
      <c r="I527" s="555"/>
      <c r="J527" s="555"/>
      <c r="K527" s="555"/>
      <c r="L527" s="555"/>
      <c r="M527" s="555"/>
      <c r="N527" s="555"/>
    </row>
    <row r="528" spans="1:14" ht="18" customHeight="1" x14ac:dyDescent="0.3">
      <c r="A528" s="555"/>
      <c r="B528" s="555"/>
      <c r="C528" s="555"/>
      <c r="D528" s="555"/>
      <c r="E528" s="555"/>
      <c r="F528" s="555"/>
      <c r="G528" s="555"/>
      <c r="H528" s="555"/>
      <c r="I528" s="555"/>
      <c r="J528" s="555"/>
      <c r="K528" s="555"/>
      <c r="L528" s="555"/>
      <c r="M528" s="555"/>
      <c r="N528" s="555"/>
    </row>
    <row r="529" spans="1:14" ht="18" customHeight="1" x14ac:dyDescent="0.3">
      <c r="A529" s="555"/>
      <c r="B529" s="555"/>
      <c r="C529" s="555"/>
      <c r="D529" s="555"/>
      <c r="E529" s="555"/>
      <c r="F529" s="555"/>
      <c r="G529" s="555"/>
      <c r="H529" s="555"/>
      <c r="I529" s="555"/>
      <c r="J529" s="555"/>
      <c r="K529" s="555"/>
      <c r="L529" s="555"/>
      <c r="M529" s="555"/>
      <c r="N529" s="555"/>
    </row>
    <row r="530" spans="1:14" ht="18" customHeight="1" x14ac:dyDescent="0.3">
      <c r="A530" s="555"/>
      <c r="B530" s="555"/>
      <c r="C530" s="555"/>
      <c r="D530" s="555"/>
      <c r="E530" s="555"/>
      <c r="F530" s="555"/>
      <c r="G530" s="555"/>
      <c r="H530" s="555"/>
      <c r="I530" s="555"/>
      <c r="J530" s="555"/>
      <c r="K530" s="555"/>
      <c r="L530" s="555"/>
      <c r="M530" s="555"/>
      <c r="N530" s="555"/>
    </row>
    <row r="531" spans="1:14" ht="18" customHeight="1" x14ac:dyDescent="0.3">
      <c r="A531" s="555"/>
      <c r="B531" s="555"/>
      <c r="C531" s="555"/>
      <c r="D531" s="555"/>
      <c r="E531" s="555"/>
      <c r="F531" s="555"/>
      <c r="G531" s="555"/>
      <c r="H531" s="555"/>
      <c r="I531" s="555"/>
      <c r="J531" s="555"/>
      <c r="K531" s="555"/>
      <c r="L531" s="555"/>
      <c r="M531" s="555"/>
      <c r="N531" s="555"/>
    </row>
    <row r="532" spans="1:14" ht="18" customHeight="1" x14ac:dyDescent="0.3">
      <c r="A532" s="555"/>
      <c r="B532" s="555"/>
      <c r="C532" s="555"/>
      <c r="D532" s="555"/>
      <c r="E532" s="555"/>
      <c r="F532" s="555"/>
      <c r="G532" s="555"/>
      <c r="H532" s="555"/>
      <c r="I532" s="555"/>
      <c r="J532" s="555"/>
      <c r="K532" s="555"/>
      <c r="L532" s="555"/>
      <c r="M532" s="555"/>
      <c r="N532" s="555"/>
    </row>
    <row r="533" spans="1:14" ht="18" customHeight="1" x14ac:dyDescent="0.3">
      <c r="A533" s="555"/>
      <c r="B533" s="555"/>
      <c r="C533" s="555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</row>
    <row r="534" spans="1:14" ht="18" customHeight="1" x14ac:dyDescent="0.3">
      <c r="A534" s="555"/>
      <c r="B534" s="555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</row>
    <row r="535" spans="1:14" ht="18" customHeight="1" x14ac:dyDescent="0.3">
      <c r="A535" s="555"/>
      <c r="B535" s="555"/>
      <c r="C535" s="555"/>
      <c r="D535" s="555"/>
      <c r="E535" s="555"/>
      <c r="F535" s="555"/>
      <c r="G535" s="555"/>
      <c r="H535" s="555"/>
      <c r="I535" s="555"/>
      <c r="J535" s="555"/>
      <c r="K535" s="555"/>
      <c r="L535" s="555"/>
      <c r="M535" s="555"/>
      <c r="N535" s="555"/>
    </row>
    <row r="536" spans="1:14" ht="18" customHeight="1" x14ac:dyDescent="0.3">
      <c r="A536" s="555"/>
      <c r="B536" s="555"/>
      <c r="C536" s="555"/>
      <c r="D536" s="555"/>
      <c r="E536" s="555"/>
      <c r="F536" s="555"/>
      <c r="G536" s="555"/>
      <c r="H536" s="555"/>
      <c r="I536" s="555"/>
      <c r="J536" s="555"/>
      <c r="K536" s="555"/>
      <c r="L536" s="555"/>
      <c r="M536" s="555"/>
      <c r="N536" s="555"/>
    </row>
    <row r="537" spans="1:14" ht="18" customHeight="1" x14ac:dyDescent="0.3">
      <c r="A537" s="555"/>
      <c r="B537" s="555"/>
      <c r="C537" s="555"/>
      <c r="D537" s="555"/>
      <c r="E537" s="555"/>
      <c r="F537" s="555"/>
      <c r="G537" s="555"/>
      <c r="H537" s="555"/>
      <c r="I537" s="555"/>
      <c r="J537" s="555"/>
      <c r="K537" s="555"/>
      <c r="L537" s="555"/>
      <c r="M537" s="555"/>
      <c r="N537" s="555"/>
    </row>
    <row r="538" spans="1:14" ht="18" customHeight="1" x14ac:dyDescent="0.3">
      <c r="A538" s="555"/>
      <c r="B538" s="555"/>
      <c r="C538" s="555"/>
      <c r="D538" s="555"/>
      <c r="E538" s="555"/>
      <c r="F538" s="555"/>
      <c r="G538" s="555"/>
      <c r="H538" s="555"/>
      <c r="I538" s="555"/>
      <c r="J538" s="555"/>
      <c r="K538" s="555"/>
      <c r="L538" s="555"/>
      <c r="M538" s="555"/>
      <c r="N538" s="555"/>
    </row>
    <row r="539" spans="1:14" ht="18" customHeight="1" x14ac:dyDescent="0.3">
      <c r="A539" s="555"/>
      <c r="B539" s="555"/>
      <c r="C539" s="555"/>
      <c r="D539" s="555"/>
      <c r="E539" s="555"/>
      <c r="F539" s="555"/>
      <c r="G539" s="555"/>
      <c r="H539" s="555"/>
      <c r="I539" s="555"/>
      <c r="J539" s="555"/>
      <c r="K539" s="555"/>
      <c r="L539" s="555"/>
      <c r="M539" s="555"/>
      <c r="N539" s="555"/>
    </row>
    <row r="540" spans="1:14" ht="18" customHeight="1" x14ac:dyDescent="0.3">
      <c r="A540" s="555"/>
      <c r="B540" s="555"/>
      <c r="C540" s="555"/>
      <c r="D540" s="555"/>
      <c r="E540" s="555"/>
      <c r="F540" s="555"/>
      <c r="G540" s="555"/>
      <c r="H540" s="555"/>
      <c r="I540" s="555"/>
      <c r="J540" s="555"/>
      <c r="K540" s="555"/>
      <c r="L540" s="555"/>
      <c r="M540" s="555"/>
      <c r="N540" s="555"/>
    </row>
    <row r="541" spans="1:14" ht="18" customHeight="1" x14ac:dyDescent="0.3">
      <c r="A541" s="555"/>
      <c r="B541" s="555"/>
      <c r="C541" s="555"/>
      <c r="D541" s="555"/>
      <c r="E541" s="555"/>
      <c r="F541" s="555"/>
      <c r="G541" s="555"/>
      <c r="H541" s="555"/>
      <c r="I541" s="555"/>
      <c r="J541" s="555"/>
      <c r="K541" s="555"/>
      <c r="L541" s="555"/>
      <c r="M541" s="555"/>
      <c r="N541" s="555"/>
    </row>
    <row r="542" spans="1:14" ht="18" customHeight="1" x14ac:dyDescent="0.3">
      <c r="A542" s="555"/>
      <c r="B542" s="555"/>
      <c r="C542" s="555"/>
      <c r="D542" s="555"/>
      <c r="E542" s="555"/>
      <c r="F542" s="555"/>
      <c r="G542" s="555"/>
      <c r="H542" s="555"/>
      <c r="I542" s="555"/>
      <c r="J542" s="555"/>
      <c r="K542" s="555"/>
      <c r="L542" s="555"/>
      <c r="M542" s="555"/>
      <c r="N542" s="555"/>
    </row>
    <row r="543" spans="1:14" ht="18" customHeight="1" x14ac:dyDescent="0.3">
      <c r="A543" s="555"/>
      <c r="B543" s="555"/>
      <c r="C543" s="555"/>
      <c r="D543" s="555"/>
      <c r="E543" s="555"/>
      <c r="F543" s="555"/>
      <c r="G543" s="555"/>
      <c r="H543" s="555"/>
      <c r="I543" s="555"/>
      <c r="J543" s="555"/>
      <c r="K543" s="555"/>
      <c r="L543" s="555"/>
      <c r="M543" s="555"/>
      <c r="N543" s="555"/>
    </row>
    <row r="544" spans="1:14" ht="18" customHeight="1" x14ac:dyDescent="0.3">
      <c r="A544" s="555"/>
      <c r="B544" s="555"/>
      <c r="C544" s="555"/>
      <c r="D544" s="555"/>
      <c r="E544" s="555"/>
      <c r="F544" s="555"/>
      <c r="G544" s="555"/>
      <c r="H544" s="555"/>
      <c r="I544" s="555"/>
      <c r="J544" s="555"/>
      <c r="K544" s="555"/>
      <c r="L544" s="555"/>
      <c r="M544" s="555"/>
      <c r="N544" s="555"/>
    </row>
    <row r="545" spans="1:14" ht="18" customHeight="1" x14ac:dyDescent="0.3">
      <c r="A545" s="555"/>
      <c r="B545" s="555"/>
      <c r="C545" s="555"/>
      <c r="D545" s="555"/>
      <c r="E545" s="555"/>
      <c r="F545" s="555"/>
      <c r="G545" s="555"/>
      <c r="H545" s="555"/>
      <c r="I545" s="555"/>
      <c r="J545" s="555"/>
      <c r="K545" s="555"/>
      <c r="L545" s="555"/>
      <c r="M545" s="555"/>
      <c r="N545" s="555"/>
    </row>
    <row r="546" spans="1:14" ht="18" customHeight="1" x14ac:dyDescent="0.3">
      <c r="A546" s="555"/>
      <c r="B546" s="555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</row>
    <row r="547" spans="1:14" ht="18" customHeight="1" x14ac:dyDescent="0.3">
      <c r="A547" s="555"/>
      <c r="B547" s="555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</row>
    <row r="548" spans="1:14" ht="18" customHeight="1" x14ac:dyDescent="0.3">
      <c r="A548" s="555"/>
      <c r="B548" s="555"/>
      <c r="C548" s="555"/>
      <c r="D548" s="555"/>
      <c r="E548" s="555"/>
      <c r="F548" s="555"/>
      <c r="G548" s="555"/>
      <c r="H548" s="555"/>
      <c r="I548" s="555"/>
      <c r="J548" s="555"/>
      <c r="K548" s="555"/>
      <c r="L548" s="555"/>
      <c r="M548" s="555"/>
      <c r="N548" s="555"/>
    </row>
    <row r="549" spans="1:14" ht="18" customHeight="1" x14ac:dyDescent="0.3">
      <c r="A549" s="555"/>
      <c r="B549" s="555"/>
      <c r="C549" s="555"/>
      <c r="D549" s="555"/>
      <c r="E549" s="555"/>
      <c r="F549" s="555"/>
      <c r="G549" s="555"/>
      <c r="H549" s="555"/>
      <c r="I549" s="555"/>
      <c r="J549" s="555"/>
      <c r="K549" s="555"/>
      <c r="L549" s="555"/>
      <c r="M549" s="555"/>
      <c r="N549" s="555"/>
    </row>
    <row r="550" spans="1:14" ht="18" customHeight="1" x14ac:dyDescent="0.3">
      <c r="A550" s="555"/>
      <c r="B550" s="555"/>
      <c r="C550" s="555"/>
      <c r="D550" s="555"/>
      <c r="E550" s="555"/>
      <c r="F550" s="555"/>
      <c r="G550" s="555"/>
      <c r="H550" s="555"/>
      <c r="I550" s="555"/>
      <c r="J550" s="555"/>
      <c r="K550" s="555"/>
      <c r="L550" s="555"/>
      <c r="M550" s="555"/>
      <c r="N550" s="555"/>
    </row>
    <row r="551" spans="1:14" ht="18" customHeight="1" x14ac:dyDescent="0.3">
      <c r="A551" s="555"/>
      <c r="B551" s="555"/>
      <c r="C551" s="555"/>
      <c r="D551" s="555"/>
      <c r="E551" s="555"/>
      <c r="F551" s="555"/>
      <c r="G551" s="555"/>
      <c r="H551" s="555"/>
      <c r="I551" s="555"/>
      <c r="J551" s="555"/>
      <c r="K551" s="555"/>
      <c r="L551" s="555"/>
      <c r="M551" s="555"/>
      <c r="N551" s="555"/>
    </row>
    <row r="552" spans="1:14" ht="18" customHeight="1" x14ac:dyDescent="0.3">
      <c r="A552" s="555"/>
      <c r="B552" s="555"/>
      <c r="C552" s="555"/>
      <c r="D552" s="555"/>
      <c r="E552" s="555"/>
      <c r="F552" s="555"/>
      <c r="G552" s="555"/>
      <c r="H552" s="555"/>
      <c r="I552" s="555"/>
      <c r="J552" s="555"/>
      <c r="K552" s="555"/>
      <c r="L552" s="555"/>
      <c r="M552" s="555"/>
      <c r="N552" s="555"/>
    </row>
    <row r="553" spans="1:14" ht="18" customHeight="1" x14ac:dyDescent="0.3">
      <c r="A553" s="555"/>
      <c r="B553" s="555"/>
      <c r="C553" s="555"/>
      <c r="D553" s="555"/>
      <c r="E553" s="555"/>
      <c r="F553" s="555"/>
      <c r="G553" s="555"/>
      <c r="H553" s="555"/>
      <c r="I553" s="555"/>
      <c r="J553" s="555"/>
      <c r="K553" s="555"/>
      <c r="L553" s="555"/>
      <c r="M553" s="555"/>
      <c r="N553" s="555"/>
    </row>
    <row r="554" spans="1:14" ht="18" customHeight="1" x14ac:dyDescent="0.3">
      <c r="A554" s="555"/>
      <c r="B554" s="555"/>
      <c r="C554" s="555"/>
      <c r="D554" s="555"/>
      <c r="E554" s="555"/>
      <c r="F554" s="555"/>
      <c r="G554" s="555"/>
      <c r="H554" s="555"/>
      <c r="I554" s="555"/>
      <c r="J554" s="555"/>
      <c r="K554" s="555"/>
      <c r="L554" s="555"/>
      <c r="M554" s="555"/>
      <c r="N554" s="555"/>
    </row>
    <row r="555" spans="1:14" ht="18" customHeight="1" x14ac:dyDescent="0.3">
      <c r="A555" s="555"/>
      <c r="B555" s="555"/>
      <c r="C555" s="555"/>
      <c r="D555" s="555"/>
      <c r="E555" s="555"/>
      <c r="F555" s="555"/>
      <c r="G555" s="555"/>
      <c r="H555" s="555"/>
      <c r="I555" s="555"/>
      <c r="J555" s="555"/>
      <c r="K555" s="555"/>
      <c r="L555" s="555"/>
      <c r="M555" s="555"/>
      <c r="N555" s="555"/>
    </row>
    <row r="556" spans="1:14" ht="18" customHeight="1" x14ac:dyDescent="0.3">
      <c r="A556" s="555"/>
      <c r="B556" s="555"/>
      <c r="C556" s="555"/>
      <c r="D556" s="555"/>
      <c r="E556" s="555"/>
      <c r="F556" s="555"/>
      <c r="G556" s="555"/>
      <c r="H556" s="555"/>
      <c r="I556" s="555"/>
      <c r="J556" s="555"/>
      <c r="K556" s="555"/>
      <c r="L556" s="555"/>
      <c r="M556" s="555"/>
      <c r="N556" s="555"/>
    </row>
    <row r="557" spans="1:14" ht="18" customHeight="1" x14ac:dyDescent="0.3">
      <c r="A557" s="555"/>
      <c r="B557" s="555"/>
      <c r="C557" s="555"/>
      <c r="D557" s="555"/>
      <c r="E557" s="555"/>
      <c r="F557" s="555"/>
      <c r="G557" s="555"/>
      <c r="H557" s="555"/>
      <c r="I557" s="555"/>
      <c r="J557" s="555"/>
      <c r="K557" s="555"/>
      <c r="L557" s="555"/>
      <c r="M557" s="555"/>
      <c r="N557" s="555"/>
    </row>
    <row r="558" spans="1:14" ht="18" customHeight="1" x14ac:dyDescent="0.3">
      <c r="A558" s="555"/>
      <c r="B558" s="555"/>
      <c r="C558" s="555"/>
      <c r="D558" s="555"/>
      <c r="E558" s="555"/>
      <c r="F558" s="555"/>
      <c r="G558" s="555"/>
      <c r="H558" s="555"/>
      <c r="I558" s="555"/>
      <c r="J558" s="555"/>
      <c r="K558" s="555"/>
      <c r="L558" s="555"/>
      <c r="M558" s="555"/>
      <c r="N558" s="555"/>
    </row>
    <row r="559" spans="1:14" ht="18" customHeight="1" x14ac:dyDescent="0.3">
      <c r="A559" s="555"/>
      <c r="B559" s="555"/>
      <c r="C559" s="555"/>
      <c r="D559" s="555"/>
      <c r="E559" s="555"/>
      <c r="F559" s="555"/>
      <c r="G559" s="555"/>
      <c r="H559" s="555"/>
      <c r="I559" s="555"/>
      <c r="J559" s="555"/>
      <c r="K559" s="555"/>
      <c r="L559" s="555"/>
      <c r="M559" s="555"/>
      <c r="N559" s="555"/>
    </row>
    <row r="560" spans="1:14" ht="18" customHeight="1" x14ac:dyDescent="0.3">
      <c r="A560" s="555"/>
      <c r="B560" s="555"/>
      <c r="C560" s="555"/>
      <c r="D560" s="555"/>
      <c r="E560" s="555"/>
      <c r="F560" s="555"/>
      <c r="G560" s="555"/>
      <c r="H560" s="555"/>
      <c r="I560" s="555"/>
      <c r="J560" s="555"/>
      <c r="K560" s="555"/>
      <c r="L560" s="555"/>
      <c r="M560" s="555"/>
      <c r="N560" s="555"/>
    </row>
    <row r="561" spans="1:14" ht="18" customHeight="1" x14ac:dyDescent="0.3">
      <c r="A561" s="555"/>
      <c r="B561" s="555"/>
      <c r="C561" s="555"/>
      <c r="D561" s="555"/>
      <c r="E561" s="555"/>
      <c r="F561" s="555"/>
      <c r="G561" s="555"/>
      <c r="H561" s="555"/>
      <c r="I561" s="555"/>
      <c r="J561" s="555"/>
      <c r="K561" s="555"/>
      <c r="L561" s="555"/>
      <c r="M561" s="555"/>
      <c r="N561" s="555"/>
    </row>
    <row r="562" spans="1:14" ht="18" customHeight="1" x14ac:dyDescent="0.3">
      <c r="A562" s="555"/>
      <c r="B562" s="555"/>
      <c r="C562" s="555"/>
      <c r="D562" s="555"/>
      <c r="E562" s="555"/>
      <c r="F562" s="555"/>
      <c r="G562" s="555"/>
      <c r="H562" s="555"/>
      <c r="I562" s="555"/>
      <c r="J562" s="555"/>
      <c r="K562" s="555"/>
      <c r="L562" s="555"/>
      <c r="M562" s="555"/>
      <c r="N562" s="555"/>
    </row>
    <row r="563" spans="1:14" ht="18" customHeight="1" x14ac:dyDescent="0.3">
      <c r="A563" s="555"/>
      <c r="B563" s="555"/>
      <c r="C563" s="555"/>
      <c r="D563" s="555"/>
      <c r="E563" s="555"/>
      <c r="F563" s="555"/>
      <c r="G563" s="555"/>
      <c r="H563" s="555"/>
      <c r="I563" s="555"/>
      <c r="J563" s="555"/>
      <c r="K563" s="555"/>
      <c r="L563" s="555"/>
      <c r="M563" s="555"/>
      <c r="N563" s="555"/>
    </row>
    <row r="564" spans="1:14" ht="18" customHeight="1" x14ac:dyDescent="0.3">
      <c r="A564" s="555"/>
      <c r="B564" s="555"/>
      <c r="C564" s="555"/>
      <c r="D564" s="555"/>
      <c r="E564" s="555"/>
      <c r="F564" s="555"/>
      <c r="G564" s="555"/>
      <c r="H564" s="555"/>
      <c r="I564" s="555"/>
      <c r="J564" s="555"/>
      <c r="K564" s="555"/>
      <c r="L564" s="555"/>
      <c r="M564" s="555"/>
      <c r="N564" s="555"/>
    </row>
    <row r="565" spans="1:14" ht="18" customHeight="1" x14ac:dyDescent="0.3">
      <c r="A565" s="555"/>
      <c r="B565" s="555"/>
      <c r="C565" s="555"/>
      <c r="D565" s="555"/>
      <c r="E565" s="555"/>
      <c r="F565" s="555"/>
      <c r="G565" s="555"/>
      <c r="H565" s="555"/>
      <c r="I565" s="555"/>
      <c r="J565" s="555"/>
      <c r="K565" s="555"/>
      <c r="L565" s="555"/>
      <c r="M565" s="555"/>
      <c r="N565" s="555"/>
    </row>
    <row r="566" spans="1:14" ht="18" customHeight="1" x14ac:dyDescent="0.3">
      <c r="A566" s="555"/>
      <c r="B566" s="555"/>
      <c r="C566" s="555"/>
      <c r="D566" s="555"/>
      <c r="E566" s="555"/>
      <c r="F566" s="555"/>
      <c r="G566" s="555"/>
      <c r="H566" s="555"/>
      <c r="I566" s="555"/>
      <c r="J566" s="555"/>
      <c r="K566" s="555"/>
      <c r="L566" s="555"/>
      <c r="M566" s="555"/>
      <c r="N566" s="555"/>
    </row>
    <row r="567" spans="1:14" ht="18" customHeight="1" x14ac:dyDescent="0.3">
      <c r="A567" s="555"/>
      <c r="B567" s="555"/>
      <c r="C567" s="555"/>
      <c r="D567" s="555"/>
      <c r="E567" s="555"/>
      <c r="F567" s="555"/>
      <c r="G567" s="555"/>
      <c r="H567" s="555"/>
      <c r="I567" s="555"/>
      <c r="J567" s="555"/>
      <c r="K567" s="555"/>
      <c r="L567" s="555"/>
      <c r="M567" s="555"/>
      <c r="N567" s="555"/>
    </row>
    <row r="568" spans="1:14" ht="18" customHeight="1" x14ac:dyDescent="0.3">
      <c r="A568" s="555"/>
      <c r="B568" s="555"/>
      <c r="C568" s="555"/>
      <c r="D568" s="555"/>
      <c r="E568" s="555"/>
      <c r="F568" s="555"/>
      <c r="G568" s="555"/>
      <c r="H568" s="555"/>
      <c r="I568" s="555"/>
      <c r="J568" s="555"/>
      <c r="K568" s="555"/>
      <c r="L568" s="555"/>
      <c r="M568" s="555"/>
      <c r="N568" s="555"/>
    </row>
    <row r="569" spans="1:14" ht="18" customHeight="1" x14ac:dyDescent="0.3">
      <c r="A569" s="555"/>
      <c r="B569" s="555"/>
      <c r="C569" s="555"/>
      <c r="D569" s="555"/>
      <c r="E569" s="555"/>
      <c r="F569" s="555"/>
      <c r="G569" s="555"/>
      <c r="H569" s="555"/>
      <c r="I569" s="555"/>
      <c r="J569" s="555"/>
      <c r="K569" s="555"/>
      <c r="L569" s="555"/>
      <c r="M569" s="555"/>
      <c r="N569" s="555"/>
    </row>
    <row r="570" spans="1:14" ht="18" customHeight="1" x14ac:dyDescent="0.3">
      <c r="A570" s="555"/>
      <c r="B570" s="555"/>
      <c r="C570" s="555"/>
      <c r="D570" s="555"/>
      <c r="E570" s="555"/>
      <c r="F570" s="555"/>
      <c r="G570" s="555"/>
      <c r="H570" s="555"/>
      <c r="I570" s="555"/>
      <c r="J570" s="555"/>
      <c r="K570" s="555"/>
      <c r="L570" s="555"/>
      <c r="M570" s="555"/>
      <c r="N570" s="555"/>
    </row>
    <row r="571" spans="1:14" ht="18" customHeight="1" x14ac:dyDescent="0.3">
      <c r="A571" s="555"/>
      <c r="B571" s="555"/>
      <c r="C571" s="555"/>
      <c r="D571" s="555"/>
      <c r="E571" s="555"/>
      <c r="F571" s="555"/>
      <c r="G571" s="555"/>
      <c r="H571" s="555"/>
      <c r="I571" s="555"/>
      <c r="J571" s="555"/>
      <c r="K571" s="555"/>
      <c r="L571" s="555"/>
      <c r="M571" s="555"/>
      <c r="N571" s="555"/>
    </row>
    <row r="572" spans="1:14" ht="18" customHeight="1" x14ac:dyDescent="0.3">
      <c r="A572" s="555"/>
      <c r="B572" s="555"/>
      <c r="C572" s="555"/>
      <c r="D572" s="555"/>
      <c r="E572" s="555"/>
      <c r="F572" s="555"/>
      <c r="G572" s="555"/>
      <c r="H572" s="555"/>
      <c r="I572" s="555"/>
      <c r="J572" s="555"/>
      <c r="K572" s="555"/>
      <c r="L572" s="555"/>
      <c r="M572" s="555"/>
      <c r="N572" s="555"/>
    </row>
    <row r="573" spans="1:14" ht="18" customHeight="1" x14ac:dyDescent="0.3">
      <c r="A573" s="555"/>
      <c r="B573" s="555"/>
      <c r="C573" s="555"/>
      <c r="D573" s="555"/>
      <c r="E573" s="555"/>
      <c r="F573" s="555"/>
      <c r="G573" s="555"/>
      <c r="H573" s="555"/>
      <c r="I573" s="555"/>
      <c r="J573" s="555"/>
      <c r="K573" s="555"/>
      <c r="L573" s="555"/>
      <c r="M573" s="555"/>
      <c r="N573" s="555"/>
    </row>
    <row r="574" spans="1:14" ht="18" customHeight="1" x14ac:dyDescent="0.3">
      <c r="A574" s="555"/>
      <c r="B574" s="555"/>
      <c r="C574" s="555"/>
      <c r="D574" s="555"/>
      <c r="E574" s="555"/>
      <c r="F574" s="555"/>
      <c r="G574" s="555"/>
      <c r="H574" s="555"/>
      <c r="I574" s="555"/>
      <c r="J574" s="555"/>
      <c r="K574" s="555"/>
      <c r="L574" s="555"/>
      <c r="M574" s="555"/>
      <c r="N574" s="555"/>
    </row>
    <row r="575" spans="1:14" ht="18" customHeight="1" x14ac:dyDescent="0.3">
      <c r="A575" s="555"/>
      <c r="B575" s="555"/>
      <c r="C575" s="555"/>
      <c r="D575" s="555"/>
      <c r="E575" s="555"/>
      <c r="F575" s="555"/>
      <c r="G575" s="555"/>
      <c r="H575" s="555"/>
      <c r="I575" s="555"/>
      <c r="J575" s="555"/>
      <c r="K575" s="555"/>
      <c r="L575" s="555"/>
      <c r="M575" s="555"/>
      <c r="N575" s="555"/>
    </row>
    <row r="576" spans="1:14" ht="18" customHeight="1" x14ac:dyDescent="0.3">
      <c r="A576" s="555"/>
      <c r="B576" s="555"/>
      <c r="C576" s="555"/>
      <c r="D576" s="555"/>
      <c r="E576" s="555"/>
      <c r="F576" s="555"/>
      <c r="G576" s="555"/>
      <c r="H576" s="555"/>
      <c r="I576" s="555"/>
      <c r="J576" s="555"/>
      <c r="K576" s="555"/>
      <c r="L576" s="555"/>
      <c r="M576" s="555"/>
      <c r="N576" s="555"/>
    </row>
    <row r="577" spans="1:14" ht="18" customHeight="1" x14ac:dyDescent="0.3">
      <c r="A577" s="555"/>
      <c r="B577" s="555"/>
      <c r="C577" s="555"/>
      <c r="D577" s="555"/>
      <c r="E577" s="555"/>
      <c r="F577" s="555"/>
      <c r="G577" s="555"/>
      <c r="H577" s="555"/>
      <c r="I577" s="555"/>
      <c r="J577" s="555"/>
      <c r="K577" s="555"/>
      <c r="L577" s="555"/>
      <c r="M577" s="555"/>
      <c r="N577" s="555"/>
    </row>
    <row r="578" spans="1:14" ht="18" customHeight="1" x14ac:dyDescent="0.3">
      <c r="A578" s="555"/>
      <c r="B578" s="555"/>
      <c r="C578" s="555"/>
      <c r="D578" s="555"/>
      <c r="E578" s="555"/>
      <c r="F578" s="555"/>
      <c r="G578" s="555"/>
      <c r="H578" s="555"/>
      <c r="I578" s="555"/>
      <c r="J578" s="555"/>
      <c r="K578" s="555"/>
      <c r="L578" s="555"/>
      <c r="M578" s="555"/>
      <c r="N578" s="555"/>
    </row>
    <row r="579" spans="1:14" ht="18" customHeight="1" x14ac:dyDescent="0.3">
      <c r="A579" s="555"/>
      <c r="B579" s="555"/>
      <c r="C579" s="555"/>
      <c r="D579" s="555"/>
      <c r="E579" s="555"/>
      <c r="F579" s="555"/>
      <c r="G579" s="555"/>
      <c r="H579" s="555"/>
      <c r="I579" s="555"/>
      <c r="J579" s="555"/>
      <c r="K579" s="555"/>
      <c r="L579" s="555"/>
      <c r="M579" s="555"/>
      <c r="N579" s="555"/>
    </row>
    <row r="580" spans="1:14" ht="18" customHeight="1" x14ac:dyDescent="0.3">
      <c r="A580" s="555"/>
      <c r="B580" s="555"/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</row>
    <row r="581" spans="1:14" ht="18" customHeight="1" x14ac:dyDescent="0.3">
      <c r="A581" s="555"/>
      <c r="B581" s="555"/>
      <c r="C581" s="555"/>
      <c r="D581" s="555"/>
      <c r="E581" s="555"/>
      <c r="F581" s="555"/>
      <c r="G581" s="555"/>
      <c r="H581" s="555"/>
      <c r="I581" s="555"/>
      <c r="J581" s="555"/>
      <c r="K581" s="555"/>
      <c r="L581" s="555"/>
      <c r="M581" s="555"/>
      <c r="N581" s="555"/>
    </row>
    <row r="582" spans="1:14" ht="18" customHeight="1" x14ac:dyDescent="0.3">
      <c r="A582" s="555"/>
      <c r="B582" s="555"/>
      <c r="C582" s="555"/>
      <c r="D582" s="555"/>
      <c r="E582" s="555"/>
      <c r="F582" s="555"/>
      <c r="G582" s="555"/>
      <c r="H582" s="555"/>
      <c r="I582" s="555"/>
      <c r="J582" s="555"/>
      <c r="K582" s="555"/>
      <c r="L582" s="555"/>
      <c r="M582" s="555"/>
      <c r="N582" s="555"/>
    </row>
    <row r="583" spans="1:14" ht="18" customHeight="1" x14ac:dyDescent="0.3">
      <c r="A583" s="555"/>
      <c r="B583" s="555"/>
      <c r="C583" s="555"/>
      <c r="D583" s="555"/>
      <c r="E583" s="555"/>
      <c r="F583" s="555"/>
      <c r="G583" s="555"/>
      <c r="H583" s="555"/>
      <c r="I583" s="555"/>
      <c r="J583" s="555"/>
      <c r="K583" s="555"/>
      <c r="L583" s="555"/>
      <c r="M583" s="555"/>
      <c r="N583" s="555"/>
    </row>
    <row r="584" spans="1:14" ht="18" customHeight="1" x14ac:dyDescent="0.3">
      <c r="A584" s="555"/>
      <c r="B584" s="555"/>
      <c r="C584" s="555"/>
      <c r="D584" s="555"/>
      <c r="E584" s="555"/>
      <c r="F584" s="555"/>
      <c r="G584" s="555"/>
      <c r="H584" s="555"/>
      <c r="I584" s="555"/>
      <c r="J584" s="555"/>
      <c r="K584" s="555"/>
      <c r="L584" s="555"/>
      <c r="M584" s="555"/>
      <c r="N584" s="555"/>
    </row>
    <row r="585" spans="1:14" ht="18" customHeight="1" x14ac:dyDescent="0.3">
      <c r="A585" s="555"/>
      <c r="B585" s="555"/>
      <c r="C585" s="555"/>
      <c r="D585" s="555"/>
      <c r="E585" s="555"/>
      <c r="F585" s="555"/>
      <c r="G585" s="555"/>
      <c r="H585" s="555"/>
      <c r="I585" s="555"/>
      <c r="J585" s="555"/>
      <c r="K585" s="555"/>
      <c r="L585" s="555"/>
      <c r="M585" s="555"/>
      <c r="N585" s="555"/>
    </row>
    <row r="586" spans="1:14" ht="18" customHeight="1" x14ac:dyDescent="0.3">
      <c r="A586" s="555"/>
      <c r="B586" s="555"/>
      <c r="C586" s="555"/>
      <c r="D586" s="555"/>
      <c r="E586" s="555"/>
      <c r="F586" s="555"/>
      <c r="G586" s="555"/>
      <c r="H586" s="555"/>
      <c r="I586" s="555"/>
      <c r="J586" s="555"/>
      <c r="K586" s="555"/>
      <c r="L586" s="555"/>
      <c r="M586" s="555"/>
      <c r="N586" s="555"/>
    </row>
    <row r="587" spans="1:14" ht="18" customHeight="1" x14ac:dyDescent="0.3">
      <c r="A587" s="555"/>
      <c r="B587" s="555"/>
      <c r="C587" s="555"/>
      <c r="D587" s="555"/>
      <c r="E587" s="555"/>
      <c r="F587" s="555"/>
      <c r="G587" s="555"/>
      <c r="H587" s="555"/>
      <c r="I587" s="555"/>
      <c r="J587" s="555"/>
      <c r="K587" s="555"/>
      <c r="L587" s="555"/>
      <c r="M587" s="555"/>
      <c r="N587" s="555"/>
    </row>
    <row r="588" spans="1:14" ht="18" customHeight="1" x14ac:dyDescent="0.3">
      <c r="A588" s="555"/>
      <c r="B588" s="555"/>
      <c r="C588" s="555"/>
      <c r="D588" s="555"/>
      <c r="E588" s="555"/>
      <c r="F588" s="555"/>
      <c r="G588" s="555"/>
      <c r="H588" s="555"/>
      <c r="I588" s="555"/>
      <c r="J588" s="555"/>
      <c r="K588" s="555"/>
      <c r="L588" s="555"/>
      <c r="M588" s="555"/>
      <c r="N588" s="555"/>
    </row>
    <row r="589" spans="1:14" ht="18" customHeight="1" x14ac:dyDescent="0.3">
      <c r="A589" s="555"/>
      <c r="B589" s="555"/>
      <c r="C589" s="555"/>
      <c r="D589" s="555"/>
      <c r="E589" s="555"/>
      <c r="F589" s="555"/>
      <c r="G589" s="555"/>
      <c r="H589" s="555"/>
      <c r="I589" s="555"/>
      <c r="J589" s="555"/>
      <c r="K589" s="555"/>
      <c r="L589" s="555"/>
      <c r="M589" s="555"/>
      <c r="N589" s="555"/>
    </row>
    <row r="590" spans="1:14" ht="18" customHeight="1" x14ac:dyDescent="0.3">
      <c r="A590" s="555"/>
      <c r="B590" s="555"/>
      <c r="C590" s="555"/>
      <c r="D590" s="555"/>
      <c r="E590" s="555"/>
      <c r="F590" s="555"/>
      <c r="G590" s="555"/>
      <c r="H590" s="555"/>
      <c r="I590" s="555"/>
      <c r="J590" s="555"/>
      <c r="K590" s="555"/>
      <c r="L590" s="555"/>
      <c r="M590" s="555"/>
      <c r="N590" s="555"/>
    </row>
    <row r="591" spans="1:14" ht="18" customHeight="1" x14ac:dyDescent="0.3">
      <c r="A591" s="555"/>
      <c r="B591" s="555"/>
      <c r="C591" s="555"/>
      <c r="D591" s="555"/>
      <c r="E591" s="555"/>
      <c r="F591" s="555"/>
      <c r="G591" s="555"/>
      <c r="H591" s="555"/>
      <c r="I591" s="555"/>
      <c r="J591" s="555"/>
      <c r="K591" s="555"/>
      <c r="L591" s="555"/>
      <c r="M591" s="555"/>
      <c r="N591" s="555"/>
    </row>
    <row r="592" spans="1:14" ht="18" customHeight="1" x14ac:dyDescent="0.3">
      <c r="A592" s="555"/>
      <c r="B592" s="555"/>
      <c r="C592" s="555"/>
      <c r="D592" s="555"/>
      <c r="E592" s="555"/>
      <c r="F592" s="555"/>
      <c r="G592" s="555"/>
      <c r="H592" s="555"/>
      <c r="I592" s="555"/>
      <c r="J592" s="555"/>
      <c r="K592" s="555"/>
      <c r="L592" s="555"/>
      <c r="M592" s="555"/>
      <c r="N592" s="555"/>
    </row>
    <row r="593" spans="1:14" ht="18" customHeight="1" x14ac:dyDescent="0.3">
      <c r="A593" s="555"/>
      <c r="B593" s="555"/>
      <c r="C593" s="555"/>
      <c r="D593" s="555"/>
      <c r="E593" s="555"/>
      <c r="F593" s="555"/>
      <c r="G593" s="555"/>
      <c r="H593" s="555"/>
      <c r="I593" s="555"/>
      <c r="J593" s="555"/>
      <c r="K593" s="555"/>
      <c r="L593" s="555"/>
      <c r="M593" s="555"/>
      <c r="N593" s="555"/>
    </row>
    <row r="594" spans="1:14" ht="18" customHeight="1" x14ac:dyDescent="0.3">
      <c r="A594" s="555"/>
      <c r="B594" s="555"/>
      <c r="C594" s="555"/>
      <c r="D594" s="555"/>
      <c r="E594" s="555"/>
      <c r="F594" s="555"/>
      <c r="G594" s="555"/>
      <c r="H594" s="555"/>
      <c r="I594" s="555"/>
      <c r="J594" s="555"/>
      <c r="K594" s="555"/>
      <c r="L594" s="555"/>
      <c r="M594" s="555"/>
      <c r="N594" s="555"/>
    </row>
    <row r="595" spans="1:14" ht="18" customHeight="1" x14ac:dyDescent="0.3">
      <c r="A595" s="555"/>
      <c r="B595" s="555"/>
      <c r="C595" s="555"/>
      <c r="D595" s="555"/>
      <c r="E595" s="555"/>
      <c r="F595" s="555"/>
      <c r="G595" s="555"/>
      <c r="H595" s="555"/>
      <c r="I595" s="555"/>
      <c r="J595" s="555"/>
      <c r="K595" s="555"/>
      <c r="L595" s="555"/>
      <c r="M595" s="555"/>
      <c r="N595" s="555"/>
    </row>
    <row r="596" spans="1:14" ht="18" customHeight="1" x14ac:dyDescent="0.3">
      <c r="A596" s="555"/>
      <c r="B596" s="555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</row>
    <row r="597" spans="1:14" ht="18" customHeight="1" x14ac:dyDescent="0.3">
      <c r="A597" s="555"/>
      <c r="B597" s="555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</row>
    <row r="598" spans="1:14" ht="18" customHeight="1" x14ac:dyDescent="0.3">
      <c r="A598" s="555"/>
      <c r="B598" s="555"/>
      <c r="C598" s="555"/>
      <c r="D598" s="555"/>
      <c r="E598" s="555"/>
      <c r="F598" s="555"/>
      <c r="G598" s="555"/>
      <c r="H598" s="555"/>
      <c r="I598" s="555"/>
      <c r="J598" s="555"/>
      <c r="K598" s="555"/>
      <c r="L598" s="555"/>
      <c r="M598" s="555"/>
      <c r="N598" s="555"/>
    </row>
    <row r="599" spans="1:14" ht="18" customHeight="1" x14ac:dyDescent="0.3">
      <c r="A599" s="555"/>
      <c r="B599" s="555"/>
      <c r="C599" s="555"/>
      <c r="D599" s="555"/>
      <c r="E599" s="555"/>
      <c r="F599" s="555"/>
      <c r="G599" s="555"/>
      <c r="H599" s="555"/>
      <c r="I599" s="555"/>
      <c r="J599" s="555"/>
      <c r="K599" s="555"/>
      <c r="L599" s="555"/>
      <c r="M599" s="555"/>
      <c r="N599" s="555"/>
    </row>
    <row r="600" spans="1:14" ht="18" customHeight="1" x14ac:dyDescent="0.3">
      <c r="A600" s="555"/>
      <c r="B600" s="555"/>
      <c r="C600" s="555"/>
      <c r="D600" s="555"/>
      <c r="E600" s="555"/>
      <c r="F600" s="555"/>
      <c r="G600" s="555"/>
      <c r="H600" s="555"/>
      <c r="I600" s="555"/>
      <c r="J600" s="555"/>
      <c r="K600" s="555"/>
      <c r="L600" s="555"/>
      <c r="M600" s="555"/>
      <c r="N600" s="555"/>
    </row>
    <row r="601" spans="1:14" ht="18" customHeight="1" x14ac:dyDescent="0.3">
      <c r="A601" s="555"/>
      <c r="B601" s="555"/>
      <c r="C601" s="555"/>
      <c r="D601" s="555"/>
      <c r="E601" s="555"/>
      <c r="F601" s="555"/>
      <c r="G601" s="555"/>
      <c r="H601" s="555"/>
      <c r="I601" s="555"/>
      <c r="J601" s="555"/>
      <c r="K601" s="555"/>
      <c r="L601" s="555"/>
      <c r="M601" s="555"/>
      <c r="N601" s="555"/>
    </row>
    <row r="602" spans="1:14" ht="18" customHeight="1" x14ac:dyDescent="0.3">
      <c r="A602" s="555"/>
      <c r="B602" s="555"/>
      <c r="C602" s="555"/>
      <c r="D602" s="555"/>
      <c r="E602" s="555"/>
      <c r="F602" s="555"/>
      <c r="G602" s="555"/>
      <c r="H602" s="555"/>
      <c r="I602" s="555"/>
      <c r="J602" s="555"/>
      <c r="K602" s="555"/>
      <c r="L602" s="555"/>
      <c r="M602" s="555"/>
      <c r="N602" s="555"/>
    </row>
    <row r="603" spans="1:14" ht="18" customHeight="1" x14ac:dyDescent="0.3">
      <c r="A603" s="555"/>
      <c r="B603" s="555"/>
      <c r="C603" s="555"/>
      <c r="D603" s="555"/>
      <c r="E603" s="555"/>
      <c r="F603" s="555"/>
      <c r="G603" s="555"/>
      <c r="H603" s="555"/>
      <c r="I603" s="555"/>
      <c r="J603" s="555"/>
      <c r="K603" s="555"/>
      <c r="L603" s="555"/>
      <c r="M603" s="555"/>
      <c r="N603" s="555"/>
    </row>
    <row r="604" spans="1:14" ht="18" customHeight="1" x14ac:dyDescent="0.3">
      <c r="A604" s="555"/>
      <c r="B604" s="555"/>
      <c r="C604" s="555"/>
      <c r="D604" s="555"/>
      <c r="E604" s="555"/>
      <c r="F604" s="555"/>
      <c r="G604" s="555"/>
      <c r="H604" s="555"/>
      <c r="I604" s="555"/>
      <c r="J604" s="555"/>
      <c r="K604" s="555"/>
      <c r="L604" s="555"/>
      <c r="M604" s="555"/>
      <c r="N604" s="555"/>
    </row>
    <row r="605" spans="1:14" ht="18" customHeight="1" x14ac:dyDescent="0.3">
      <c r="A605" s="555"/>
      <c r="B605" s="555"/>
      <c r="C605" s="555"/>
      <c r="D605" s="555"/>
      <c r="E605" s="555"/>
      <c r="F605" s="555"/>
      <c r="G605" s="555"/>
      <c r="H605" s="555"/>
      <c r="I605" s="555"/>
      <c r="J605" s="555"/>
      <c r="K605" s="555"/>
      <c r="L605" s="555"/>
      <c r="M605" s="555"/>
      <c r="N605" s="555"/>
    </row>
    <row r="606" spans="1:14" ht="18" customHeight="1" x14ac:dyDescent="0.3">
      <c r="A606" s="555"/>
      <c r="B606" s="555"/>
      <c r="C606" s="555"/>
      <c r="D606" s="555"/>
      <c r="E606" s="555"/>
      <c r="F606" s="555"/>
      <c r="G606" s="555"/>
      <c r="H606" s="555"/>
      <c r="I606" s="555"/>
      <c r="J606" s="555"/>
      <c r="K606" s="555"/>
      <c r="L606" s="555"/>
      <c r="M606" s="555"/>
      <c r="N606" s="555"/>
    </row>
    <row r="607" spans="1:14" ht="18" customHeight="1" x14ac:dyDescent="0.3">
      <c r="A607" s="555"/>
      <c r="B607" s="555"/>
      <c r="C607" s="555"/>
      <c r="D607" s="555"/>
      <c r="E607" s="555"/>
      <c r="F607" s="555"/>
      <c r="G607" s="555"/>
      <c r="H607" s="555"/>
      <c r="I607" s="555"/>
      <c r="J607" s="555"/>
      <c r="K607" s="555"/>
      <c r="L607" s="555"/>
      <c r="M607" s="555"/>
      <c r="N607" s="555"/>
    </row>
    <row r="608" spans="1:14" ht="18" customHeight="1" x14ac:dyDescent="0.3">
      <c r="A608" s="555"/>
      <c r="B608" s="555"/>
      <c r="C608" s="555"/>
      <c r="D608" s="555"/>
      <c r="E608" s="555"/>
      <c r="F608" s="555"/>
      <c r="G608" s="555"/>
      <c r="H608" s="555"/>
      <c r="I608" s="555"/>
      <c r="J608" s="555"/>
      <c r="K608" s="555"/>
      <c r="L608" s="555"/>
      <c r="M608" s="555"/>
      <c r="N608" s="555"/>
    </row>
    <row r="609" spans="1:14" ht="18" customHeight="1" x14ac:dyDescent="0.3">
      <c r="A609" s="555"/>
      <c r="B609" s="555"/>
      <c r="C609" s="555"/>
      <c r="D609" s="555"/>
      <c r="E609" s="555"/>
      <c r="F609" s="555"/>
      <c r="G609" s="555"/>
      <c r="H609" s="555"/>
      <c r="I609" s="555"/>
      <c r="J609" s="555"/>
      <c r="K609" s="555"/>
      <c r="L609" s="555"/>
      <c r="M609" s="555"/>
      <c r="N609" s="555"/>
    </row>
    <row r="610" spans="1:14" ht="18" customHeight="1" x14ac:dyDescent="0.3">
      <c r="A610" s="555"/>
      <c r="B610" s="555"/>
      <c r="C610" s="555"/>
      <c r="D610" s="555"/>
      <c r="E610" s="555"/>
      <c r="F610" s="555"/>
      <c r="G610" s="555"/>
      <c r="H610" s="555"/>
      <c r="I610" s="555"/>
      <c r="J610" s="555"/>
      <c r="K610" s="555"/>
      <c r="L610" s="555"/>
      <c r="M610" s="555"/>
      <c r="N610" s="555"/>
    </row>
    <row r="611" spans="1:14" ht="18" customHeight="1" x14ac:dyDescent="0.3">
      <c r="A611" s="555"/>
      <c r="B611" s="555"/>
      <c r="C611" s="555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</row>
    <row r="612" spans="1:14" ht="18" customHeight="1" x14ac:dyDescent="0.3">
      <c r="A612" s="555"/>
      <c r="B612" s="555"/>
      <c r="C612" s="555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</row>
    <row r="613" spans="1:14" ht="18" customHeight="1" x14ac:dyDescent="0.3">
      <c r="A613" s="555"/>
      <c r="B613" s="555"/>
      <c r="C613" s="555"/>
      <c r="D613" s="555"/>
      <c r="E613" s="555"/>
      <c r="F613" s="555"/>
      <c r="G613" s="555"/>
      <c r="H613" s="555"/>
      <c r="I613" s="555"/>
      <c r="J613" s="555"/>
      <c r="K613" s="555"/>
      <c r="L613" s="555"/>
      <c r="M613" s="555"/>
      <c r="N613" s="555"/>
    </row>
    <row r="614" spans="1:14" ht="18" customHeight="1" x14ac:dyDescent="0.3">
      <c r="A614" s="555"/>
      <c r="B614" s="555"/>
      <c r="C614" s="555"/>
      <c r="D614" s="555"/>
      <c r="E614" s="555"/>
      <c r="F614" s="555"/>
      <c r="G614" s="555"/>
      <c r="H614" s="555"/>
      <c r="I614" s="555"/>
      <c r="J614" s="555"/>
      <c r="K614" s="555"/>
      <c r="L614" s="555"/>
      <c r="M614" s="555"/>
      <c r="N614" s="555"/>
    </row>
    <row r="615" spans="1:14" ht="18" customHeight="1" x14ac:dyDescent="0.3">
      <c r="A615" s="555"/>
      <c r="B615" s="555"/>
      <c r="C615" s="555"/>
      <c r="D615" s="555"/>
      <c r="E615" s="555"/>
      <c r="F615" s="555"/>
      <c r="G615" s="555"/>
      <c r="H615" s="555"/>
      <c r="I615" s="555"/>
      <c r="J615" s="555"/>
      <c r="K615" s="555"/>
      <c r="L615" s="555"/>
      <c r="M615" s="555"/>
      <c r="N615" s="555"/>
    </row>
    <row r="616" spans="1:14" ht="18" customHeight="1" x14ac:dyDescent="0.3">
      <c r="A616" s="555"/>
      <c r="B616" s="555"/>
      <c r="C616" s="555"/>
      <c r="D616" s="555"/>
      <c r="E616" s="555"/>
      <c r="F616" s="555"/>
      <c r="G616" s="555"/>
      <c r="H616" s="555"/>
      <c r="I616" s="555"/>
      <c r="J616" s="555"/>
      <c r="K616" s="555"/>
      <c r="L616" s="555"/>
      <c r="M616" s="555"/>
      <c r="N616" s="555"/>
    </row>
    <row r="617" spans="1:14" ht="18" customHeight="1" x14ac:dyDescent="0.3">
      <c r="A617" s="555"/>
      <c r="B617" s="555"/>
      <c r="C617" s="555"/>
      <c r="D617" s="555"/>
      <c r="E617" s="555"/>
      <c r="F617" s="555"/>
      <c r="G617" s="555"/>
      <c r="H617" s="555"/>
      <c r="I617" s="555"/>
      <c r="J617" s="555"/>
      <c r="K617" s="555"/>
      <c r="L617" s="555"/>
      <c r="M617" s="555"/>
      <c r="N617" s="555"/>
    </row>
    <row r="618" spans="1:14" ht="18" customHeight="1" x14ac:dyDescent="0.3">
      <c r="A618" s="555"/>
      <c r="B618" s="555"/>
      <c r="C618" s="555"/>
      <c r="D618" s="555"/>
      <c r="E618" s="555"/>
      <c r="F618" s="555"/>
      <c r="G618" s="555"/>
      <c r="H618" s="555"/>
      <c r="I618" s="555"/>
      <c r="J618" s="555"/>
      <c r="K618" s="555"/>
      <c r="L618" s="555"/>
      <c r="M618" s="555"/>
      <c r="N618" s="555"/>
    </row>
    <row r="619" spans="1:14" ht="18" customHeight="1" x14ac:dyDescent="0.3">
      <c r="A619" s="555"/>
      <c r="B619" s="555"/>
      <c r="C619" s="555"/>
      <c r="D619" s="555"/>
      <c r="E619" s="555"/>
      <c r="F619" s="555"/>
      <c r="G619" s="555"/>
      <c r="H619" s="555"/>
      <c r="I619" s="555"/>
      <c r="J619" s="555"/>
      <c r="K619" s="555"/>
      <c r="L619" s="555"/>
      <c r="M619" s="555"/>
      <c r="N619" s="555"/>
    </row>
    <row r="620" spans="1:14" ht="18" customHeight="1" x14ac:dyDescent="0.3">
      <c r="A620" s="555"/>
      <c r="B620" s="555"/>
      <c r="C620" s="555"/>
      <c r="D620" s="555"/>
      <c r="E620" s="555"/>
      <c r="F620" s="555"/>
      <c r="G620" s="555"/>
      <c r="H620" s="555"/>
      <c r="I620" s="555"/>
      <c r="J620" s="555"/>
      <c r="K620" s="555"/>
      <c r="L620" s="555"/>
      <c r="M620" s="555"/>
      <c r="N620" s="555"/>
    </row>
    <row r="621" spans="1:14" ht="18" customHeight="1" x14ac:dyDescent="0.3">
      <c r="A621" s="555"/>
      <c r="B621" s="555"/>
      <c r="C621" s="555"/>
      <c r="D621" s="555"/>
      <c r="E621" s="555"/>
      <c r="F621" s="555"/>
      <c r="G621" s="555"/>
      <c r="H621" s="555"/>
      <c r="I621" s="555"/>
      <c r="J621" s="555"/>
      <c r="K621" s="555"/>
      <c r="L621" s="555"/>
      <c r="M621" s="555"/>
      <c r="N621" s="555"/>
    </row>
    <row r="622" spans="1:14" ht="18" customHeight="1" x14ac:dyDescent="0.3">
      <c r="A622" s="555"/>
      <c r="B622" s="555"/>
      <c r="C622" s="555"/>
      <c r="D622" s="555"/>
      <c r="E622" s="555"/>
      <c r="F622" s="555"/>
      <c r="G622" s="555"/>
      <c r="H622" s="555"/>
      <c r="I622" s="555"/>
      <c r="J622" s="555"/>
      <c r="K622" s="555"/>
      <c r="L622" s="555"/>
      <c r="M622" s="555"/>
      <c r="N622" s="555"/>
    </row>
    <row r="623" spans="1:14" ht="18" customHeight="1" x14ac:dyDescent="0.3">
      <c r="A623" s="555"/>
      <c r="B623" s="555"/>
      <c r="C623" s="555"/>
      <c r="D623" s="555"/>
      <c r="E623" s="555"/>
      <c r="F623" s="555"/>
      <c r="G623" s="555"/>
      <c r="H623" s="555"/>
      <c r="I623" s="555"/>
      <c r="J623" s="555"/>
      <c r="K623" s="555"/>
      <c r="L623" s="555"/>
      <c r="M623" s="555"/>
      <c r="N623" s="555"/>
    </row>
    <row r="624" spans="1:14" ht="18" customHeight="1" x14ac:dyDescent="0.3">
      <c r="A624" s="555"/>
      <c r="B624" s="555"/>
      <c r="C624" s="555"/>
      <c r="D624" s="555"/>
      <c r="E624" s="555"/>
      <c r="F624" s="555"/>
      <c r="G624" s="555"/>
      <c r="H624" s="555"/>
      <c r="I624" s="555"/>
      <c r="J624" s="555"/>
      <c r="K624" s="555"/>
      <c r="L624" s="555"/>
      <c r="M624" s="555"/>
      <c r="N624" s="555"/>
    </row>
    <row r="625" spans="1:14" ht="18" customHeight="1" x14ac:dyDescent="0.3">
      <c r="A625" s="555"/>
      <c r="B625" s="555"/>
      <c r="C625" s="555"/>
      <c r="D625" s="555"/>
      <c r="E625" s="555"/>
      <c r="F625" s="555"/>
      <c r="G625" s="555"/>
      <c r="H625" s="555"/>
      <c r="I625" s="555"/>
      <c r="J625" s="555"/>
      <c r="K625" s="555"/>
      <c r="L625" s="555"/>
      <c r="M625" s="555"/>
      <c r="N625" s="555"/>
    </row>
    <row r="626" spans="1:14" ht="18" customHeight="1" x14ac:dyDescent="0.3">
      <c r="A626" s="555"/>
      <c r="B626" s="555"/>
      <c r="C626" s="555"/>
      <c r="D626" s="555"/>
      <c r="E626" s="555"/>
      <c r="F626" s="555"/>
      <c r="G626" s="555"/>
      <c r="H626" s="555"/>
      <c r="I626" s="555"/>
      <c r="J626" s="555"/>
      <c r="K626" s="555"/>
      <c r="L626" s="555"/>
      <c r="M626" s="555"/>
      <c r="N626" s="555"/>
    </row>
    <row r="627" spans="1:14" ht="18" customHeight="1" x14ac:dyDescent="0.3">
      <c r="A627" s="555"/>
      <c r="B627" s="555"/>
      <c r="C627" s="555"/>
      <c r="D627" s="555"/>
      <c r="E627" s="555"/>
      <c r="F627" s="555"/>
      <c r="G627" s="555"/>
      <c r="H627" s="555"/>
      <c r="I627" s="555"/>
      <c r="J627" s="555"/>
      <c r="K627" s="555"/>
      <c r="L627" s="555"/>
      <c r="M627" s="555"/>
      <c r="N627" s="555"/>
    </row>
    <row r="628" spans="1:14" ht="18" customHeight="1" x14ac:dyDescent="0.3">
      <c r="A628" s="555"/>
      <c r="B628" s="555"/>
      <c r="C628" s="555"/>
      <c r="D628" s="555"/>
      <c r="E628" s="555"/>
      <c r="F628" s="555"/>
      <c r="G628" s="555"/>
      <c r="H628" s="555"/>
      <c r="I628" s="555"/>
      <c r="J628" s="555"/>
      <c r="K628" s="555"/>
      <c r="L628" s="555"/>
      <c r="M628" s="555"/>
      <c r="N628" s="555"/>
    </row>
    <row r="629" spans="1:14" ht="18" customHeight="1" x14ac:dyDescent="0.3">
      <c r="A629" s="555"/>
      <c r="B629" s="555"/>
      <c r="C629" s="555"/>
      <c r="D629" s="555"/>
      <c r="E629" s="555"/>
      <c r="F629" s="555"/>
      <c r="G629" s="555"/>
      <c r="H629" s="555"/>
      <c r="I629" s="555"/>
      <c r="J629" s="555"/>
      <c r="K629" s="555"/>
      <c r="L629" s="555"/>
      <c r="M629" s="555"/>
      <c r="N629" s="555"/>
    </row>
    <row r="630" spans="1:14" ht="18" customHeight="1" x14ac:dyDescent="0.3">
      <c r="A630" s="555"/>
      <c r="B630" s="555"/>
      <c r="C630" s="555"/>
      <c r="D630" s="555"/>
      <c r="E630" s="555"/>
      <c r="F630" s="555"/>
      <c r="G630" s="555"/>
      <c r="H630" s="555"/>
      <c r="I630" s="555"/>
      <c r="J630" s="555"/>
      <c r="K630" s="555"/>
      <c r="L630" s="555"/>
      <c r="M630" s="555"/>
      <c r="N630" s="555"/>
    </row>
    <row r="631" spans="1:14" ht="18" customHeight="1" x14ac:dyDescent="0.3">
      <c r="A631" s="555"/>
      <c r="B631" s="555"/>
      <c r="C631" s="555"/>
      <c r="D631" s="555"/>
      <c r="E631" s="555"/>
      <c r="F631" s="555"/>
      <c r="G631" s="555"/>
      <c r="H631" s="555"/>
      <c r="I631" s="555"/>
      <c r="J631" s="555"/>
      <c r="K631" s="555"/>
      <c r="L631" s="555"/>
      <c r="M631" s="555"/>
      <c r="N631" s="555"/>
    </row>
    <row r="632" spans="1:14" ht="18" customHeight="1" x14ac:dyDescent="0.3">
      <c r="A632" s="555"/>
      <c r="B632" s="555"/>
      <c r="C632" s="555"/>
      <c r="D632" s="555"/>
      <c r="E632" s="555"/>
      <c r="F632" s="555"/>
      <c r="G632" s="555"/>
      <c r="H632" s="555"/>
      <c r="I632" s="555"/>
      <c r="J632" s="555"/>
      <c r="K632" s="555"/>
      <c r="L632" s="555"/>
      <c r="M632" s="555"/>
      <c r="N632" s="555"/>
    </row>
    <row r="633" spans="1:14" ht="18" customHeight="1" x14ac:dyDescent="0.3">
      <c r="A633" s="555"/>
      <c r="B633" s="555"/>
      <c r="C633" s="555"/>
      <c r="D633" s="555"/>
      <c r="E633" s="555"/>
      <c r="F633" s="555"/>
      <c r="G633" s="555"/>
      <c r="H633" s="555"/>
      <c r="I633" s="555"/>
      <c r="J633" s="555"/>
      <c r="K633" s="555"/>
      <c r="L633" s="555"/>
      <c r="M633" s="555"/>
      <c r="N633" s="555"/>
    </row>
    <row r="634" spans="1:14" ht="18" customHeight="1" x14ac:dyDescent="0.3">
      <c r="A634" s="555"/>
      <c r="B634" s="555"/>
      <c r="C634" s="555"/>
      <c r="D634" s="555"/>
      <c r="E634" s="555"/>
      <c r="F634" s="555"/>
      <c r="G634" s="555"/>
      <c r="H634" s="555"/>
      <c r="I634" s="555"/>
      <c r="J634" s="555"/>
      <c r="K634" s="555"/>
      <c r="L634" s="555"/>
      <c r="M634" s="555"/>
      <c r="N634" s="555"/>
    </row>
    <row r="635" spans="1:14" ht="18" customHeight="1" x14ac:dyDescent="0.3">
      <c r="A635" s="555"/>
      <c r="B635" s="555"/>
      <c r="C635" s="555"/>
      <c r="D635" s="555"/>
      <c r="E635" s="555"/>
      <c r="F635" s="555"/>
      <c r="G635" s="555"/>
      <c r="H635" s="555"/>
      <c r="I635" s="555"/>
      <c r="J635" s="555"/>
      <c r="K635" s="555"/>
      <c r="L635" s="555"/>
      <c r="M635" s="555"/>
      <c r="N635" s="555"/>
    </row>
    <row r="636" spans="1:14" ht="18" customHeight="1" x14ac:dyDescent="0.3">
      <c r="A636" s="555"/>
      <c r="B636" s="555"/>
      <c r="C636" s="555"/>
      <c r="D636" s="555"/>
      <c r="E636" s="555"/>
      <c r="F636" s="555"/>
      <c r="G636" s="555"/>
      <c r="H636" s="555"/>
      <c r="I636" s="555"/>
      <c r="J636" s="555"/>
      <c r="K636" s="555"/>
      <c r="L636" s="555"/>
      <c r="M636" s="555"/>
      <c r="N636" s="555"/>
    </row>
    <row r="637" spans="1:14" ht="18" customHeight="1" x14ac:dyDescent="0.3">
      <c r="A637" s="555"/>
      <c r="B637" s="555"/>
      <c r="C637" s="555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</row>
    <row r="638" spans="1:14" ht="18" customHeight="1" x14ac:dyDescent="0.3">
      <c r="A638" s="555"/>
      <c r="B638" s="555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</row>
    <row r="639" spans="1:14" ht="18" customHeight="1" x14ac:dyDescent="0.3">
      <c r="A639" s="555"/>
      <c r="B639" s="555"/>
      <c r="C639" s="555"/>
      <c r="D639" s="555"/>
      <c r="E639" s="555"/>
      <c r="F639" s="555"/>
      <c r="G639" s="555"/>
      <c r="H639" s="555"/>
      <c r="I639" s="555"/>
      <c r="J639" s="555"/>
      <c r="K639" s="555"/>
      <c r="L639" s="555"/>
      <c r="M639" s="555"/>
      <c r="N639" s="555"/>
    </row>
    <row r="640" spans="1:14" ht="18" customHeight="1" x14ac:dyDescent="0.3">
      <c r="A640" s="555"/>
      <c r="B640" s="555"/>
      <c r="C640" s="555"/>
      <c r="D640" s="555"/>
      <c r="E640" s="555"/>
      <c r="F640" s="555"/>
      <c r="G640" s="555"/>
      <c r="H640" s="555"/>
      <c r="I640" s="555"/>
      <c r="J640" s="555"/>
      <c r="K640" s="555"/>
      <c r="L640" s="555"/>
      <c r="M640" s="555"/>
      <c r="N640" s="555"/>
    </row>
    <row r="641" spans="1:14" ht="18" customHeight="1" x14ac:dyDescent="0.3">
      <c r="A641" s="555"/>
      <c r="B641" s="555"/>
      <c r="C641" s="555"/>
      <c r="D641" s="555"/>
      <c r="E641" s="555"/>
      <c r="F641" s="555"/>
      <c r="G641" s="555"/>
      <c r="H641" s="555"/>
      <c r="I641" s="555"/>
      <c r="J641" s="555"/>
      <c r="K641" s="555"/>
      <c r="L641" s="555"/>
      <c r="M641" s="555"/>
      <c r="N641" s="555"/>
    </row>
    <row r="642" spans="1:14" ht="18" customHeight="1" x14ac:dyDescent="0.3">
      <c r="A642" s="555"/>
      <c r="B642" s="555"/>
      <c r="C642" s="555"/>
      <c r="D642" s="555"/>
      <c r="E642" s="555"/>
      <c r="F642" s="555"/>
      <c r="G642" s="555"/>
      <c r="H642" s="555"/>
      <c r="I642" s="555"/>
      <c r="J642" s="555"/>
      <c r="K642" s="555"/>
      <c r="L642" s="555"/>
      <c r="M642" s="555"/>
      <c r="N642" s="555"/>
    </row>
    <row r="643" spans="1:14" ht="18" customHeight="1" x14ac:dyDescent="0.3">
      <c r="A643" s="555"/>
      <c r="B643" s="555"/>
      <c r="C643" s="555"/>
      <c r="D643" s="555"/>
      <c r="E643" s="555"/>
      <c r="F643" s="555"/>
      <c r="G643" s="555"/>
      <c r="H643" s="555"/>
      <c r="I643" s="555"/>
      <c r="J643" s="555"/>
      <c r="K643" s="555"/>
      <c r="L643" s="555"/>
      <c r="M643" s="555"/>
      <c r="N643" s="555"/>
    </row>
    <row r="644" spans="1:14" ht="18" customHeight="1" x14ac:dyDescent="0.3">
      <c r="A644" s="555"/>
      <c r="B644" s="555"/>
      <c r="C644" s="555"/>
      <c r="D644" s="555"/>
      <c r="E644" s="555"/>
      <c r="F644" s="555"/>
      <c r="G644" s="555"/>
      <c r="H644" s="555"/>
      <c r="I644" s="555"/>
      <c r="J644" s="555"/>
      <c r="K644" s="555"/>
      <c r="L644" s="555"/>
      <c r="M644" s="555"/>
      <c r="N644" s="555"/>
    </row>
    <row r="645" spans="1:14" ht="18" customHeight="1" x14ac:dyDescent="0.3">
      <c r="A645" s="555"/>
      <c r="B645" s="555"/>
      <c r="C645" s="555"/>
      <c r="D645" s="555"/>
      <c r="E645" s="555"/>
      <c r="F645" s="555"/>
      <c r="G645" s="555"/>
      <c r="H645" s="555"/>
      <c r="I645" s="555"/>
      <c r="J645" s="555"/>
      <c r="K645" s="555"/>
      <c r="L645" s="555"/>
      <c r="M645" s="555"/>
      <c r="N645" s="555"/>
    </row>
    <row r="646" spans="1:14" ht="18" customHeight="1" x14ac:dyDescent="0.3">
      <c r="A646" s="555"/>
      <c r="B646" s="555"/>
      <c r="C646" s="555"/>
      <c r="D646" s="555"/>
      <c r="E646" s="555"/>
      <c r="F646" s="555"/>
      <c r="G646" s="555"/>
      <c r="H646" s="555"/>
      <c r="I646" s="555"/>
      <c r="J646" s="555"/>
      <c r="K646" s="555"/>
      <c r="L646" s="555"/>
      <c r="M646" s="555"/>
      <c r="N646" s="555"/>
    </row>
    <row r="647" spans="1:14" ht="18" customHeight="1" x14ac:dyDescent="0.3">
      <c r="A647" s="555"/>
      <c r="B647" s="555"/>
      <c r="C647" s="555"/>
      <c r="D647" s="555"/>
      <c r="E647" s="555"/>
      <c r="F647" s="555"/>
      <c r="G647" s="555"/>
      <c r="H647" s="555"/>
      <c r="I647" s="555"/>
      <c r="J647" s="555"/>
      <c r="K647" s="555"/>
      <c r="L647" s="555"/>
      <c r="M647" s="555"/>
      <c r="N647" s="555"/>
    </row>
    <row r="648" spans="1:14" ht="18" customHeight="1" x14ac:dyDescent="0.3">
      <c r="A648" s="555"/>
      <c r="B648" s="555"/>
      <c r="C648" s="555"/>
      <c r="D648" s="555"/>
      <c r="E648" s="555"/>
      <c r="F648" s="555"/>
      <c r="G648" s="555"/>
      <c r="H648" s="555"/>
      <c r="I648" s="555"/>
      <c r="J648" s="555"/>
      <c r="K648" s="555"/>
      <c r="L648" s="555"/>
      <c r="M648" s="555"/>
      <c r="N648" s="555"/>
    </row>
    <row r="649" spans="1:14" ht="18" customHeight="1" x14ac:dyDescent="0.3">
      <c r="A649" s="555"/>
      <c r="B649" s="555"/>
      <c r="C649" s="555"/>
      <c r="D649" s="555"/>
      <c r="E649" s="555"/>
      <c r="F649" s="555"/>
      <c r="G649" s="555"/>
      <c r="H649" s="555"/>
      <c r="I649" s="555"/>
      <c r="J649" s="555"/>
      <c r="K649" s="555"/>
      <c r="L649" s="555"/>
      <c r="M649" s="555"/>
      <c r="N649" s="555"/>
    </row>
    <row r="650" spans="1:14" ht="18" customHeight="1" x14ac:dyDescent="0.3">
      <c r="A650" s="555"/>
      <c r="B650" s="555"/>
      <c r="C650" s="555"/>
      <c r="D650" s="555"/>
      <c r="E650" s="555"/>
      <c r="F650" s="555"/>
      <c r="G650" s="555"/>
      <c r="H650" s="555"/>
      <c r="I650" s="555"/>
      <c r="J650" s="555"/>
      <c r="K650" s="555"/>
      <c r="L650" s="555"/>
      <c r="M650" s="555"/>
      <c r="N650" s="555"/>
    </row>
    <row r="651" spans="1:14" ht="18" customHeight="1" x14ac:dyDescent="0.3">
      <c r="A651" s="555"/>
      <c r="B651" s="555"/>
      <c r="C651" s="555"/>
      <c r="D651" s="555"/>
      <c r="E651" s="555"/>
      <c r="F651" s="555"/>
      <c r="G651" s="555"/>
      <c r="H651" s="555"/>
      <c r="I651" s="555"/>
      <c r="J651" s="555"/>
      <c r="K651" s="555"/>
      <c r="L651" s="555"/>
      <c r="M651" s="555"/>
      <c r="N651" s="555"/>
    </row>
    <row r="652" spans="1:14" ht="18" customHeight="1" x14ac:dyDescent="0.3">
      <c r="A652" s="555"/>
      <c r="B652" s="555"/>
      <c r="C652" s="555"/>
      <c r="D652" s="555"/>
      <c r="E652" s="555"/>
      <c r="F652" s="555"/>
      <c r="G652" s="555"/>
      <c r="H652" s="555"/>
      <c r="I652" s="555"/>
      <c r="J652" s="555"/>
      <c r="K652" s="555"/>
      <c r="L652" s="555"/>
      <c r="M652" s="555"/>
      <c r="N652" s="555"/>
    </row>
    <row r="653" spans="1:14" ht="18" customHeight="1" x14ac:dyDescent="0.3">
      <c r="A653" s="555"/>
      <c r="B653" s="555"/>
      <c r="C653" s="555"/>
      <c r="D653" s="555"/>
      <c r="E653" s="555"/>
      <c r="F653" s="555"/>
      <c r="G653" s="555"/>
      <c r="H653" s="555"/>
      <c r="I653" s="555"/>
      <c r="J653" s="555"/>
      <c r="K653" s="555"/>
      <c r="L653" s="555"/>
      <c r="M653" s="555"/>
      <c r="N653" s="555"/>
    </row>
    <row r="654" spans="1:14" ht="18" customHeight="1" x14ac:dyDescent="0.3">
      <c r="A654" s="555"/>
      <c r="B654" s="555"/>
      <c r="C654" s="555"/>
      <c r="D654" s="555"/>
      <c r="E654" s="555"/>
      <c r="F654" s="555"/>
      <c r="G654" s="555"/>
      <c r="H654" s="555"/>
      <c r="I654" s="555"/>
      <c r="J654" s="555"/>
      <c r="K654" s="555"/>
      <c r="L654" s="555"/>
      <c r="M654" s="555"/>
      <c r="N654" s="555"/>
    </row>
    <row r="655" spans="1:14" ht="18" customHeight="1" x14ac:dyDescent="0.3">
      <c r="A655" s="555"/>
      <c r="B655" s="555"/>
      <c r="C655" s="555"/>
      <c r="D655" s="555"/>
      <c r="E655" s="555"/>
      <c r="F655" s="555"/>
      <c r="G655" s="555"/>
      <c r="H655" s="555"/>
      <c r="I655" s="555"/>
      <c r="J655" s="555"/>
      <c r="K655" s="555"/>
      <c r="L655" s="555"/>
      <c r="M655" s="555"/>
      <c r="N655" s="555"/>
    </row>
    <row r="656" spans="1:14" ht="18" customHeight="1" x14ac:dyDescent="0.3">
      <c r="A656" s="555"/>
      <c r="B656" s="555"/>
      <c r="C656" s="555"/>
      <c r="D656" s="555"/>
      <c r="E656" s="555"/>
      <c r="F656" s="555"/>
      <c r="G656" s="555"/>
      <c r="H656" s="555"/>
      <c r="I656" s="555"/>
      <c r="J656" s="555"/>
      <c r="K656" s="555"/>
      <c r="L656" s="555"/>
      <c r="M656" s="555"/>
      <c r="N656" s="555"/>
    </row>
    <row r="657" spans="1:14" ht="18" customHeight="1" x14ac:dyDescent="0.3">
      <c r="A657" s="555"/>
      <c r="B657" s="555"/>
      <c r="C657" s="555"/>
      <c r="D657" s="555"/>
      <c r="E657" s="555"/>
      <c r="F657" s="555"/>
      <c r="G657" s="555"/>
      <c r="H657" s="555"/>
      <c r="I657" s="555"/>
      <c r="J657" s="555"/>
      <c r="K657" s="555"/>
      <c r="L657" s="555"/>
      <c r="M657" s="555"/>
      <c r="N657" s="555"/>
    </row>
    <row r="658" spans="1:14" ht="18" customHeight="1" x14ac:dyDescent="0.3">
      <c r="A658" s="555"/>
      <c r="B658" s="555"/>
      <c r="C658" s="555"/>
      <c r="D658" s="555"/>
      <c r="E658" s="555"/>
      <c r="F658" s="555"/>
      <c r="G658" s="555"/>
      <c r="H658" s="555"/>
      <c r="I658" s="555"/>
      <c r="J658" s="555"/>
      <c r="K658" s="555"/>
      <c r="L658" s="555"/>
      <c r="M658" s="555"/>
      <c r="N658" s="555"/>
    </row>
    <row r="659" spans="1:14" ht="18" customHeight="1" x14ac:dyDescent="0.3">
      <c r="A659" s="555"/>
      <c r="B659" s="555"/>
      <c r="C659" s="555"/>
      <c r="D659" s="555"/>
      <c r="E659" s="555"/>
      <c r="F659" s="555"/>
      <c r="G659" s="555"/>
      <c r="H659" s="555"/>
      <c r="I659" s="555"/>
      <c r="J659" s="555"/>
      <c r="K659" s="555"/>
      <c r="L659" s="555"/>
      <c r="M659" s="555"/>
      <c r="N659" s="555"/>
    </row>
    <row r="660" spans="1:14" ht="18" customHeight="1" x14ac:dyDescent="0.3">
      <c r="A660" s="555"/>
      <c r="B660" s="555"/>
      <c r="C660" s="555"/>
      <c r="D660" s="555"/>
      <c r="E660" s="555"/>
      <c r="F660" s="555"/>
      <c r="G660" s="555"/>
      <c r="H660" s="555"/>
      <c r="I660" s="555"/>
      <c r="J660" s="555"/>
      <c r="K660" s="555"/>
      <c r="L660" s="555"/>
      <c r="M660" s="555"/>
      <c r="N660" s="555"/>
    </row>
    <row r="661" spans="1:14" ht="18" customHeight="1" x14ac:dyDescent="0.3">
      <c r="A661" s="555"/>
      <c r="B661" s="555"/>
      <c r="C661" s="555"/>
      <c r="D661" s="555"/>
      <c r="E661" s="555"/>
      <c r="F661" s="555"/>
      <c r="G661" s="555"/>
      <c r="H661" s="555"/>
      <c r="I661" s="555"/>
      <c r="J661" s="555"/>
      <c r="K661" s="555"/>
      <c r="L661" s="555"/>
      <c r="M661" s="555"/>
      <c r="N661" s="555"/>
    </row>
    <row r="662" spans="1:14" ht="18" customHeight="1" x14ac:dyDescent="0.3">
      <c r="A662" s="555"/>
      <c r="B662" s="555"/>
      <c r="C662" s="555"/>
      <c r="D662" s="555"/>
      <c r="E662" s="555"/>
      <c r="F662" s="555"/>
      <c r="G662" s="555"/>
      <c r="H662" s="555"/>
      <c r="I662" s="555"/>
      <c r="J662" s="555"/>
      <c r="K662" s="555"/>
      <c r="L662" s="555"/>
      <c r="M662" s="555"/>
      <c r="N662" s="555"/>
    </row>
    <row r="663" spans="1:14" ht="18" customHeight="1" x14ac:dyDescent="0.3">
      <c r="A663" s="555"/>
      <c r="B663" s="555"/>
      <c r="C663" s="555"/>
      <c r="D663" s="555"/>
      <c r="E663" s="555"/>
      <c r="F663" s="555"/>
      <c r="G663" s="555"/>
      <c r="H663" s="555"/>
      <c r="I663" s="555"/>
      <c r="J663" s="555"/>
      <c r="K663" s="555"/>
      <c r="L663" s="555"/>
      <c r="M663" s="555"/>
      <c r="N663" s="555"/>
    </row>
    <row r="664" spans="1:14" ht="18" customHeight="1" x14ac:dyDescent="0.3">
      <c r="A664" s="555"/>
      <c r="B664" s="555"/>
      <c r="C664" s="555"/>
      <c r="D664" s="555"/>
      <c r="E664" s="555"/>
      <c r="F664" s="555"/>
      <c r="G664" s="555"/>
      <c r="H664" s="555"/>
      <c r="I664" s="555"/>
      <c r="J664" s="555"/>
      <c r="K664" s="555"/>
      <c r="L664" s="555"/>
      <c r="M664" s="555"/>
      <c r="N664" s="555"/>
    </row>
    <row r="665" spans="1:14" ht="18" customHeight="1" x14ac:dyDescent="0.3">
      <c r="A665" s="555"/>
      <c r="B665" s="555"/>
      <c r="C665" s="555"/>
      <c r="D665" s="555"/>
      <c r="E665" s="555"/>
      <c r="F665" s="555"/>
      <c r="G665" s="555"/>
      <c r="H665" s="555"/>
      <c r="I665" s="555"/>
      <c r="J665" s="555"/>
      <c r="K665" s="555"/>
      <c r="L665" s="555"/>
      <c r="M665" s="555"/>
      <c r="N665" s="555"/>
    </row>
    <row r="666" spans="1:14" ht="18" customHeight="1" x14ac:dyDescent="0.3">
      <c r="A666" s="555"/>
      <c r="B666" s="555"/>
      <c r="C666" s="555"/>
      <c r="D666" s="555"/>
      <c r="E666" s="555"/>
      <c r="F666" s="555"/>
      <c r="G666" s="555"/>
      <c r="H666" s="555"/>
      <c r="I666" s="555"/>
      <c r="J666" s="555"/>
      <c r="K666" s="555"/>
      <c r="L666" s="555"/>
      <c r="M666" s="555"/>
      <c r="N666" s="555"/>
    </row>
    <row r="667" spans="1:14" ht="18" customHeight="1" x14ac:dyDescent="0.3">
      <c r="A667" s="555"/>
      <c r="B667" s="555"/>
      <c r="C667" s="555"/>
      <c r="D667" s="555"/>
      <c r="E667" s="555"/>
      <c r="F667" s="555"/>
      <c r="G667" s="555"/>
      <c r="H667" s="555"/>
      <c r="I667" s="555"/>
      <c r="J667" s="555"/>
      <c r="K667" s="555"/>
      <c r="L667" s="555"/>
      <c r="M667" s="555"/>
      <c r="N667" s="555"/>
    </row>
    <row r="668" spans="1:14" ht="18" customHeight="1" x14ac:dyDescent="0.3">
      <c r="A668" s="555"/>
      <c r="B668" s="555"/>
      <c r="C668" s="555"/>
      <c r="D668" s="555"/>
      <c r="E668" s="555"/>
      <c r="F668" s="555"/>
      <c r="G668" s="555"/>
      <c r="H668" s="555"/>
      <c r="I668" s="555"/>
      <c r="J668" s="555"/>
      <c r="K668" s="555"/>
      <c r="L668" s="555"/>
      <c r="M668" s="555"/>
      <c r="N668" s="555"/>
    </row>
    <row r="669" spans="1:14" ht="18" customHeight="1" x14ac:dyDescent="0.3">
      <c r="A669" s="555"/>
      <c r="B669" s="555"/>
      <c r="C669" s="555"/>
      <c r="D669" s="555"/>
      <c r="E669" s="555"/>
      <c r="F669" s="555"/>
      <c r="G669" s="555"/>
      <c r="H669" s="555"/>
      <c r="I669" s="555"/>
      <c r="J669" s="555"/>
      <c r="K669" s="555"/>
      <c r="L669" s="555"/>
      <c r="M669" s="555"/>
      <c r="N669" s="555"/>
    </row>
    <row r="670" spans="1:14" ht="18" customHeight="1" x14ac:dyDescent="0.3">
      <c r="A670" s="555"/>
      <c r="B670" s="555"/>
      <c r="C670" s="555"/>
      <c r="D670" s="555"/>
      <c r="E670" s="555"/>
      <c r="F670" s="555"/>
      <c r="G670" s="555"/>
      <c r="H670" s="555"/>
      <c r="I670" s="555"/>
      <c r="J670" s="555"/>
      <c r="K670" s="555"/>
      <c r="L670" s="555"/>
      <c r="M670" s="555"/>
      <c r="N670" s="555"/>
    </row>
    <row r="671" spans="1:14" ht="18" customHeight="1" x14ac:dyDescent="0.3">
      <c r="A671" s="555"/>
      <c r="B671" s="555"/>
      <c r="C671" s="555"/>
      <c r="D671" s="555"/>
      <c r="E671" s="555"/>
      <c r="F671" s="555"/>
      <c r="G671" s="555"/>
      <c r="H671" s="555"/>
      <c r="I671" s="555"/>
      <c r="J671" s="555"/>
      <c r="K671" s="555"/>
      <c r="L671" s="555"/>
      <c r="M671" s="555"/>
      <c r="N671" s="555"/>
    </row>
    <row r="672" spans="1:14" ht="18" customHeight="1" x14ac:dyDescent="0.3">
      <c r="A672" s="555"/>
      <c r="B672" s="555"/>
      <c r="C672" s="555"/>
      <c r="D672" s="555"/>
      <c r="E672" s="555"/>
      <c r="F672" s="555"/>
      <c r="G672" s="555"/>
      <c r="H672" s="555"/>
      <c r="I672" s="555"/>
      <c r="J672" s="555"/>
      <c r="K672" s="555"/>
      <c r="L672" s="555"/>
      <c r="M672" s="555"/>
      <c r="N672" s="555"/>
    </row>
    <row r="673" spans="1:14" ht="18" customHeight="1" x14ac:dyDescent="0.3">
      <c r="A673" s="555"/>
      <c r="B673" s="555"/>
      <c r="C673" s="555"/>
      <c r="D673" s="555"/>
      <c r="E673" s="555"/>
      <c r="F673" s="555"/>
      <c r="G673" s="555"/>
      <c r="H673" s="555"/>
      <c r="I673" s="555"/>
      <c r="J673" s="555"/>
      <c r="K673" s="555"/>
      <c r="L673" s="555"/>
      <c r="M673" s="555"/>
      <c r="N673" s="555"/>
    </row>
    <row r="674" spans="1:14" ht="18" customHeight="1" x14ac:dyDescent="0.3">
      <c r="A674" s="555"/>
      <c r="B674" s="555"/>
      <c r="C674" s="555"/>
      <c r="D674" s="555"/>
      <c r="E674" s="555"/>
      <c r="F674" s="555"/>
      <c r="G674" s="555"/>
      <c r="H674" s="555"/>
      <c r="I674" s="555"/>
      <c r="J674" s="555"/>
      <c r="K674" s="555"/>
      <c r="L674" s="555"/>
      <c r="M674" s="555"/>
      <c r="N674" s="555"/>
    </row>
    <row r="675" spans="1:14" ht="18" customHeight="1" x14ac:dyDescent="0.3">
      <c r="A675" s="555"/>
      <c r="B675" s="555"/>
      <c r="C675" s="555"/>
      <c r="D675" s="555"/>
      <c r="E675" s="555"/>
      <c r="F675" s="555"/>
      <c r="G675" s="555"/>
      <c r="H675" s="555"/>
      <c r="I675" s="555"/>
      <c r="J675" s="555"/>
      <c r="K675" s="555"/>
      <c r="L675" s="555"/>
      <c r="M675" s="555"/>
      <c r="N675" s="555"/>
    </row>
    <row r="676" spans="1:14" ht="18" customHeight="1" x14ac:dyDescent="0.3">
      <c r="A676" s="555"/>
      <c r="B676" s="555"/>
      <c r="C676" s="555"/>
      <c r="D676" s="555"/>
      <c r="E676" s="555"/>
      <c r="F676" s="555"/>
      <c r="G676" s="555"/>
      <c r="H676" s="555"/>
      <c r="I676" s="555"/>
      <c r="J676" s="555"/>
      <c r="K676" s="555"/>
      <c r="L676" s="555"/>
      <c r="M676" s="555"/>
      <c r="N676" s="555"/>
    </row>
    <row r="677" spans="1:14" ht="18" customHeight="1" x14ac:dyDescent="0.3">
      <c r="A677" s="555"/>
      <c r="B677" s="555"/>
      <c r="C677" s="555"/>
      <c r="D677" s="555"/>
      <c r="E677" s="555"/>
      <c r="F677" s="555"/>
      <c r="G677" s="555"/>
      <c r="H677" s="555"/>
      <c r="I677" s="555"/>
      <c r="J677" s="555"/>
      <c r="K677" s="555"/>
      <c r="L677" s="555"/>
      <c r="M677" s="555"/>
      <c r="N677" s="555"/>
    </row>
    <row r="678" spans="1:14" ht="18" customHeight="1" x14ac:dyDescent="0.3">
      <c r="A678" s="555"/>
      <c r="B678" s="555"/>
      <c r="C678" s="555"/>
      <c r="D678" s="555"/>
      <c r="E678" s="555"/>
      <c r="F678" s="555"/>
      <c r="G678" s="555"/>
      <c r="H678" s="555"/>
      <c r="I678" s="555"/>
      <c r="J678" s="555"/>
      <c r="K678" s="555"/>
      <c r="L678" s="555"/>
      <c r="M678" s="555"/>
      <c r="N678" s="555"/>
    </row>
    <row r="679" spans="1:14" ht="18" customHeight="1" x14ac:dyDescent="0.3">
      <c r="A679" s="555"/>
      <c r="B679" s="555"/>
      <c r="C679" s="555"/>
      <c r="D679" s="555"/>
      <c r="E679" s="555"/>
      <c r="F679" s="555"/>
      <c r="G679" s="555"/>
      <c r="H679" s="555"/>
      <c r="I679" s="555"/>
      <c r="J679" s="555"/>
      <c r="K679" s="555"/>
      <c r="L679" s="555"/>
      <c r="M679" s="555"/>
      <c r="N679" s="555"/>
    </row>
    <row r="680" spans="1:14" ht="18" customHeight="1" x14ac:dyDescent="0.3">
      <c r="A680" s="555"/>
      <c r="B680" s="555"/>
      <c r="C680" s="555"/>
      <c r="D680" s="555"/>
      <c r="E680" s="555"/>
      <c r="F680" s="555"/>
      <c r="G680" s="555"/>
      <c r="H680" s="555"/>
      <c r="I680" s="555"/>
      <c r="J680" s="555"/>
      <c r="K680" s="555"/>
      <c r="L680" s="555"/>
      <c r="M680" s="555"/>
      <c r="N680" s="555"/>
    </row>
    <row r="681" spans="1:14" ht="18" customHeight="1" x14ac:dyDescent="0.3">
      <c r="A681" s="555"/>
      <c r="B681" s="555"/>
      <c r="C681" s="555"/>
      <c r="D681" s="555"/>
      <c r="E681" s="555"/>
      <c r="F681" s="555"/>
      <c r="G681" s="555"/>
      <c r="H681" s="555"/>
      <c r="I681" s="555"/>
      <c r="J681" s="555"/>
      <c r="K681" s="555"/>
      <c r="L681" s="555"/>
      <c r="M681" s="555"/>
      <c r="N681" s="555"/>
    </row>
    <row r="682" spans="1:14" ht="18" customHeight="1" x14ac:dyDescent="0.3">
      <c r="A682" s="555"/>
      <c r="B682" s="555"/>
      <c r="C682" s="555"/>
      <c r="D682" s="555"/>
      <c r="E682" s="555"/>
      <c r="F682" s="555"/>
      <c r="G682" s="555"/>
      <c r="H682" s="555"/>
      <c r="I682" s="555"/>
      <c r="J682" s="555"/>
      <c r="K682" s="555"/>
      <c r="L682" s="555"/>
      <c r="M682" s="555"/>
      <c r="N682" s="555"/>
    </row>
    <row r="683" spans="1:14" ht="18" customHeight="1" x14ac:dyDescent="0.3">
      <c r="A683" s="555"/>
      <c r="B683" s="555"/>
      <c r="C683" s="555"/>
      <c r="D683" s="555"/>
      <c r="E683" s="555"/>
      <c r="F683" s="555"/>
      <c r="G683" s="555"/>
      <c r="H683" s="555"/>
      <c r="I683" s="555"/>
      <c r="J683" s="555"/>
      <c r="K683" s="555"/>
      <c r="L683" s="555"/>
      <c r="M683" s="555"/>
      <c r="N683" s="555"/>
    </row>
    <row r="684" spans="1:14" ht="18" customHeight="1" x14ac:dyDescent="0.3">
      <c r="A684" s="555"/>
      <c r="B684" s="555"/>
      <c r="C684" s="555"/>
      <c r="D684" s="555"/>
      <c r="E684" s="555"/>
      <c r="F684" s="555"/>
      <c r="G684" s="555"/>
      <c r="H684" s="555"/>
      <c r="I684" s="555"/>
      <c r="J684" s="555"/>
      <c r="K684" s="555"/>
      <c r="L684" s="555"/>
      <c r="M684" s="555"/>
      <c r="N684" s="555"/>
    </row>
    <row r="685" spans="1:14" ht="18" customHeight="1" x14ac:dyDescent="0.3">
      <c r="A685" s="555"/>
      <c r="B685" s="555"/>
      <c r="C685" s="555"/>
      <c r="D685" s="555"/>
      <c r="E685" s="555"/>
      <c r="F685" s="555"/>
      <c r="G685" s="555"/>
      <c r="H685" s="555"/>
      <c r="I685" s="555"/>
      <c r="J685" s="555"/>
      <c r="K685" s="555"/>
      <c r="L685" s="555"/>
      <c r="M685" s="555"/>
      <c r="N685" s="555"/>
    </row>
    <row r="686" spans="1:14" ht="18" customHeight="1" x14ac:dyDescent="0.3">
      <c r="A686" s="555"/>
      <c r="B686" s="555"/>
      <c r="C686" s="555"/>
      <c r="D686" s="555"/>
      <c r="E686" s="555"/>
      <c r="F686" s="555"/>
      <c r="G686" s="555"/>
      <c r="H686" s="555"/>
      <c r="I686" s="555"/>
      <c r="J686" s="555"/>
      <c r="K686" s="555"/>
      <c r="L686" s="555"/>
      <c r="M686" s="555"/>
      <c r="N686" s="555"/>
    </row>
    <row r="687" spans="1:14" ht="18" customHeight="1" x14ac:dyDescent="0.3">
      <c r="A687" s="555"/>
      <c r="B687" s="555"/>
      <c r="C687" s="555"/>
      <c r="D687" s="555"/>
      <c r="E687" s="555"/>
      <c r="F687" s="555"/>
      <c r="G687" s="555"/>
      <c r="H687" s="555"/>
      <c r="I687" s="555"/>
      <c r="J687" s="555"/>
      <c r="K687" s="555"/>
      <c r="L687" s="555"/>
      <c r="M687" s="555"/>
      <c r="N687" s="555"/>
    </row>
    <row r="688" spans="1:14" ht="18" customHeight="1" x14ac:dyDescent="0.3">
      <c r="A688" s="555"/>
      <c r="B688" s="555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</row>
    <row r="689" spans="1:14" ht="18" customHeight="1" x14ac:dyDescent="0.3">
      <c r="A689" s="555"/>
      <c r="B689" s="555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</row>
    <row r="690" spans="1:14" ht="18" customHeight="1" x14ac:dyDescent="0.3">
      <c r="A690" s="555"/>
      <c r="B690" s="555"/>
      <c r="C690" s="555"/>
      <c r="D690" s="555"/>
      <c r="E690" s="555"/>
      <c r="F690" s="555"/>
      <c r="G690" s="555"/>
      <c r="H690" s="555"/>
      <c r="I690" s="555"/>
      <c r="J690" s="555"/>
      <c r="K690" s="555"/>
      <c r="L690" s="555"/>
      <c r="M690" s="555"/>
      <c r="N690" s="555"/>
    </row>
    <row r="691" spans="1:14" ht="18" customHeight="1" x14ac:dyDescent="0.3">
      <c r="A691" s="555"/>
      <c r="B691" s="555"/>
      <c r="C691" s="555"/>
      <c r="D691" s="555"/>
      <c r="E691" s="555"/>
      <c r="F691" s="555"/>
      <c r="G691" s="555"/>
      <c r="H691" s="555"/>
      <c r="I691" s="555"/>
      <c r="J691" s="555"/>
      <c r="K691" s="555"/>
      <c r="L691" s="555"/>
      <c r="M691" s="555"/>
      <c r="N691" s="555"/>
    </row>
    <row r="692" spans="1:14" ht="18" customHeight="1" x14ac:dyDescent="0.3">
      <c r="A692" s="555"/>
      <c r="B692" s="555"/>
      <c r="C692" s="555"/>
      <c r="D692" s="555"/>
      <c r="E692" s="555"/>
      <c r="F692" s="555"/>
      <c r="G692" s="555"/>
      <c r="H692" s="555"/>
      <c r="I692" s="555"/>
      <c r="J692" s="555"/>
      <c r="K692" s="555"/>
      <c r="L692" s="555"/>
      <c r="M692" s="555"/>
      <c r="N692" s="555"/>
    </row>
    <row r="693" spans="1:14" ht="18" customHeight="1" x14ac:dyDescent="0.3">
      <c r="A693" s="555"/>
      <c r="B693" s="555"/>
      <c r="C693" s="555"/>
      <c r="D693" s="555"/>
      <c r="E693" s="555"/>
      <c r="F693" s="555"/>
      <c r="G693" s="555"/>
      <c r="H693" s="555"/>
      <c r="I693" s="555"/>
      <c r="J693" s="555"/>
      <c r="K693" s="555"/>
      <c r="L693" s="555"/>
      <c r="M693" s="555"/>
      <c r="N693" s="555"/>
    </row>
    <row r="694" spans="1:14" ht="18" customHeight="1" x14ac:dyDescent="0.3">
      <c r="A694" s="555"/>
      <c r="B694" s="555"/>
      <c r="C694" s="555"/>
      <c r="D694" s="555"/>
      <c r="E694" s="555"/>
      <c r="F694" s="555"/>
      <c r="G694" s="555"/>
      <c r="H694" s="555"/>
      <c r="I694" s="555"/>
      <c r="J694" s="555"/>
      <c r="K694" s="555"/>
      <c r="L694" s="555"/>
      <c r="M694" s="555"/>
      <c r="N694" s="555"/>
    </row>
    <row r="695" spans="1:14" ht="18" customHeight="1" x14ac:dyDescent="0.3">
      <c r="A695" s="555"/>
      <c r="B695" s="555"/>
      <c r="C695" s="555"/>
      <c r="D695" s="555"/>
      <c r="E695" s="555"/>
      <c r="F695" s="555"/>
      <c r="G695" s="555"/>
      <c r="H695" s="555"/>
      <c r="I695" s="555"/>
      <c r="J695" s="555"/>
      <c r="K695" s="555"/>
      <c r="L695" s="555"/>
      <c r="M695" s="555"/>
      <c r="N695" s="555"/>
    </row>
    <row r="696" spans="1:14" ht="18" customHeight="1" x14ac:dyDescent="0.3">
      <c r="A696" s="555"/>
      <c r="B696" s="555"/>
      <c r="C696" s="555"/>
      <c r="D696" s="555"/>
      <c r="E696" s="555"/>
      <c r="F696" s="555"/>
      <c r="G696" s="555"/>
      <c r="H696" s="555"/>
      <c r="I696" s="555"/>
      <c r="J696" s="555"/>
      <c r="K696" s="555"/>
      <c r="L696" s="555"/>
      <c r="M696" s="555"/>
      <c r="N696" s="555"/>
    </row>
    <row r="697" spans="1:14" ht="18" customHeight="1" x14ac:dyDescent="0.3">
      <c r="A697" s="555"/>
      <c r="B697" s="555"/>
      <c r="C697" s="555"/>
      <c r="D697" s="555"/>
      <c r="E697" s="555"/>
      <c r="F697" s="555"/>
      <c r="G697" s="555"/>
      <c r="H697" s="555"/>
      <c r="I697" s="555"/>
      <c r="J697" s="555"/>
      <c r="K697" s="555"/>
      <c r="L697" s="555"/>
      <c r="M697" s="555"/>
      <c r="N697" s="555"/>
    </row>
    <row r="698" spans="1:14" ht="18" customHeight="1" x14ac:dyDescent="0.3">
      <c r="A698" s="555"/>
      <c r="B698" s="555"/>
      <c r="C698" s="555"/>
      <c r="D698" s="555"/>
      <c r="E698" s="555"/>
      <c r="F698" s="555"/>
      <c r="G698" s="555"/>
      <c r="H698" s="555"/>
      <c r="I698" s="555"/>
      <c r="J698" s="555"/>
      <c r="K698" s="555"/>
      <c r="L698" s="555"/>
      <c r="M698" s="555"/>
      <c r="N698" s="555"/>
    </row>
    <row r="699" spans="1:14" ht="18" customHeight="1" x14ac:dyDescent="0.3">
      <c r="A699" s="555"/>
      <c r="B699" s="555"/>
      <c r="C699" s="555"/>
      <c r="D699" s="555"/>
      <c r="E699" s="555"/>
      <c r="F699" s="555"/>
      <c r="G699" s="555"/>
      <c r="H699" s="555"/>
      <c r="I699" s="555"/>
      <c r="J699" s="555"/>
      <c r="K699" s="555"/>
      <c r="L699" s="555"/>
      <c r="M699" s="555"/>
      <c r="N699" s="555"/>
    </row>
    <row r="700" spans="1:14" ht="18" customHeight="1" x14ac:dyDescent="0.3">
      <c r="A700" s="555"/>
      <c r="B700" s="555"/>
      <c r="C700" s="555"/>
      <c r="D700" s="555"/>
      <c r="E700" s="555"/>
      <c r="F700" s="555"/>
      <c r="G700" s="555"/>
      <c r="H700" s="555"/>
      <c r="I700" s="555"/>
      <c r="J700" s="555"/>
      <c r="K700" s="555"/>
      <c r="L700" s="555"/>
      <c r="M700" s="555"/>
      <c r="N700" s="555"/>
    </row>
    <row r="701" spans="1:14" ht="18" customHeight="1" x14ac:dyDescent="0.3">
      <c r="A701" s="555"/>
      <c r="B701" s="555"/>
      <c r="C701" s="555"/>
      <c r="D701" s="555"/>
      <c r="E701" s="555"/>
      <c r="F701" s="555"/>
      <c r="G701" s="555"/>
      <c r="H701" s="555"/>
      <c r="I701" s="555"/>
      <c r="J701" s="555"/>
      <c r="K701" s="555"/>
      <c r="L701" s="555"/>
      <c r="M701" s="555"/>
      <c r="N701" s="555"/>
    </row>
    <row r="702" spans="1:14" ht="18" customHeight="1" x14ac:dyDescent="0.3">
      <c r="A702" s="555"/>
      <c r="B702" s="555"/>
      <c r="C702" s="555"/>
      <c r="D702" s="555"/>
      <c r="E702" s="555"/>
      <c r="F702" s="555"/>
      <c r="G702" s="555"/>
      <c r="H702" s="555"/>
      <c r="I702" s="555"/>
      <c r="J702" s="555"/>
      <c r="K702" s="555"/>
      <c r="L702" s="555"/>
      <c r="M702" s="555"/>
      <c r="N702" s="555"/>
    </row>
    <row r="703" spans="1:14" ht="18" customHeight="1" x14ac:dyDescent="0.3">
      <c r="A703" s="555"/>
      <c r="B703" s="555"/>
      <c r="C703" s="555"/>
      <c r="D703" s="555"/>
      <c r="E703" s="555"/>
      <c r="F703" s="555"/>
      <c r="G703" s="555"/>
      <c r="H703" s="555"/>
      <c r="I703" s="555"/>
      <c r="J703" s="555"/>
      <c r="K703" s="555"/>
      <c r="L703" s="555"/>
      <c r="M703" s="555"/>
      <c r="N703" s="555"/>
    </row>
    <row r="704" spans="1:14" ht="18" customHeight="1" x14ac:dyDescent="0.3">
      <c r="A704" s="555"/>
      <c r="B704" s="555"/>
      <c r="C704" s="555"/>
      <c r="D704" s="555"/>
      <c r="E704" s="555"/>
      <c r="F704" s="555"/>
      <c r="G704" s="555"/>
      <c r="H704" s="555"/>
      <c r="I704" s="555"/>
      <c r="J704" s="555"/>
      <c r="K704" s="555"/>
      <c r="L704" s="555"/>
      <c r="M704" s="555"/>
      <c r="N704" s="555"/>
    </row>
    <row r="705" spans="1:14" ht="18" customHeight="1" x14ac:dyDescent="0.3">
      <c r="A705" s="555"/>
      <c r="B705" s="555"/>
      <c r="C705" s="555"/>
      <c r="D705" s="555"/>
      <c r="E705" s="555"/>
      <c r="F705" s="555"/>
      <c r="G705" s="555"/>
      <c r="H705" s="555"/>
      <c r="I705" s="555"/>
      <c r="J705" s="555"/>
      <c r="K705" s="555"/>
      <c r="L705" s="555"/>
      <c r="M705" s="555"/>
      <c r="N705" s="555"/>
    </row>
    <row r="706" spans="1:14" ht="18" customHeight="1" x14ac:dyDescent="0.3">
      <c r="A706" s="555"/>
      <c r="B706" s="555"/>
      <c r="C706" s="555"/>
      <c r="D706" s="555"/>
      <c r="E706" s="555"/>
      <c r="F706" s="555"/>
      <c r="G706" s="555"/>
      <c r="H706" s="555"/>
      <c r="I706" s="555"/>
      <c r="J706" s="555"/>
      <c r="K706" s="555"/>
      <c r="L706" s="555"/>
      <c r="M706" s="555"/>
      <c r="N706" s="555"/>
    </row>
    <row r="707" spans="1:14" ht="18" customHeight="1" x14ac:dyDescent="0.3">
      <c r="A707" s="555"/>
      <c r="B707" s="555"/>
      <c r="C707" s="555"/>
      <c r="D707" s="555"/>
      <c r="E707" s="555"/>
      <c r="F707" s="555"/>
      <c r="G707" s="555"/>
      <c r="H707" s="555"/>
      <c r="I707" s="555"/>
      <c r="J707" s="555"/>
      <c r="K707" s="555"/>
      <c r="L707" s="555"/>
      <c r="M707" s="555"/>
      <c r="N707" s="555"/>
    </row>
    <row r="708" spans="1:14" ht="18" customHeight="1" x14ac:dyDescent="0.3">
      <c r="A708" s="555"/>
      <c r="B708" s="555"/>
      <c r="C708" s="555"/>
      <c r="D708" s="555"/>
      <c r="E708" s="555"/>
      <c r="F708" s="555"/>
      <c r="G708" s="555"/>
      <c r="H708" s="555"/>
      <c r="I708" s="555"/>
      <c r="J708" s="555"/>
      <c r="K708" s="555"/>
      <c r="L708" s="555"/>
      <c r="M708" s="555"/>
      <c r="N708" s="555"/>
    </row>
    <row r="709" spans="1:14" ht="18" customHeight="1" x14ac:dyDescent="0.3">
      <c r="A709" s="555"/>
      <c r="B709" s="555"/>
      <c r="C709" s="555"/>
      <c r="D709" s="555"/>
      <c r="E709" s="555"/>
      <c r="F709" s="555"/>
      <c r="G709" s="555"/>
      <c r="H709" s="555"/>
      <c r="I709" s="555"/>
      <c r="J709" s="555"/>
      <c r="K709" s="555"/>
      <c r="L709" s="555"/>
      <c r="M709" s="555"/>
      <c r="N709" s="555"/>
    </row>
    <row r="710" spans="1:14" ht="18" customHeight="1" x14ac:dyDescent="0.3">
      <c r="A710" s="555"/>
      <c r="B710" s="555"/>
      <c r="C710" s="555"/>
      <c r="D710" s="555"/>
      <c r="E710" s="555"/>
      <c r="F710" s="555"/>
      <c r="G710" s="555"/>
      <c r="H710" s="555"/>
      <c r="I710" s="555"/>
      <c r="J710" s="555"/>
      <c r="K710" s="555"/>
      <c r="L710" s="555"/>
      <c r="M710" s="555"/>
      <c r="N710" s="555"/>
    </row>
    <row r="711" spans="1:14" ht="18" customHeight="1" x14ac:dyDescent="0.3">
      <c r="A711" s="555"/>
      <c r="B711" s="555"/>
      <c r="C711" s="555"/>
      <c r="D711" s="555"/>
      <c r="E711" s="555"/>
      <c r="F711" s="555"/>
      <c r="G711" s="555"/>
      <c r="H711" s="555"/>
      <c r="I711" s="555"/>
      <c r="J711" s="555"/>
      <c r="K711" s="555"/>
      <c r="L711" s="555"/>
      <c r="M711" s="555"/>
      <c r="N711" s="555"/>
    </row>
    <row r="712" spans="1:14" ht="18" customHeight="1" x14ac:dyDescent="0.3">
      <c r="A712" s="555"/>
      <c r="B712" s="555"/>
      <c r="C712" s="555"/>
      <c r="D712" s="555"/>
      <c r="E712" s="555"/>
      <c r="F712" s="555"/>
      <c r="G712" s="555"/>
      <c r="H712" s="555"/>
      <c r="I712" s="555"/>
      <c r="J712" s="555"/>
      <c r="K712" s="555"/>
      <c r="L712" s="555"/>
      <c r="M712" s="555"/>
      <c r="N712" s="555"/>
    </row>
    <row r="713" spans="1:14" ht="18" customHeight="1" x14ac:dyDescent="0.3">
      <c r="A713" s="555"/>
      <c r="B713" s="555"/>
      <c r="C713" s="555"/>
      <c r="D713" s="555"/>
      <c r="E713" s="555"/>
      <c r="F713" s="555"/>
      <c r="G713" s="555"/>
      <c r="H713" s="555"/>
      <c r="I713" s="555"/>
      <c r="J713" s="555"/>
      <c r="K713" s="555"/>
      <c r="L713" s="555"/>
      <c r="M713" s="555"/>
      <c r="N713" s="555"/>
    </row>
    <row r="714" spans="1:14" ht="18" customHeight="1" x14ac:dyDescent="0.3">
      <c r="A714" s="555"/>
      <c r="B714" s="555"/>
      <c r="C714" s="555"/>
      <c r="D714" s="555"/>
      <c r="E714" s="555"/>
      <c r="F714" s="555"/>
      <c r="G714" s="555"/>
      <c r="H714" s="555"/>
      <c r="I714" s="555"/>
      <c r="J714" s="555"/>
      <c r="K714" s="555"/>
      <c r="L714" s="555"/>
      <c r="M714" s="555"/>
      <c r="N714" s="555"/>
    </row>
    <row r="715" spans="1:14" ht="18" customHeight="1" x14ac:dyDescent="0.3">
      <c r="A715" s="555"/>
      <c r="B715" s="555"/>
      <c r="C715" s="555"/>
      <c r="D715" s="555"/>
      <c r="E715" s="555"/>
      <c r="F715" s="555"/>
      <c r="G715" s="555"/>
      <c r="H715" s="555"/>
      <c r="I715" s="555"/>
      <c r="J715" s="555"/>
      <c r="K715" s="555"/>
      <c r="L715" s="555"/>
      <c r="M715" s="555"/>
      <c r="N715" s="555"/>
    </row>
    <row r="716" spans="1:14" ht="18" customHeight="1" x14ac:dyDescent="0.3">
      <c r="A716" s="555"/>
      <c r="B716" s="555"/>
      <c r="C716" s="555"/>
      <c r="D716" s="555"/>
      <c r="E716" s="555"/>
      <c r="F716" s="555"/>
      <c r="G716" s="555"/>
      <c r="H716" s="555"/>
      <c r="I716" s="555"/>
      <c r="J716" s="555"/>
      <c r="K716" s="555"/>
      <c r="L716" s="555"/>
      <c r="M716" s="555"/>
      <c r="N716" s="555"/>
    </row>
    <row r="717" spans="1:14" ht="18" customHeight="1" x14ac:dyDescent="0.3">
      <c r="A717" s="555"/>
      <c r="B717" s="555"/>
      <c r="C717" s="555"/>
      <c r="D717" s="555"/>
      <c r="E717" s="555"/>
      <c r="F717" s="555"/>
      <c r="G717" s="555"/>
      <c r="H717" s="555"/>
      <c r="I717" s="555"/>
      <c r="J717" s="555"/>
      <c r="K717" s="555"/>
      <c r="L717" s="555"/>
      <c r="M717" s="555"/>
      <c r="N717" s="555"/>
    </row>
    <row r="718" spans="1:14" ht="18" customHeight="1" x14ac:dyDescent="0.3">
      <c r="A718" s="555"/>
      <c r="B718" s="555"/>
      <c r="C718" s="555"/>
      <c r="D718" s="555"/>
      <c r="E718" s="555"/>
      <c r="F718" s="555"/>
      <c r="G718" s="555"/>
      <c r="H718" s="555"/>
      <c r="I718" s="555"/>
      <c r="J718" s="555"/>
      <c r="K718" s="555"/>
      <c r="L718" s="555"/>
      <c r="M718" s="555"/>
      <c r="N718" s="555"/>
    </row>
    <row r="719" spans="1:14" ht="18" customHeight="1" x14ac:dyDescent="0.3">
      <c r="A719" s="555"/>
      <c r="B719" s="555"/>
      <c r="C719" s="555"/>
      <c r="D719" s="555"/>
      <c r="E719" s="555"/>
      <c r="F719" s="555"/>
      <c r="G719" s="555"/>
      <c r="H719" s="555"/>
      <c r="I719" s="555"/>
      <c r="J719" s="555"/>
      <c r="K719" s="555"/>
      <c r="L719" s="555"/>
      <c r="M719" s="555"/>
      <c r="N719" s="555"/>
    </row>
    <row r="720" spans="1:14" ht="18" customHeight="1" x14ac:dyDescent="0.3">
      <c r="A720" s="555"/>
      <c r="B720" s="555"/>
      <c r="C720" s="555"/>
      <c r="D720" s="555"/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</row>
    <row r="721" spans="1:14" ht="18" customHeight="1" x14ac:dyDescent="0.3">
      <c r="A721" s="555"/>
      <c r="B721" s="555"/>
      <c r="C721" s="555"/>
      <c r="D721" s="555"/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</row>
    <row r="722" spans="1:14" ht="18" customHeight="1" x14ac:dyDescent="0.3">
      <c r="A722" s="555"/>
      <c r="B722" s="555"/>
      <c r="C722" s="555"/>
      <c r="D722" s="555"/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</row>
    <row r="723" spans="1:14" ht="18" customHeight="1" x14ac:dyDescent="0.3">
      <c r="A723" s="555"/>
      <c r="B723" s="555"/>
      <c r="C723" s="555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</row>
    <row r="724" spans="1:14" ht="18" customHeight="1" x14ac:dyDescent="0.3">
      <c r="A724" s="555"/>
      <c r="B724" s="555"/>
      <c r="C724" s="555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</row>
    <row r="725" spans="1:14" ht="18" customHeight="1" x14ac:dyDescent="0.3">
      <c r="A725" s="555"/>
      <c r="B725" s="555"/>
      <c r="C725" s="555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</row>
    <row r="726" spans="1:14" ht="18" customHeight="1" x14ac:dyDescent="0.3">
      <c r="A726" s="555"/>
      <c r="B726" s="555"/>
      <c r="C726" s="555"/>
      <c r="D726" s="555"/>
      <c r="E726" s="555"/>
      <c r="F726" s="555"/>
      <c r="G726" s="555"/>
      <c r="H726" s="555"/>
      <c r="I726" s="555"/>
      <c r="J726" s="555"/>
      <c r="K726" s="555"/>
      <c r="L726" s="555"/>
      <c r="M726" s="555"/>
      <c r="N726" s="555"/>
    </row>
    <row r="727" spans="1:14" ht="18" customHeight="1" x14ac:dyDescent="0.3">
      <c r="A727" s="555"/>
      <c r="B727" s="555"/>
      <c r="C727" s="555"/>
      <c r="D727" s="555"/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</row>
    <row r="728" spans="1:14" ht="18" customHeight="1" x14ac:dyDescent="0.3">
      <c r="A728" s="555"/>
      <c r="B728" s="555"/>
      <c r="C728" s="555"/>
      <c r="D728" s="555"/>
      <c r="E728" s="555"/>
      <c r="F728" s="555"/>
      <c r="G728" s="555"/>
      <c r="H728" s="555"/>
      <c r="I728" s="555"/>
      <c r="J728" s="555"/>
      <c r="K728" s="555"/>
      <c r="L728" s="555"/>
      <c r="M728" s="555"/>
      <c r="N728" s="555"/>
    </row>
    <row r="729" spans="1:14" ht="18" customHeight="1" x14ac:dyDescent="0.3">
      <c r="A729" s="555"/>
      <c r="B729" s="555"/>
      <c r="C729" s="555"/>
      <c r="D729" s="555"/>
      <c r="E729" s="555"/>
      <c r="F729" s="555"/>
      <c r="G729" s="555"/>
      <c r="H729" s="555"/>
      <c r="I729" s="555"/>
      <c r="J729" s="555"/>
      <c r="K729" s="555"/>
      <c r="L729" s="555"/>
      <c r="M729" s="555"/>
      <c r="N729" s="555"/>
    </row>
    <row r="730" spans="1:14" ht="18" customHeight="1" x14ac:dyDescent="0.3">
      <c r="A730" s="555"/>
      <c r="B730" s="555"/>
      <c r="C730" s="555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</row>
    <row r="731" spans="1:14" ht="18" customHeight="1" x14ac:dyDescent="0.3">
      <c r="A731" s="555"/>
      <c r="B731" s="555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</row>
    <row r="732" spans="1:14" ht="18" customHeight="1" x14ac:dyDescent="0.3">
      <c r="A732" s="555"/>
      <c r="B732" s="555"/>
      <c r="C732" s="555"/>
      <c r="D732" s="555"/>
      <c r="E732" s="555"/>
      <c r="F732" s="555"/>
      <c r="G732" s="555"/>
      <c r="H732" s="555"/>
      <c r="I732" s="555"/>
      <c r="J732" s="555"/>
      <c r="K732" s="555"/>
      <c r="L732" s="555"/>
      <c r="M732" s="555"/>
      <c r="N732" s="555"/>
    </row>
    <row r="733" spans="1:14" ht="18" customHeight="1" x14ac:dyDescent="0.3">
      <c r="A733" s="555"/>
      <c r="B733" s="555"/>
      <c r="C733" s="555"/>
      <c r="D733" s="555"/>
      <c r="E733" s="555"/>
      <c r="F733" s="555"/>
      <c r="G733" s="555"/>
      <c r="H733" s="555"/>
      <c r="I733" s="555"/>
      <c r="J733" s="555"/>
      <c r="K733" s="555"/>
      <c r="L733" s="555"/>
      <c r="M733" s="555"/>
      <c r="N733" s="555"/>
    </row>
    <row r="734" spans="1:14" ht="18" customHeight="1" x14ac:dyDescent="0.3">
      <c r="A734" s="555"/>
      <c r="B734" s="555"/>
      <c r="C734" s="555"/>
      <c r="D734" s="555"/>
      <c r="E734" s="555"/>
      <c r="F734" s="555"/>
      <c r="G734" s="555"/>
      <c r="H734" s="555"/>
      <c r="I734" s="555"/>
      <c r="J734" s="555"/>
      <c r="K734" s="555"/>
      <c r="L734" s="555"/>
      <c r="M734" s="555"/>
      <c r="N734" s="555"/>
    </row>
    <row r="735" spans="1:14" ht="18" customHeight="1" x14ac:dyDescent="0.3">
      <c r="A735" s="555"/>
      <c r="B735" s="555"/>
      <c r="C735" s="555"/>
      <c r="D735" s="555"/>
      <c r="E735" s="555"/>
      <c r="F735" s="555"/>
      <c r="G735" s="555"/>
      <c r="H735" s="555"/>
      <c r="I735" s="555"/>
      <c r="J735" s="555"/>
      <c r="K735" s="555"/>
      <c r="L735" s="555"/>
      <c r="M735" s="555"/>
      <c r="N735" s="555"/>
    </row>
    <row r="736" spans="1:14" ht="18" customHeight="1" x14ac:dyDescent="0.3">
      <c r="A736" s="555"/>
      <c r="B736" s="555"/>
      <c r="C736" s="555"/>
      <c r="D736" s="555"/>
      <c r="E736" s="555"/>
      <c r="F736" s="555"/>
      <c r="G736" s="555"/>
      <c r="H736" s="555"/>
      <c r="I736" s="555"/>
      <c r="J736" s="555"/>
      <c r="K736" s="555"/>
      <c r="L736" s="555"/>
      <c r="M736" s="555"/>
      <c r="N736" s="555"/>
    </row>
    <row r="737" spans="1:14" ht="18" customHeight="1" x14ac:dyDescent="0.3">
      <c r="A737" s="555"/>
      <c r="B737" s="555"/>
      <c r="C737" s="555"/>
      <c r="D737" s="555"/>
      <c r="E737" s="555"/>
      <c r="F737" s="555"/>
      <c r="G737" s="555"/>
      <c r="H737" s="555"/>
      <c r="I737" s="555"/>
      <c r="J737" s="555"/>
      <c r="K737" s="555"/>
      <c r="L737" s="555"/>
      <c r="M737" s="555"/>
      <c r="N737" s="555"/>
    </row>
    <row r="738" spans="1:14" ht="18" customHeight="1" x14ac:dyDescent="0.3">
      <c r="A738" s="555"/>
      <c r="B738" s="555"/>
      <c r="C738" s="555"/>
      <c r="D738" s="555"/>
      <c r="E738" s="555"/>
      <c r="F738" s="555"/>
      <c r="G738" s="555"/>
      <c r="H738" s="555"/>
      <c r="I738" s="555"/>
      <c r="J738" s="555"/>
      <c r="K738" s="555"/>
      <c r="L738" s="555"/>
      <c r="M738" s="555"/>
      <c r="N738" s="555"/>
    </row>
    <row r="739" spans="1:14" ht="18" customHeight="1" x14ac:dyDescent="0.3">
      <c r="A739" s="555"/>
      <c r="B739" s="555"/>
      <c r="C739" s="555"/>
      <c r="D739" s="555"/>
      <c r="E739" s="555"/>
      <c r="F739" s="555"/>
      <c r="G739" s="555"/>
      <c r="H739" s="555"/>
      <c r="I739" s="555"/>
      <c r="J739" s="555"/>
      <c r="K739" s="555"/>
      <c r="L739" s="555"/>
      <c r="M739" s="555"/>
      <c r="N739" s="555"/>
    </row>
    <row r="740" spans="1:14" ht="18" customHeight="1" x14ac:dyDescent="0.3">
      <c r="A740" s="555"/>
      <c r="B740" s="555"/>
      <c r="C740" s="555"/>
      <c r="D740" s="555"/>
      <c r="E740" s="555"/>
      <c r="F740" s="555"/>
      <c r="G740" s="555"/>
      <c r="H740" s="555"/>
      <c r="I740" s="555"/>
      <c r="J740" s="555"/>
      <c r="K740" s="555"/>
      <c r="L740" s="555"/>
      <c r="M740" s="555"/>
      <c r="N740" s="555"/>
    </row>
    <row r="741" spans="1:14" ht="18" customHeight="1" x14ac:dyDescent="0.3">
      <c r="A741" s="555"/>
      <c r="B741" s="555"/>
      <c r="C741" s="555"/>
      <c r="D741" s="555"/>
      <c r="E741" s="555"/>
      <c r="F741" s="555"/>
      <c r="G741" s="555"/>
      <c r="H741" s="555"/>
      <c r="I741" s="555"/>
      <c r="J741" s="555"/>
      <c r="K741" s="555"/>
      <c r="L741" s="555"/>
      <c r="M741" s="555"/>
      <c r="N741" s="555"/>
    </row>
    <row r="742" spans="1:14" ht="18" customHeight="1" x14ac:dyDescent="0.3">
      <c r="A742" s="555"/>
      <c r="B742" s="555"/>
      <c r="C742" s="555"/>
      <c r="D742" s="555"/>
      <c r="E742" s="555"/>
      <c r="F742" s="555"/>
      <c r="G742" s="555"/>
      <c r="H742" s="555"/>
      <c r="I742" s="555"/>
      <c r="J742" s="555"/>
      <c r="K742" s="555"/>
      <c r="L742" s="555"/>
      <c r="M742" s="555"/>
      <c r="N742" s="555"/>
    </row>
    <row r="743" spans="1:14" ht="18" customHeight="1" x14ac:dyDescent="0.3">
      <c r="A743" s="555"/>
      <c r="B743" s="555"/>
      <c r="C743" s="555"/>
      <c r="D743" s="555"/>
      <c r="E743" s="555"/>
      <c r="F743" s="555"/>
      <c r="G743" s="555"/>
      <c r="H743" s="555"/>
      <c r="I743" s="555"/>
      <c r="J743" s="555"/>
      <c r="K743" s="555"/>
      <c r="L743" s="555"/>
      <c r="M743" s="555"/>
      <c r="N743" s="555"/>
    </row>
    <row r="744" spans="1:14" ht="18" customHeight="1" x14ac:dyDescent="0.3">
      <c r="A744" s="555"/>
      <c r="B744" s="555"/>
      <c r="C744" s="555"/>
      <c r="D744" s="555"/>
      <c r="E744" s="555"/>
      <c r="F744" s="555"/>
      <c r="G744" s="555"/>
      <c r="H744" s="555"/>
      <c r="I744" s="555"/>
      <c r="J744" s="555"/>
      <c r="K744" s="555"/>
      <c r="L744" s="555"/>
      <c r="M744" s="555"/>
      <c r="N744" s="555"/>
    </row>
    <row r="745" spans="1:14" ht="18" customHeight="1" x14ac:dyDescent="0.3">
      <c r="A745" s="555"/>
      <c r="B745" s="555"/>
      <c r="C745" s="555"/>
      <c r="D745" s="555"/>
      <c r="E745" s="555"/>
      <c r="F745" s="555"/>
      <c r="G745" s="555"/>
      <c r="H745" s="555"/>
      <c r="I745" s="555"/>
      <c r="J745" s="555"/>
      <c r="K745" s="555"/>
      <c r="L745" s="555"/>
      <c r="M745" s="555"/>
      <c r="N745" s="555"/>
    </row>
    <row r="746" spans="1:14" ht="18" customHeight="1" x14ac:dyDescent="0.3">
      <c r="A746" s="555"/>
      <c r="B746" s="555"/>
      <c r="C746" s="555"/>
      <c r="D746" s="555"/>
      <c r="E746" s="555"/>
      <c r="F746" s="555"/>
      <c r="G746" s="555"/>
      <c r="H746" s="555"/>
      <c r="I746" s="555"/>
      <c r="J746" s="555"/>
      <c r="K746" s="555"/>
      <c r="L746" s="555"/>
      <c r="M746" s="555"/>
      <c r="N746" s="555"/>
    </row>
    <row r="747" spans="1:14" ht="18" customHeight="1" x14ac:dyDescent="0.3">
      <c r="A747" s="555"/>
      <c r="B747" s="555"/>
      <c r="C747" s="555"/>
      <c r="D747" s="555"/>
      <c r="E747" s="555"/>
      <c r="F747" s="555"/>
      <c r="G747" s="555"/>
      <c r="H747" s="555"/>
      <c r="I747" s="555"/>
      <c r="J747" s="555"/>
      <c r="K747" s="555"/>
      <c r="L747" s="555"/>
      <c r="M747" s="555"/>
      <c r="N747" s="555"/>
    </row>
    <row r="748" spans="1:14" ht="18" customHeight="1" x14ac:dyDescent="0.3">
      <c r="A748" s="555"/>
      <c r="B748" s="555"/>
      <c r="C748" s="555"/>
      <c r="D748" s="555"/>
      <c r="E748" s="555"/>
      <c r="F748" s="555"/>
      <c r="G748" s="555"/>
      <c r="H748" s="555"/>
      <c r="I748" s="555"/>
      <c r="J748" s="555"/>
      <c r="K748" s="555"/>
      <c r="L748" s="555"/>
      <c r="M748" s="555"/>
      <c r="N748" s="555"/>
    </row>
    <row r="749" spans="1:14" ht="18" customHeight="1" x14ac:dyDescent="0.3">
      <c r="A749" s="555"/>
      <c r="B749" s="555"/>
      <c r="C749" s="555"/>
      <c r="D749" s="555"/>
      <c r="E749" s="555"/>
      <c r="F749" s="555"/>
      <c r="G749" s="555"/>
      <c r="H749" s="555"/>
      <c r="I749" s="555"/>
      <c r="J749" s="555"/>
      <c r="K749" s="555"/>
      <c r="L749" s="555"/>
      <c r="M749" s="555"/>
      <c r="N749" s="555"/>
    </row>
    <row r="750" spans="1:14" ht="18" customHeight="1" x14ac:dyDescent="0.3">
      <c r="A750" s="555"/>
      <c r="B750" s="555"/>
      <c r="C750" s="555"/>
      <c r="D750" s="555"/>
      <c r="E750" s="555"/>
      <c r="F750" s="555"/>
      <c r="G750" s="555"/>
      <c r="H750" s="555"/>
      <c r="I750" s="555"/>
      <c r="J750" s="555"/>
      <c r="K750" s="555"/>
      <c r="L750" s="555"/>
      <c r="M750" s="555"/>
      <c r="N750" s="555"/>
    </row>
    <row r="751" spans="1:14" ht="18" customHeight="1" x14ac:dyDescent="0.3">
      <c r="A751" s="555"/>
      <c r="B751" s="555"/>
      <c r="C751" s="555"/>
      <c r="D751" s="555"/>
      <c r="E751" s="555"/>
      <c r="F751" s="555"/>
      <c r="G751" s="555"/>
      <c r="H751" s="555"/>
      <c r="I751" s="555"/>
      <c r="J751" s="555"/>
      <c r="K751" s="555"/>
      <c r="L751" s="555"/>
      <c r="M751" s="555"/>
      <c r="N751" s="555"/>
    </row>
    <row r="752" spans="1:14" ht="18" customHeight="1" x14ac:dyDescent="0.3">
      <c r="A752" s="555"/>
      <c r="B752" s="555"/>
      <c r="C752" s="555"/>
      <c r="D752" s="555"/>
      <c r="E752" s="555"/>
      <c r="F752" s="555"/>
      <c r="G752" s="555"/>
      <c r="H752" s="555"/>
      <c r="I752" s="555"/>
      <c r="J752" s="555"/>
      <c r="K752" s="555"/>
      <c r="L752" s="555"/>
      <c r="M752" s="555"/>
      <c r="N752" s="555"/>
    </row>
    <row r="753" spans="1:14" ht="18" customHeight="1" x14ac:dyDescent="0.3">
      <c r="A753" s="555"/>
      <c r="B753" s="555"/>
      <c r="C753" s="555"/>
      <c r="D753" s="555"/>
      <c r="E753" s="555"/>
      <c r="F753" s="555"/>
      <c r="G753" s="555"/>
      <c r="H753" s="555"/>
      <c r="I753" s="555"/>
      <c r="J753" s="555"/>
      <c r="K753" s="555"/>
      <c r="L753" s="555"/>
      <c r="M753" s="555"/>
      <c r="N753" s="555"/>
    </row>
    <row r="754" spans="1:14" ht="18" customHeight="1" x14ac:dyDescent="0.3">
      <c r="A754" s="555"/>
      <c r="B754" s="555"/>
      <c r="C754" s="555"/>
      <c r="D754" s="555"/>
      <c r="E754" s="555"/>
      <c r="F754" s="555"/>
      <c r="G754" s="555"/>
      <c r="H754" s="555"/>
      <c r="I754" s="555"/>
      <c r="J754" s="555"/>
      <c r="K754" s="555"/>
      <c r="L754" s="555"/>
      <c r="M754" s="555"/>
      <c r="N754" s="555"/>
    </row>
    <row r="755" spans="1:14" ht="18" customHeight="1" x14ac:dyDescent="0.3">
      <c r="A755" s="555"/>
      <c r="B755" s="555"/>
      <c r="C755" s="555"/>
      <c r="D755" s="555"/>
      <c r="E755" s="555"/>
      <c r="F755" s="555"/>
      <c r="G755" s="555"/>
      <c r="H755" s="555"/>
      <c r="I755" s="555"/>
      <c r="J755" s="555"/>
      <c r="K755" s="555"/>
      <c r="L755" s="555"/>
      <c r="M755" s="555"/>
      <c r="N755" s="555"/>
    </row>
    <row r="756" spans="1:14" ht="18" customHeight="1" x14ac:dyDescent="0.3">
      <c r="A756" s="555"/>
      <c r="B756" s="555"/>
      <c r="C756" s="555"/>
      <c r="D756" s="555"/>
      <c r="E756" s="555"/>
      <c r="F756" s="555"/>
      <c r="G756" s="555"/>
      <c r="H756" s="555"/>
      <c r="I756" s="555"/>
      <c r="J756" s="555"/>
      <c r="K756" s="555"/>
      <c r="L756" s="555"/>
      <c r="M756" s="555"/>
      <c r="N756" s="555"/>
    </row>
    <row r="757" spans="1:14" ht="18" customHeight="1" x14ac:dyDescent="0.3">
      <c r="A757" s="555"/>
      <c r="B757" s="555"/>
      <c r="C757" s="555"/>
      <c r="D757" s="555"/>
      <c r="E757" s="555"/>
      <c r="F757" s="555"/>
      <c r="G757" s="555"/>
      <c r="H757" s="555"/>
      <c r="I757" s="555"/>
      <c r="J757" s="555"/>
      <c r="K757" s="555"/>
      <c r="L757" s="555"/>
      <c r="M757" s="555"/>
      <c r="N757" s="555"/>
    </row>
    <row r="758" spans="1:14" ht="18" customHeight="1" x14ac:dyDescent="0.3">
      <c r="A758" s="555"/>
      <c r="B758" s="555"/>
      <c r="C758" s="555"/>
      <c r="D758" s="555"/>
      <c r="E758" s="555"/>
      <c r="F758" s="555"/>
      <c r="G758" s="555"/>
      <c r="H758" s="555"/>
      <c r="I758" s="555"/>
      <c r="J758" s="555"/>
      <c r="K758" s="555"/>
      <c r="L758" s="555"/>
      <c r="M758" s="555"/>
      <c r="N758" s="555"/>
    </row>
    <row r="759" spans="1:14" ht="18" customHeight="1" x14ac:dyDescent="0.3">
      <c r="A759" s="555"/>
      <c r="B759" s="555"/>
      <c r="C759" s="555"/>
      <c r="D759" s="555"/>
      <c r="E759" s="555"/>
      <c r="F759" s="555"/>
      <c r="G759" s="555"/>
      <c r="H759" s="555"/>
      <c r="I759" s="555"/>
      <c r="J759" s="555"/>
      <c r="K759" s="555"/>
      <c r="L759" s="555"/>
      <c r="M759" s="555"/>
      <c r="N759" s="555"/>
    </row>
    <row r="760" spans="1:14" ht="18" customHeight="1" x14ac:dyDescent="0.3">
      <c r="A760" s="555"/>
      <c r="B760" s="555"/>
      <c r="C760" s="555"/>
      <c r="D760" s="555"/>
      <c r="E760" s="555"/>
      <c r="F760" s="555"/>
      <c r="G760" s="555"/>
      <c r="H760" s="555"/>
      <c r="I760" s="555"/>
      <c r="J760" s="555"/>
      <c r="K760" s="555"/>
      <c r="L760" s="555"/>
      <c r="M760" s="555"/>
      <c r="N760" s="555"/>
    </row>
    <row r="761" spans="1:14" ht="18" customHeight="1" x14ac:dyDescent="0.3">
      <c r="A761" s="555"/>
      <c r="B761" s="555"/>
      <c r="C761" s="555"/>
      <c r="D761" s="555"/>
      <c r="E761" s="555"/>
      <c r="F761" s="555"/>
      <c r="G761" s="555"/>
      <c r="H761" s="555"/>
      <c r="I761" s="555"/>
      <c r="J761" s="555"/>
      <c r="K761" s="555"/>
      <c r="L761" s="555"/>
      <c r="M761" s="555"/>
      <c r="N761" s="555"/>
    </row>
    <row r="762" spans="1:14" ht="18" customHeight="1" x14ac:dyDescent="0.3">
      <c r="A762" s="555"/>
      <c r="B762" s="555"/>
      <c r="C762" s="555"/>
      <c r="D762" s="555"/>
      <c r="E762" s="555"/>
      <c r="F762" s="555"/>
      <c r="G762" s="555"/>
      <c r="H762" s="555"/>
      <c r="I762" s="555"/>
      <c r="J762" s="555"/>
      <c r="K762" s="555"/>
      <c r="L762" s="555"/>
      <c r="M762" s="555"/>
      <c r="N762" s="555"/>
    </row>
    <row r="763" spans="1:14" ht="18" customHeight="1" x14ac:dyDescent="0.3">
      <c r="A763" s="555"/>
      <c r="B763" s="555"/>
      <c r="C763" s="555"/>
      <c r="D763" s="555"/>
      <c r="E763" s="555"/>
      <c r="F763" s="555"/>
      <c r="G763" s="555"/>
      <c r="H763" s="555"/>
      <c r="I763" s="555"/>
      <c r="J763" s="555"/>
      <c r="K763" s="555"/>
      <c r="L763" s="555"/>
      <c r="M763" s="555"/>
      <c r="N763" s="555"/>
    </row>
    <row r="764" spans="1:14" ht="18" customHeight="1" x14ac:dyDescent="0.3">
      <c r="A764" s="555"/>
      <c r="B764" s="555"/>
      <c r="C764" s="555"/>
      <c r="D764" s="555"/>
      <c r="E764" s="555"/>
      <c r="F764" s="555"/>
      <c r="G764" s="555"/>
      <c r="H764" s="555"/>
      <c r="I764" s="555"/>
      <c r="J764" s="555"/>
      <c r="K764" s="555"/>
      <c r="L764" s="555"/>
      <c r="M764" s="555"/>
      <c r="N764" s="555"/>
    </row>
    <row r="765" spans="1:14" ht="18" customHeight="1" x14ac:dyDescent="0.3">
      <c r="A765" s="555"/>
      <c r="B765" s="555"/>
      <c r="C765" s="555"/>
      <c r="D765" s="555"/>
      <c r="E765" s="555"/>
      <c r="F765" s="555"/>
      <c r="G765" s="555"/>
      <c r="H765" s="555"/>
      <c r="I765" s="555"/>
      <c r="J765" s="555"/>
      <c r="K765" s="555"/>
      <c r="L765" s="555"/>
      <c r="M765" s="555"/>
      <c r="N765" s="555"/>
    </row>
    <row r="766" spans="1:14" ht="18" customHeight="1" x14ac:dyDescent="0.3">
      <c r="A766" s="555"/>
      <c r="B766" s="555"/>
      <c r="C766" s="555"/>
      <c r="D766" s="555"/>
      <c r="E766" s="555"/>
      <c r="F766" s="555"/>
      <c r="G766" s="555"/>
      <c r="H766" s="555"/>
      <c r="I766" s="555"/>
      <c r="J766" s="555"/>
      <c r="K766" s="555"/>
      <c r="L766" s="555"/>
      <c r="M766" s="555"/>
      <c r="N766" s="555"/>
    </row>
    <row r="767" spans="1:14" ht="18" customHeight="1" x14ac:dyDescent="0.3">
      <c r="A767" s="555"/>
      <c r="B767" s="555"/>
      <c r="C767" s="555"/>
      <c r="D767" s="555"/>
      <c r="E767" s="555"/>
      <c r="F767" s="555"/>
      <c r="G767" s="555"/>
      <c r="H767" s="555"/>
      <c r="I767" s="555"/>
      <c r="J767" s="555"/>
      <c r="K767" s="555"/>
      <c r="L767" s="555"/>
      <c r="M767" s="555"/>
      <c r="N767" s="555"/>
    </row>
    <row r="768" spans="1:14" ht="18" customHeight="1" x14ac:dyDescent="0.3">
      <c r="A768" s="555"/>
      <c r="B768" s="555"/>
      <c r="C768" s="555"/>
      <c r="D768" s="555"/>
      <c r="E768" s="555"/>
      <c r="F768" s="555"/>
      <c r="G768" s="555"/>
      <c r="H768" s="555"/>
      <c r="I768" s="555"/>
      <c r="J768" s="555"/>
      <c r="K768" s="555"/>
      <c r="L768" s="555"/>
      <c r="M768" s="555"/>
      <c r="N768" s="555"/>
    </row>
    <row r="769" spans="1:14" ht="18" customHeight="1" x14ac:dyDescent="0.3">
      <c r="A769" s="555"/>
      <c r="B769" s="555"/>
      <c r="C769" s="555"/>
      <c r="D769" s="555"/>
      <c r="E769" s="555"/>
      <c r="F769" s="555"/>
      <c r="G769" s="555"/>
      <c r="H769" s="555"/>
      <c r="I769" s="555"/>
      <c r="J769" s="555"/>
      <c r="K769" s="555"/>
      <c r="L769" s="555"/>
      <c r="M769" s="555"/>
      <c r="N769" s="555"/>
    </row>
    <row r="770" spans="1:14" ht="18" customHeight="1" x14ac:dyDescent="0.3">
      <c r="A770" s="555"/>
      <c r="B770" s="555"/>
      <c r="C770" s="555"/>
      <c r="D770" s="555"/>
      <c r="E770" s="555"/>
      <c r="F770" s="555"/>
      <c r="G770" s="555"/>
      <c r="H770" s="555"/>
      <c r="I770" s="555"/>
      <c r="J770" s="555"/>
      <c r="K770" s="555"/>
      <c r="L770" s="555"/>
      <c r="M770" s="555"/>
      <c r="N770" s="555"/>
    </row>
    <row r="771" spans="1:14" ht="18" customHeight="1" x14ac:dyDescent="0.3">
      <c r="A771" s="555"/>
      <c r="B771" s="555"/>
      <c r="C771" s="555"/>
      <c r="D771" s="555"/>
      <c r="E771" s="555"/>
      <c r="F771" s="555"/>
      <c r="G771" s="555"/>
      <c r="H771" s="555"/>
      <c r="I771" s="555"/>
      <c r="J771" s="555"/>
      <c r="K771" s="555"/>
      <c r="L771" s="555"/>
      <c r="M771" s="555"/>
      <c r="N771" s="555"/>
    </row>
    <row r="772" spans="1:14" ht="18" customHeight="1" x14ac:dyDescent="0.3">
      <c r="A772" s="555"/>
      <c r="B772" s="555"/>
      <c r="C772" s="555"/>
      <c r="D772" s="555"/>
      <c r="E772" s="555"/>
      <c r="F772" s="555"/>
      <c r="G772" s="555"/>
      <c r="H772" s="555"/>
      <c r="I772" s="555"/>
      <c r="J772" s="555"/>
      <c r="K772" s="555"/>
      <c r="L772" s="555"/>
      <c r="M772" s="555"/>
      <c r="N772" s="555"/>
    </row>
    <row r="773" spans="1:14" ht="18" customHeight="1" x14ac:dyDescent="0.3">
      <c r="A773" s="555"/>
      <c r="B773" s="555"/>
      <c r="C773" s="555"/>
      <c r="D773" s="555"/>
      <c r="E773" s="555"/>
      <c r="F773" s="555"/>
      <c r="G773" s="555"/>
      <c r="H773" s="555"/>
      <c r="I773" s="555"/>
      <c r="J773" s="555"/>
      <c r="K773" s="555"/>
      <c r="L773" s="555"/>
      <c r="M773" s="555"/>
      <c r="N773" s="555"/>
    </row>
    <row r="774" spans="1:14" ht="18" customHeight="1" x14ac:dyDescent="0.3">
      <c r="A774" s="555"/>
      <c r="B774" s="555"/>
      <c r="C774" s="555"/>
      <c r="D774" s="555"/>
      <c r="E774" s="555"/>
      <c r="F774" s="555"/>
      <c r="G774" s="555"/>
      <c r="H774" s="555"/>
      <c r="I774" s="555"/>
      <c r="J774" s="555"/>
      <c r="K774" s="555"/>
      <c r="L774" s="555"/>
      <c r="M774" s="555"/>
      <c r="N774" s="555"/>
    </row>
    <row r="775" spans="1:14" ht="18" customHeight="1" x14ac:dyDescent="0.3">
      <c r="A775" s="555"/>
      <c r="B775" s="555"/>
      <c r="C775" s="555"/>
      <c r="D775" s="555"/>
      <c r="E775" s="555"/>
      <c r="F775" s="555"/>
      <c r="G775" s="555"/>
      <c r="H775" s="555"/>
      <c r="I775" s="555"/>
      <c r="J775" s="555"/>
      <c r="K775" s="555"/>
      <c r="L775" s="555"/>
      <c r="M775" s="555"/>
      <c r="N775" s="555"/>
    </row>
    <row r="776" spans="1:14" ht="18" customHeight="1" x14ac:dyDescent="0.3">
      <c r="A776" s="555"/>
      <c r="B776" s="555"/>
      <c r="C776" s="555"/>
      <c r="D776" s="555"/>
      <c r="E776" s="555"/>
      <c r="F776" s="555"/>
      <c r="G776" s="555"/>
      <c r="H776" s="555"/>
      <c r="I776" s="555"/>
      <c r="J776" s="555"/>
      <c r="K776" s="555"/>
      <c r="L776" s="555"/>
      <c r="M776" s="555"/>
      <c r="N776" s="555"/>
    </row>
    <row r="777" spans="1:14" ht="18" customHeight="1" x14ac:dyDescent="0.3">
      <c r="A777" s="555"/>
      <c r="B777" s="555"/>
      <c r="C777" s="555"/>
      <c r="D777" s="555"/>
      <c r="E777" s="555"/>
      <c r="F777" s="555"/>
      <c r="G777" s="555"/>
      <c r="H777" s="555"/>
      <c r="I777" s="555"/>
      <c r="J777" s="555"/>
      <c r="K777" s="555"/>
      <c r="L777" s="555"/>
      <c r="M777" s="555"/>
      <c r="N777" s="555"/>
    </row>
    <row r="778" spans="1:14" ht="18" customHeight="1" x14ac:dyDescent="0.3">
      <c r="A778" s="555"/>
      <c r="B778" s="555"/>
      <c r="C778" s="555"/>
      <c r="D778" s="555"/>
      <c r="E778" s="555"/>
      <c r="F778" s="555"/>
      <c r="G778" s="555"/>
      <c r="H778" s="555"/>
      <c r="I778" s="555"/>
      <c r="J778" s="555"/>
      <c r="K778" s="555"/>
      <c r="L778" s="555"/>
      <c r="M778" s="555"/>
      <c r="N778" s="555"/>
    </row>
    <row r="779" spans="1:14" ht="18" customHeight="1" x14ac:dyDescent="0.3">
      <c r="A779" s="555"/>
      <c r="B779" s="555"/>
      <c r="C779" s="555"/>
      <c r="D779" s="555"/>
      <c r="E779" s="555"/>
      <c r="F779" s="555"/>
      <c r="G779" s="555"/>
      <c r="H779" s="555"/>
      <c r="I779" s="555"/>
      <c r="J779" s="555"/>
      <c r="K779" s="555"/>
      <c r="L779" s="555"/>
      <c r="M779" s="555"/>
      <c r="N779" s="555"/>
    </row>
    <row r="780" spans="1:14" ht="18" customHeight="1" x14ac:dyDescent="0.3">
      <c r="A780" s="555"/>
      <c r="B780" s="555"/>
      <c r="C780" s="555"/>
      <c r="D780" s="555"/>
      <c r="E780" s="555"/>
      <c r="F780" s="555"/>
      <c r="G780" s="555"/>
      <c r="H780" s="555"/>
      <c r="I780" s="555"/>
      <c r="J780" s="555"/>
      <c r="K780" s="555"/>
      <c r="L780" s="555"/>
      <c r="M780" s="555"/>
      <c r="N780" s="555"/>
    </row>
    <row r="781" spans="1:14" ht="18" customHeight="1" x14ac:dyDescent="0.3">
      <c r="A781" s="555"/>
      <c r="B781" s="555"/>
      <c r="C781" s="555"/>
      <c r="D781" s="555"/>
      <c r="E781" s="555"/>
      <c r="F781" s="555"/>
      <c r="G781" s="555"/>
      <c r="H781" s="555"/>
      <c r="I781" s="555"/>
      <c r="J781" s="555"/>
      <c r="K781" s="555"/>
      <c r="L781" s="555"/>
      <c r="M781" s="555"/>
      <c r="N781" s="555"/>
    </row>
    <row r="782" spans="1:14" ht="18" customHeight="1" x14ac:dyDescent="0.3">
      <c r="A782" s="555"/>
      <c r="B782" s="555"/>
      <c r="C782" s="555"/>
      <c r="D782" s="555"/>
      <c r="E782" s="555"/>
      <c r="F782" s="555"/>
      <c r="G782" s="555"/>
      <c r="H782" s="555"/>
      <c r="I782" s="555"/>
      <c r="J782" s="555"/>
      <c r="K782" s="555"/>
      <c r="L782" s="555"/>
      <c r="M782" s="555"/>
      <c r="N782" s="555"/>
    </row>
    <row r="783" spans="1:14" ht="18" customHeight="1" x14ac:dyDescent="0.3">
      <c r="A783" s="555"/>
      <c r="B783" s="555"/>
      <c r="C783" s="555"/>
      <c r="D783" s="555"/>
      <c r="E783" s="555"/>
      <c r="F783" s="555"/>
      <c r="G783" s="555"/>
      <c r="H783" s="555"/>
      <c r="I783" s="555"/>
      <c r="J783" s="555"/>
      <c r="K783" s="555"/>
      <c r="L783" s="555"/>
      <c r="M783" s="555"/>
      <c r="N783" s="555"/>
    </row>
    <row r="784" spans="1:14" ht="18" customHeight="1" x14ac:dyDescent="0.3">
      <c r="A784" s="555"/>
      <c r="B784" s="555"/>
      <c r="C784" s="555"/>
      <c r="D784" s="555"/>
      <c r="E784" s="555"/>
      <c r="F784" s="555"/>
      <c r="G784" s="555"/>
      <c r="H784" s="555"/>
      <c r="I784" s="555"/>
      <c r="J784" s="555"/>
      <c r="K784" s="555"/>
      <c r="L784" s="555"/>
      <c r="M784" s="555"/>
      <c r="N784" s="555"/>
    </row>
    <row r="785" spans="1:14" ht="18" customHeight="1" x14ac:dyDescent="0.3">
      <c r="A785" s="555"/>
      <c r="B785" s="555"/>
      <c r="C785" s="555"/>
      <c r="D785" s="555"/>
      <c r="E785" s="555"/>
      <c r="F785" s="555"/>
      <c r="G785" s="555"/>
      <c r="H785" s="555"/>
      <c r="I785" s="555"/>
      <c r="J785" s="555"/>
      <c r="K785" s="555"/>
      <c r="L785" s="555"/>
      <c r="M785" s="555"/>
      <c r="N785" s="555"/>
    </row>
    <row r="786" spans="1:14" ht="18" customHeight="1" x14ac:dyDescent="0.3">
      <c r="A786" s="555"/>
      <c r="B786" s="555"/>
      <c r="C786" s="555"/>
      <c r="D786" s="555"/>
      <c r="E786" s="555"/>
      <c r="F786" s="555"/>
      <c r="G786" s="555"/>
      <c r="H786" s="555"/>
      <c r="I786" s="555"/>
      <c r="J786" s="555"/>
      <c r="K786" s="555"/>
      <c r="L786" s="555"/>
      <c r="M786" s="555"/>
      <c r="N786" s="555"/>
    </row>
    <row r="787" spans="1:14" ht="18" customHeight="1" x14ac:dyDescent="0.3">
      <c r="A787" s="555"/>
      <c r="B787" s="555"/>
      <c r="C787" s="555"/>
      <c r="D787" s="555"/>
      <c r="E787" s="555"/>
      <c r="F787" s="555"/>
      <c r="G787" s="555"/>
      <c r="H787" s="555"/>
      <c r="I787" s="555"/>
      <c r="J787" s="555"/>
      <c r="K787" s="555"/>
      <c r="L787" s="555"/>
      <c r="M787" s="555"/>
      <c r="N787" s="555"/>
    </row>
    <row r="788" spans="1:14" ht="18" customHeight="1" x14ac:dyDescent="0.3">
      <c r="A788" s="555"/>
      <c r="B788" s="555"/>
      <c r="C788" s="555"/>
      <c r="D788" s="555"/>
      <c r="E788" s="555"/>
      <c r="F788" s="555"/>
      <c r="G788" s="555"/>
      <c r="H788" s="555"/>
      <c r="I788" s="555"/>
      <c r="J788" s="555"/>
      <c r="K788" s="555"/>
      <c r="L788" s="555"/>
      <c r="M788" s="555"/>
      <c r="N788" s="555"/>
    </row>
    <row r="789" spans="1:14" ht="18" customHeight="1" x14ac:dyDescent="0.3">
      <c r="A789" s="555"/>
      <c r="B789" s="555"/>
      <c r="C789" s="555"/>
      <c r="D789" s="555"/>
      <c r="E789" s="555"/>
      <c r="F789" s="555"/>
      <c r="G789" s="555"/>
      <c r="H789" s="555"/>
      <c r="I789" s="555"/>
      <c r="J789" s="555"/>
      <c r="K789" s="555"/>
      <c r="L789" s="555"/>
      <c r="M789" s="555"/>
      <c r="N789" s="555"/>
    </row>
    <row r="790" spans="1:14" ht="18" customHeight="1" x14ac:dyDescent="0.3">
      <c r="A790" s="555"/>
      <c r="B790" s="555"/>
      <c r="C790" s="555"/>
      <c r="D790" s="555"/>
      <c r="E790" s="555"/>
      <c r="F790" s="555"/>
      <c r="G790" s="555"/>
      <c r="H790" s="555"/>
      <c r="I790" s="555"/>
      <c r="J790" s="555"/>
      <c r="K790" s="555"/>
      <c r="L790" s="555"/>
      <c r="M790" s="555"/>
      <c r="N790" s="555"/>
    </row>
    <row r="791" spans="1:14" ht="18" customHeight="1" x14ac:dyDescent="0.3">
      <c r="A791" s="555"/>
      <c r="B791" s="555"/>
      <c r="C791" s="555"/>
      <c r="D791" s="555"/>
      <c r="E791" s="555"/>
      <c r="F791" s="555"/>
      <c r="G791" s="555"/>
      <c r="H791" s="555"/>
      <c r="I791" s="555"/>
      <c r="J791" s="555"/>
      <c r="K791" s="555"/>
      <c r="L791" s="555"/>
      <c r="M791" s="555"/>
      <c r="N791" s="555"/>
    </row>
    <row r="792" spans="1:14" ht="18" customHeight="1" x14ac:dyDescent="0.3">
      <c r="A792" s="555"/>
      <c r="B792" s="555"/>
      <c r="C792" s="555"/>
      <c r="D792" s="555"/>
      <c r="E792" s="555"/>
      <c r="F792" s="555"/>
      <c r="G792" s="555"/>
      <c r="H792" s="555"/>
      <c r="I792" s="555"/>
      <c r="J792" s="555"/>
      <c r="K792" s="555"/>
      <c r="L792" s="555"/>
      <c r="M792" s="555"/>
      <c r="N792" s="555"/>
    </row>
    <row r="793" spans="1:14" ht="18" customHeight="1" x14ac:dyDescent="0.3">
      <c r="A793" s="555"/>
      <c r="B793" s="555"/>
      <c r="C793" s="555"/>
      <c r="D793" s="555"/>
      <c r="E793" s="555"/>
      <c r="F793" s="555"/>
      <c r="G793" s="555"/>
      <c r="H793" s="555"/>
      <c r="I793" s="555"/>
      <c r="J793" s="555"/>
      <c r="K793" s="555"/>
      <c r="L793" s="555"/>
      <c r="M793" s="555"/>
      <c r="N793" s="555"/>
    </row>
    <row r="794" spans="1:14" ht="18" customHeight="1" x14ac:dyDescent="0.3">
      <c r="A794" s="555"/>
      <c r="B794" s="555"/>
      <c r="C794" s="555"/>
      <c r="D794" s="555"/>
      <c r="E794" s="555"/>
      <c r="F794" s="555"/>
      <c r="G794" s="555"/>
      <c r="H794" s="555"/>
      <c r="I794" s="555"/>
      <c r="J794" s="555"/>
      <c r="K794" s="555"/>
      <c r="L794" s="555"/>
      <c r="M794" s="555"/>
      <c r="N794" s="555"/>
    </row>
    <row r="795" spans="1:14" ht="18" customHeight="1" x14ac:dyDescent="0.3">
      <c r="A795" s="555"/>
      <c r="B795" s="555"/>
      <c r="C795" s="555"/>
      <c r="D795" s="555"/>
      <c r="E795" s="555"/>
      <c r="F795" s="555"/>
      <c r="G795" s="555"/>
      <c r="H795" s="555"/>
      <c r="I795" s="555"/>
      <c r="J795" s="555"/>
      <c r="K795" s="555"/>
      <c r="L795" s="555"/>
      <c r="M795" s="555"/>
      <c r="N795" s="555"/>
    </row>
    <row r="796" spans="1:14" ht="18" customHeight="1" x14ac:dyDescent="0.3">
      <c r="A796" s="555"/>
      <c r="B796" s="555"/>
      <c r="C796" s="555"/>
      <c r="D796" s="555"/>
      <c r="E796" s="555"/>
      <c r="F796" s="555"/>
      <c r="G796" s="555"/>
      <c r="H796" s="555"/>
      <c r="I796" s="555"/>
      <c r="J796" s="555"/>
      <c r="K796" s="555"/>
      <c r="L796" s="555"/>
      <c r="M796" s="555"/>
      <c r="N796" s="555"/>
    </row>
    <row r="797" spans="1:14" ht="18" customHeight="1" x14ac:dyDescent="0.3">
      <c r="A797" s="555"/>
      <c r="B797" s="555"/>
      <c r="C797" s="555"/>
      <c r="D797" s="555"/>
      <c r="E797" s="555"/>
      <c r="F797" s="555"/>
      <c r="G797" s="555"/>
      <c r="H797" s="555"/>
      <c r="I797" s="555"/>
      <c r="J797" s="555"/>
      <c r="K797" s="555"/>
      <c r="L797" s="555"/>
      <c r="M797" s="555"/>
      <c r="N797" s="555"/>
    </row>
    <row r="798" spans="1:14" ht="18" customHeight="1" x14ac:dyDescent="0.3">
      <c r="A798" s="555"/>
      <c r="B798" s="555"/>
      <c r="C798" s="555"/>
      <c r="D798" s="555"/>
      <c r="E798" s="555"/>
      <c r="F798" s="555"/>
      <c r="G798" s="555"/>
      <c r="H798" s="555"/>
      <c r="I798" s="555"/>
      <c r="J798" s="555"/>
      <c r="K798" s="555"/>
      <c r="L798" s="555"/>
      <c r="M798" s="555"/>
      <c r="N798" s="555"/>
    </row>
    <row r="799" spans="1:14" ht="18" customHeight="1" x14ac:dyDescent="0.3">
      <c r="A799" s="555"/>
      <c r="B799" s="555"/>
      <c r="C799" s="555"/>
      <c r="D799" s="555"/>
      <c r="E799" s="555"/>
      <c r="F799" s="555"/>
      <c r="G799" s="555"/>
      <c r="H799" s="555"/>
      <c r="I799" s="555"/>
      <c r="J799" s="555"/>
      <c r="K799" s="555"/>
      <c r="L799" s="555"/>
      <c r="M799" s="555"/>
      <c r="N799" s="555"/>
    </row>
    <row r="800" spans="1:14" ht="18" customHeight="1" x14ac:dyDescent="0.3">
      <c r="A800" s="555"/>
      <c r="B800" s="555"/>
      <c r="C800" s="555"/>
      <c r="D800" s="555"/>
      <c r="E800" s="555"/>
      <c r="F800" s="555"/>
      <c r="G800" s="555"/>
      <c r="H800" s="555"/>
      <c r="I800" s="555"/>
      <c r="J800" s="555"/>
      <c r="K800" s="555"/>
      <c r="L800" s="555"/>
      <c r="M800" s="555"/>
      <c r="N800" s="555"/>
    </row>
    <row r="801" spans="1:14" ht="18" customHeight="1" x14ac:dyDescent="0.3">
      <c r="A801" s="555"/>
      <c r="B801" s="555"/>
      <c r="C801" s="555"/>
      <c r="D801" s="555"/>
      <c r="E801" s="555"/>
      <c r="F801" s="555"/>
      <c r="G801" s="555"/>
      <c r="H801" s="555"/>
      <c r="I801" s="555"/>
      <c r="J801" s="555"/>
      <c r="K801" s="555"/>
      <c r="L801" s="555"/>
      <c r="M801" s="555"/>
      <c r="N801" s="555"/>
    </row>
    <row r="802" spans="1:14" ht="18" customHeight="1" x14ac:dyDescent="0.3">
      <c r="A802" s="555"/>
      <c r="B802" s="555"/>
      <c r="C802" s="555"/>
      <c r="D802" s="555"/>
      <c r="E802" s="555"/>
      <c r="F802" s="555"/>
      <c r="G802" s="555"/>
      <c r="H802" s="555"/>
      <c r="I802" s="555"/>
      <c r="J802" s="555"/>
      <c r="K802" s="555"/>
      <c r="L802" s="555"/>
      <c r="M802" s="555"/>
      <c r="N802" s="555"/>
    </row>
    <row r="803" spans="1:14" ht="18" customHeight="1" x14ac:dyDescent="0.3">
      <c r="A803" s="555"/>
      <c r="B803" s="555"/>
      <c r="C803" s="555"/>
      <c r="D803" s="555"/>
      <c r="E803" s="555"/>
      <c r="F803" s="555"/>
      <c r="G803" s="555"/>
      <c r="H803" s="555"/>
      <c r="I803" s="555"/>
      <c r="J803" s="555"/>
      <c r="K803" s="555"/>
      <c r="L803" s="555"/>
      <c r="M803" s="555"/>
      <c r="N803" s="555"/>
    </row>
    <row r="804" spans="1:14" ht="18" customHeight="1" x14ac:dyDescent="0.3">
      <c r="A804" s="555"/>
      <c r="B804" s="555"/>
      <c r="C804" s="555"/>
      <c r="D804" s="555"/>
      <c r="E804" s="555"/>
      <c r="F804" s="555"/>
      <c r="G804" s="555"/>
      <c r="H804" s="555"/>
      <c r="I804" s="555"/>
      <c r="J804" s="555"/>
      <c r="K804" s="555"/>
      <c r="L804" s="555"/>
      <c r="M804" s="555"/>
      <c r="N804" s="555"/>
    </row>
    <row r="805" spans="1:14" ht="18" customHeight="1" x14ac:dyDescent="0.3">
      <c r="A805" s="555"/>
      <c r="B805" s="555"/>
      <c r="C805" s="555"/>
      <c r="D805" s="555"/>
      <c r="E805" s="555"/>
      <c r="F805" s="555"/>
      <c r="G805" s="555"/>
      <c r="H805" s="555"/>
      <c r="I805" s="555"/>
      <c r="J805" s="555"/>
      <c r="K805" s="555"/>
      <c r="L805" s="555"/>
      <c r="M805" s="555"/>
      <c r="N805" s="555"/>
    </row>
    <row r="806" spans="1:14" ht="18" customHeight="1" x14ac:dyDescent="0.3">
      <c r="A806" s="555"/>
      <c r="B806" s="555"/>
      <c r="C806" s="555"/>
      <c r="D806" s="555"/>
      <c r="E806" s="555"/>
      <c r="F806" s="555"/>
      <c r="G806" s="555"/>
      <c r="H806" s="555"/>
      <c r="I806" s="555"/>
      <c r="J806" s="555"/>
      <c r="K806" s="555"/>
      <c r="L806" s="555"/>
      <c r="M806" s="555"/>
      <c r="N806" s="555"/>
    </row>
    <row r="807" spans="1:14" ht="18" customHeight="1" x14ac:dyDescent="0.3">
      <c r="A807" s="555"/>
      <c r="B807" s="555"/>
      <c r="C807" s="555"/>
      <c r="D807" s="555"/>
      <c r="E807" s="555"/>
      <c r="F807" s="555"/>
      <c r="G807" s="555"/>
      <c r="H807" s="555"/>
      <c r="I807" s="555"/>
      <c r="J807" s="555"/>
      <c r="K807" s="555"/>
      <c r="L807" s="555"/>
      <c r="M807" s="555"/>
      <c r="N807" s="555"/>
    </row>
    <row r="808" spans="1:14" ht="18" customHeight="1" x14ac:dyDescent="0.3">
      <c r="A808" s="555"/>
      <c r="B808" s="555"/>
      <c r="C808" s="555"/>
      <c r="D808" s="555"/>
      <c r="E808" s="555"/>
      <c r="F808" s="555"/>
      <c r="G808" s="555"/>
      <c r="H808" s="555"/>
      <c r="I808" s="555"/>
      <c r="J808" s="555"/>
      <c r="K808" s="555"/>
      <c r="L808" s="555"/>
      <c r="M808" s="555"/>
      <c r="N808" s="555"/>
    </row>
    <row r="809" spans="1:14" ht="18" customHeight="1" x14ac:dyDescent="0.3">
      <c r="A809" s="555"/>
      <c r="B809" s="555"/>
      <c r="C809" s="555"/>
      <c r="D809" s="555"/>
      <c r="E809" s="555"/>
      <c r="F809" s="555"/>
      <c r="G809" s="555"/>
      <c r="H809" s="555"/>
      <c r="I809" s="555"/>
      <c r="J809" s="555"/>
      <c r="K809" s="555"/>
      <c r="L809" s="555"/>
      <c r="M809" s="555"/>
      <c r="N809" s="555"/>
    </row>
    <row r="810" spans="1:14" ht="18" customHeight="1" x14ac:dyDescent="0.3">
      <c r="A810" s="555"/>
      <c r="B810" s="555"/>
      <c r="C810" s="555"/>
      <c r="D810" s="555"/>
      <c r="E810" s="555"/>
      <c r="F810" s="555"/>
      <c r="G810" s="555"/>
      <c r="H810" s="555"/>
      <c r="I810" s="555"/>
      <c r="J810" s="555"/>
      <c r="K810" s="555"/>
      <c r="L810" s="555"/>
      <c r="M810" s="555"/>
      <c r="N810" s="555"/>
    </row>
    <row r="811" spans="1:14" ht="18" customHeight="1" x14ac:dyDescent="0.3">
      <c r="A811" s="555"/>
      <c r="B811" s="555"/>
      <c r="C811" s="555"/>
      <c r="D811" s="555"/>
      <c r="E811" s="555"/>
      <c r="F811" s="555"/>
      <c r="G811" s="555"/>
      <c r="H811" s="555"/>
      <c r="I811" s="555"/>
      <c r="J811" s="555"/>
      <c r="K811" s="555"/>
      <c r="L811" s="555"/>
      <c r="M811" s="555"/>
      <c r="N811" s="555"/>
    </row>
    <row r="812" spans="1:14" ht="18" customHeight="1" x14ac:dyDescent="0.3">
      <c r="A812" s="555"/>
      <c r="B812" s="555"/>
      <c r="C812" s="555"/>
      <c r="D812" s="555"/>
      <c r="E812" s="555"/>
      <c r="F812" s="555"/>
      <c r="G812" s="555"/>
      <c r="H812" s="555"/>
      <c r="I812" s="555"/>
      <c r="J812" s="555"/>
      <c r="K812" s="555"/>
      <c r="L812" s="555"/>
      <c r="M812" s="555"/>
      <c r="N812" s="555"/>
    </row>
    <row r="813" spans="1:14" ht="18" customHeight="1" x14ac:dyDescent="0.3">
      <c r="A813" s="555"/>
      <c r="B813" s="555"/>
      <c r="C813" s="555"/>
      <c r="D813" s="555"/>
      <c r="E813" s="555"/>
      <c r="F813" s="555"/>
      <c r="G813" s="555"/>
      <c r="H813" s="555"/>
      <c r="I813" s="555"/>
      <c r="J813" s="555"/>
      <c r="K813" s="555"/>
      <c r="L813" s="555"/>
      <c r="M813" s="555"/>
      <c r="N813" s="555"/>
    </row>
    <row r="814" spans="1:14" ht="18" customHeight="1" x14ac:dyDescent="0.3">
      <c r="A814" s="555"/>
      <c r="B814" s="555"/>
      <c r="C814" s="555"/>
      <c r="D814" s="555"/>
      <c r="E814" s="555"/>
      <c r="F814" s="555"/>
      <c r="G814" s="555"/>
      <c r="H814" s="555"/>
      <c r="I814" s="555"/>
      <c r="J814" s="555"/>
      <c r="K814" s="555"/>
      <c r="L814" s="555"/>
      <c r="M814" s="555"/>
      <c r="N814" s="555"/>
    </row>
    <row r="815" spans="1:14" ht="18" customHeight="1" x14ac:dyDescent="0.3">
      <c r="A815" s="555"/>
      <c r="B815" s="555"/>
      <c r="C815" s="555"/>
      <c r="D815" s="555"/>
      <c r="E815" s="555"/>
      <c r="F815" s="555"/>
      <c r="G815" s="555"/>
      <c r="H815" s="555"/>
      <c r="I815" s="555"/>
      <c r="J815" s="555"/>
      <c r="K815" s="555"/>
      <c r="L815" s="555"/>
      <c r="M815" s="555"/>
      <c r="N815" s="555"/>
    </row>
    <row r="816" spans="1:14" ht="18" customHeight="1" x14ac:dyDescent="0.3">
      <c r="A816" s="555"/>
      <c r="B816" s="555"/>
      <c r="C816" s="555"/>
      <c r="D816" s="555"/>
      <c r="E816" s="555"/>
      <c r="F816" s="555"/>
      <c r="G816" s="555"/>
      <c r="H816" s="555"/>
      <c r="I816" s="555"/>
      <c r="J816" s="555"/>
      <c r="K816" s="555"/>
      <c r="L816" s="555"/>
      <c r="M816" s="555"/>
      <c r="N816" s="555"/>
    </row>
    <row r="817" spans="1:14" ht="18" customHeight="1" x14ac:dyDescent="0.3">
      <c r="A817" s="555"/>
      <c r="B817" s="555"/>
      <c r="C817" s="555"/>
      <c r="D817" s="555"/>
      <c r="E817" s="555"/>
      <c r="F817" s="555"/>
      <c r="G817" s="555"/>
      <c r="H817" s="555"/>
      <c r="I817" s="555"/>
      <c r="J817" s="555"/>
      <c r="K817" s="555"/>
      <c r="L817" s="555"/>
      <c r="M817" s="555"/>
      <c r="N817" s="555"/>
    </row>
    <row r="818" spans="1:14" ht="18" customHeight="1" x14ac:dyDescent="0.3">
      <c r="A818" s="555"/>
      <c r="B818" s="555"/>
      <c r="C818" s="555"/>
      <c r="D818" s="555"/>
      <c r="E818" s="555"/>
      <c r="F818" s="555"/>
      <c r="G818" s="555"/>
      <c r="H818" s="555"/>
      <c r="I818" s="555"/>
      <c r="J818" s="555"/>
      <c r="K818" s="555"/>
      <c r="L818" s="555"/>
      <c r="M818" s="555"/>
      <c r="N818" s="555"/>
    </row>
    <row r="819" spans="1:14" ht="18" customHeight="1" x14ac:dyDescent="0.3">
      <c r="A819" s="555"/>
      <c r="B819" s="555"/>
      <c r="C819" s="555"/>
      <c r="D819" s="555"/>
      <c r="E819" s="555"/>
      <c r="F819" s="555"/>
      <c r="G819" s="555"/>
      <c r="H819" s="555"/>
      <c r="I819" s="555"/>
      <c r="J819" s="555"/>
      <c r="K819" s="555"/>
      <c r="L819" s="555"/>
      <c r="M819" s="555"/>
      <c r="N819" s="555"/>
    </row>
    <row r="820" spans="1:14" ht="18" customHeight="1" x14ac:dyDescent="0.3">
      <c r="A820" s="555"/>
      <c r="B820" s="555"/>
      <c r="C820" s="555"/>
      <c r="D820" s="555"/>
      <c r="E820" s="555"/>
      <c r="F820" s="555"/>
      <c r="G820" s="555"/>
      <c r="H820" s="555"/>
      <c r="I820" s="555"/>
      <c r="J820" s="555"/>
      <c r="K820" s="555"/>
      <c r="L820" s="555"/>
      <c r="M820" s="555"/>
      <c r="N820" s="555"/>
    </row>
    <row r="821" spans="1:14" ht="18" customHeight="1" x14ac:dyDescent="0.3">
      <c r="A821" s="555"/>
      <c r="B821" s="555"/>
      <c r="C821" s="555"/>
      <c r="D821" s="555"/>
      <c r="E821" s="555"/>
      <c r="F821" s="555"/>
      <c r="G821" s="555"/>
      <c r="H821" s="555"/>
      <c r="I821" s="555"/>
      <c r="J821" s="555"/>
      <c r="K821" s="555"/>
      <c r="L821" s="555"/>
      <c r="M821" s="555"/>
      <c r="N821" s="555"/>
    </row>
    <row r="822" spans="1:14" ht="18" customHeight="1" x14ac:dyDescent="0.3">
      <c r="A822" s="555"/>
      <c r="B822" s="555"/>
      <c r="C822" s="555"/>
      <c r="D822" s="555"/>
      <c r="E822" s="555"/>
      <c r="F822" s="555"/>
      <c r="G822" s="555"/>
      <c r="H822" s="555"/>
      <c r="I822" s="555"/>
      <c r="J822" s="555"/>
      <c r="K822" s="555"/>
      <c r="L822" s="555"/>
      <c r="M822" s="555"/>
      <c r="N822" s="555"/>
    </row>
    <row r="823" spans="1:14" ht="18" customHeight="1" x14ac:dyDescent="0.3">
      <c r="A823" s="555"/>
      <c r="B823" s="555"/>
      <c r="C823" s="555"/>
      <c r="D823" s="555"/>
      <c r="E823" s="555"/>
      <c r="F823" s="555"/>
      <c r="G823" s="555"/>
      <c r="H823" s="555"/>
      <c r="I823" s="555"/>
      <c r="J823" s="555"/>
      <c r="K823" s="555"/>
      <c r="L823" s="555"/>
      <c r="M823" s="555"/>
      <c r="N823" s="555"/>
    </row>
    <row r="824" spans="1:14" ht="18" customHeight="1" x14ac:dyDescent="0.3">
      <c r="A824" s="555"/>
      <c r="B824" s="555"/>
      <c r="C824" s="555"/>
      <c r="D824" s="555"/>
      <c r="E824" s="555"/>
      <c r="F824" s="555"/>
      <c r="G824" s="555"/>
      <c r="H824" s="555"/>
      <c r="I824" s="555"/>
      <c r="J824" s="555"/>
      <c r="K824" s="555"/>
      <c r="L824" s="555"/>
      <c r="M824" s="555"/>
      <c r="N824" s="555"/>
    </row>
    <row r="825" spans="1:14" ht="18" customHeight="1" x14ac:dyDescent="0.3">
      <c r="A825" s="555"/>
      <c r="B825" s="555"/>
      <c r="C825" s="555"/>
      <c r="D825" s="555"/>
      <c r="E825" s="555"/>
      <c r="F825" s="555"/>
      <c r="G825" s="555"/>
      <c r="H825" s="555"/>
      <c r="I825" s="555"/>
      <c r="J825" s="555"/>
      <c r="K825" s="555"/>
      <c r="L825" s="555"/>
      <c r="M825" s="555"/>
      <c r="N825" s="555"/>
    </row>
    <row r="826" spans="1:14" ht="18" customHeight="1" x14ac:dyDescent="0.3">
      <c r="A826" s="555"/>
      <c r="B826" s="555"/>
      <c r="C826" s="555"/>
      <c r="D826" s="555"/>
      <c r="E826" s="555"/>
      <c r="F826" s="555"/>
      <c r="G826" s="555"/>
      <c r="H826" s="555"/>
      <c r="I826" s="555"/>
      <c r="J826" s="555"/>
      <c r="K826" s="555"/>
      <c r="L826" s="555"/>
      <c r="M826" s="555"/>
      <c r="N826" s="555"/>
    </row>
    <row r="827" spans="1:14" ht="18" customHeight="1" x14ac:dyDescent="0.3">
      <c r="A827" s="555"/>
      <c r="B827" s="555"/>
      <c r="C827" s="555"/>
      <c r="D827" s="555"/>
      <c r="E827" s="555"/>
      <c r="F827" s="555"/>
      <c r="G827" s="555"/>
      <c r="H827" s="555"/>
      <c r="I827" s="555"/>
      <c r="J827" s="555"/>
      <c r="K827" s="555"/>
      <c r="L827" s="555"/>
      <c r="M827" s="555"/>
      <c r="N827" s="555"/>
    </row>
    <row r="828" spans="1:14" ht="18" customHeight="1" x14ac:dyDescent="0.3">
      <c r="A828" s="555"/>
      <c r="B828" s="555"/>
      <c r="C828" s="555"/>
      <c r="D828" s="555"/>
      <c r="E828" s="555"/>
      <c r="F828" s="555"/>
      <c r="G828" s="555"/>
      <c r="H828" s="555"/>
      <c r="I828" s="555"/>
      <c r="J828" s="555"/>
      <c r="K828" s="555"/>
      <c r="L828" s="555"/>
      <c r="M828" s="555"/>
      <c r="N828" s="555"/>
    </row>
    <row r="829" spans="1:14" ht="18" customHeight="1" x14ac:dyDescent="0.3">
      <c r="A829" s="555"/>
      <c r="B829" s="555"/>
      <c r="C829" s="555"/>
      <c r="D829" s="555"/>
      <c r="E829" s="555"/>
      <c r="F829" s="555"/>
      <c r="G829" s="555"/>
      <c r="H829" s="555"/>
      <c r="I829" s="555"/>
      <c r="J829" s="555"/>
      <c r="K829" s="555"/>
      <c r="L829" s="555"/>
      <c r="M829" s="555"/>
      <c r="N829" s="555"/>
    </row>
    <row r="830" spans="1:14" ht="18" customHeight="1" x14ac:dyDescent="0.3">
      <c r="A830" s="555"/>
      <c r="B830" s="555"/>
      <c r="C830" s="555"/>
      <c r="D830" s="555"/>
      <c r="E830" s="555"/>
      <c r="F830" s="555"/>
      <c r="G830" s="555"/>
      <c r="H830" s="555"/>
      <c r="I830" s="555"/>
      <c r="J830" s="555"/>
      <c r="K830" s="555"/>
      <c r="L830" s="555"/>
      <c r="M830" s="555"/>
      <c r="N830" s="555"/>
    </row>
    <row r="831" spans="1:14" ht="18" customHeight="1" x14ac:dyDescent="0.3">
      <c r="A831" s="555"/>
      <c r="B831" s="555"/>
      <c r="C831" s="555"/>
      <c r="D831" s="555"/>
      <c r="E831" s="555"/>
      <c r="F831" s="555"/>
      <c r="G831" s="555"/>
      <c r="H831" s="555"/>
      <c r="I831" s="555"/>
      <c r="J831" s="555"/>
      <c r="K831" s="555"/>
      <c r="L831" s="555"/>
      <c r="M831" s="555"/>
      <c r="N831" s="555"/>
    </row>
    <row r="832" spans="1:14" ht="18" customHeight="1" x14ac:dyDescent="0.3">
      <c r="A832" s="555"/>
      <c r="B832" s="555"/>
      <c r="C832" s="555"/>
      <c r="D832" s="555"/>
      <c r="E832" s="555"/>
      <c r="F832" s="555"/>
      <c r="G832" s="555"/>
      <c r="H832" s="555"/>
      <c r="I832" s="555"/>
      <c r="J832" s="555"/>
      <c r="K832" s="555"/>
      <c r="L832" s="555"/>
      <c r="M832" s="555"/>
      <c r="N832" s="555"/>
    </row>
    <row r="833" spans="1:14" ht="18" customHeight="1" x14ac:dyDescent="0.3">
      <c r="A833" s="555"/>
      <c r="B833" s="555"/>
      <c r="C833" s="555"/>
      <c r="D833" s="555"/>
      <c r="E833" s="555"/>
      <c r="F833" s="555"/>
      <c r="G833" s="555"/>
      <c r="H833" s="555"/>
      <c r="I833" s="555"/>
      <c r="J833" s="555"/>
      <c r="K833" s="555"/>
      <c r="L833" s="555"/>
      <c r="M833" s="555"/>
      <c r="N833" s="555"/>
    </row>
    <row r="834" spans="1:14" ht="18" customHeight="1" x14ac:dyDescent="0.3">
      <c r="A834" s="555"/>
      <c r="B834" s="555"/>
      <c r="C834" s="555"/>
      <c r="D834" s="555"/>
      <c r="E834" s="555"/>
      <c r="F834" s="555"/>
      <c r="G834" s="555"/>
      <c r="H834" s="555"/>
      <c r="I834" s="555"/>
      <c r="J834" s="555"/>
      <c r="K834" s="555"/>
      <c r="L834" s="555"/>
      <c r="M834" s="555"/>
      <c r="N834" s="555"/>
    </row>
    <row r="835" spans="1:14" ht="18" customHeight="1" x14ac:dyDescent="0.3">
      <c r="A835" s="555"/>
      <c r="B835" s="555"/>
      <c r="C835" s="555"/>
      <c r="D835" s="555"/>
      <c r="E835" s="555"/>
      <c r="F835" s="555"/>
      <c r="G835" s="555"/>
      <c r="H835" s="555"/>
      <c r="I835" s="555"/>
      <c r="J835" s="555"/>
      <c r="K835" s="555"/>
      <c r="L835" s="555"/>
      <c r="M835" s="555"/>
      <c r="N835" s="555"/>
    </row>
    <row r="836" spans="1:14" ht="18" customHeight="1" x14ac:dyDescent="0.3">
      <c r="A836" s="555"/>
      <c r="B836" s="555"/>
      <c r="C836" s="555"/>
      <c r="D836" s="555"/>
      <c r="E836" s="555"/>
      <c r="F836" s="555"/>
      <c r="G836" s="555"/>
      <c r="H836" s="555"/>
      <c r="I836" s="555"/>
      <c r="J836" s="555"/>
      <c r="K836" s="555"/>
      <c r="L836" s="555"/>
      <c r="M836" s="555"/>
      <c r="N836" s="555"/>
    </row>
    <row r="837" spans="1:14" ht="18" customHeight="1" x14ac:dyDescent="0.3">
      <c r="A837" s="555"/>
      <c r="B837" s="555"/>
      <c r="C837" s="555"/>
      <c r="D837" s="555"/>
      <c r="E837" s="555"/>
      <c r="F837" s="555"/>
      <c r="G837" s="555"/>
      <c r="H837" s="555"/>
      <c r="I837" s="555"/>
      <c r="J837" s="555"/>
      <c r="K837" s="555"/>
      <c r="L837" s="555"/>
      <c r="M837" s="555"/>
      <c r="N837" s="555"/>
    </row>
    <row r="838" spans="1:14" ht="18" customHeight="1" x14ac:dyDescent="0.3">
      <c r="A838" s="555"/>
      <c r="B838" s="555"/>
      <c r="C838" s="555"/>
      <c r="D838" s="555"/>
      <c r="E838" s="555"/>
      <c r="F838" s="555"/>
      <c r="G838" s="555"/>
      <c r="H838" s="555"/>
      <c r="I838" s="555"/>
      <c r="J838" s="555"/>
      <c r="K838" s="555"/>
      <c r="L838" s="555"/>
      <c r="M838" s="555"/>
      <c r="N838" s="555"/>
    </row>
    <row r="839" spans="1:14" ht="18" customHeight="1" x14ac:dyDescent="0.3">
      <c r="A839" s="555"/>
      <c r="B839" s="555"/>
      <c r="C839" s="555"/>
      <c r="D839" s="555"/>
      <c r="E839" s="555"/>
      <c r="F839" s="555"/>
      <c r="G839" s="555"/>
      <c r="H839" s="555"/>
      <c r="I839" s="555"/>
      <c r="J839" s="555"/>
      <c r="K839" s="555"/>
      <c r="L839" s="555"/>
      <c r="M839" s="555"/>
      <c r="N839" s="555"/>
    </row>
    <row r="840" spans="1:14" ht="18" customHeight="1" x14ac:dyDescent="0.3">
      <c r="A840" s="555"/>
      <c r="B840" s="555"/>
      <c r="C840" s="555"/>
      <c r="D840" s="555"/>
      <c r="E840" s="555"/>
      <c r="F840" s="555"/>
      <c r="G840" s="555"/>
      <c r="H840" s="555"/>
      <c r="I840" s="555"/>
      <c r="J840" s="555"/>
      <c r="K840" s="555"/>
      <c r="L840" s="555"/>
      <c r="M840" s="555"/>
      <c r="N840" s="555"/>
    </row>
    <row r="841" spans="1:14" ht="18" customHeight="1" x14ac:dyDescent="0.3">
      <c r="A841" s="555"/>
      <c r="B841" s="555"/>
      <c r="C841" s="555"/>
      <c r="D841" s="555"/>
      <c r="E841" s="555"/>
      <c r="F841" s="555"/>
      <c r="G841" s="555"/>
      <c r="H841" s="555"/>
      <c r="I841" s="555"/>
      <c r="J841" s="555"/>
      <c r="K841" s="555"/>
      <c r="L841" s="555"/>
      <c r="M841" s="555"/>
      <c r="N841" s="555"/>
    </row>
    <row r="842" spans="1:14" ht="18" customHeight="1" x14ac:dyDescent="0.3">
      <c r="A842" s="555"/>
      <c r="B842" s="555"/>
      <c r="C842" s="555"/>
      <c r="D842" s="555"/>
      <c r="E842" s="555"/>
      <c r="F842" s="555"/>
      <c r="G842" s="555"/>
      <c r="H842" s="555"/>
      <c r="I842" s="555"/>
      <c r="J842" s="555"/>
      <c r="K842" s="555"/>
      <c r="L842" s="555"/>
      <c r="M842" s="555"/>
      <c r="N842" s="555"/>
    </row>
    <row r="843" spans="1:14" ht="18" customHeight="1" x14ac:dyDescent="0.3">
      <c r="A843" s="555"/>
      <c r="B843" s="555"/>
      <c r="C843" s="555"/>
      <c r="D843" s="555"/>
      <c r="E843" s="555"/>
      <c r="F843" s="555"/>
      <c r="G843" s="555"/>
      <c r="H843" s="555"/>
      <c r="I843" s="555"/>
      <c r="J843" s="555"/>
      <c r="K843" s="555"/>
      <c r="L843" s="555"/>
      <c r="M843" s="555"/>
      <c r="N843" s="555"/>
    </row>
    <row r="844" spans="1:14" ht="18" customHeight="1" x14ac:dyDescent="0.3">
      <c r="A844" s="555"/>
      <c r="B844" s="555"/>
      <c r="C844" s="555"/>
      <c r="D844" s="555"/>
      <c r="E844" s="555"/>
      <c r="F844" s="555"/>
      <c r="G844" s="555"/>
      <c r="H844" s="555"/>
      <c r="I844" s="555"/>
      <c r="J844" s="555"/>
      <c r="K844" s="555"/>
      <c r="L844" s="555"/>
      <c r="M844" s="555"/>
      <c r="N844" s="555"/>
    </row>
    <row r="845" spans="1:14" ht="18" customHeight="1" x14ac:dyDescent="0.3">
      <c r="A845" s="555"/>
      <c r="B845" s="555"/>
      <c r="C845" s="555"/>
      <c r="D845" s="555"/>
      <c r="E845" s="555"/>
      <c r="F845" s="555"/>
      <c r="G845" s="555"/>
      <c r="H845" s="555"/>
      <c r="I845" s="555"/>
      <c r="J845" s="555"/>
      <c r="K845" s="555"/>
      <c r="L845" s="555"/>
      <c r="M845" s="555"/>
      <c r="N845" s="555"/>
    </row>
    <row r="846" spans="1:14" ht="18" customHeight="1" x14ac:dyDescent="0.3">
      <c r="A846" s="555"/>
      <c r="B846" s="555"/>
      <c r="C846" s="555"/>
      <c r="D846" s="555"/>
      <c r="E846" s="555"/>
      <c r="F846" s="555"/>
      <c r="G846" s="555"/>
      <c r="H846" s="555"/>
      <c r="I846" s="555"/>
      <c r="J846" s="555"/>
      <c r="K846" s="555"/>
      <c r="L846" s="555"/>
      <c r="M846" s="555"/>
      <c r="N846" s="555"/>
    </row>
    <row r="847" spans="1:14" ht="18" customHeight="1" x14ac:dyDescent="0.3">
      <c r="A847" s="555"/>
      <c r="B847" s="555"/>
      <c r="C847" s="555"/>
      <c r="D847" s="555"/>
      <c r="E847" s="555"/>
      <c r="F847" s="555"/>
      <c r="G847" s="555"/>
      <c r="H847" s="555"/>
      <c r="I847" s="555"/>
      <c r="J847" s="555"/>
      <c r="K847" s="555"/>
      <c r="L847" s="555"/>
      <c r="M847" s="555"/>
      <c r="N847" s="555"/>
    </row>
    <row r="848" spans="1:14" ht="18" customHeight="1" x14ac:dyDescent="0.3">
      <c r="A848" s="555"/>
      <c r="B848" s="555"/>
      <c r="C848" s="555"/>
      <c r="D848" s="555"/>
      <c r="E848" s="555"/>
      <c r="F848" s="555"/>
      <c r="G848" s="555"/>
      <c r="H848" s="555"/>
      <c r="I848" s="555"/>
      <c r="J848" s="555"/>
      <c r="K848" s="555"/>
      <c r="L848" s="555"/>
      <c r="M848" s="555"/>
      <c r="N848" s="555"/>
    </row>
    <row r="849" spans="1:14" ht="18" customHeight="1" x14ac:dyDescent="0.3">
      <c r="A849" s="555"/>
      <c r="B849" s="555"/>
      <c r="C849" s="555"/>
      <c r="D849" s="555"/>
      <c r="E849" s="555"/>
      <c r="F849" s="555"/>
      <c r="G849" s="555"/>
      <c r="H849" s="555"/>
      <c r="I849" s="555"/>
      <c r="J849" s="555"/>
      <c r="K849" s="555"/>
      <c r="L849" s="555"/>
      <c r="M849" s="555"/>
      <c r="N849" s="555"/>
    </row>
    <row r="850" spans="1:14" ht="18" customHeight="1" x14ac:dyDescent="0.3">
      <c r="A850" s="555"/>
      <c r="B850" s="555"/>
      <c r="C850" s="555"/>
      <c r="D850" s="555"/>
      <c r="E850" s="555"/>
      <c r="F850" s="555"/>
      <c r="G850" s="555"/>
      <c r="H850" s="555"/>
      <c r="I850" s="555"/>
      <c r="J850" s="555"/>
      <c r="K850" s="555"/>
      <c r="L850" s="555"/>
      <c r="M850" s="555"/>
      <c r="N850" s="555"/>
    </row>
    <row r="851" spans="1:14" ht="18" customHeight="1" x14ac:dyDescent="0.3">
      <c r="A851" s="555"/>
      <c r="B851" s="555"/>
      <c r="C851" s="555"/>
      <c r="D851" s="555"/>
      <c r="E851" s="555"/>
      <c r="F851" s="555"/>
      <c r="G851" s="555"/>
      <c r="H851" s="555"/>
      <c r="I851" s="555"/>
      <c r="J851" s="555"/>
      <c r="K851" s="555"/>
      <c r="L851" s="555"/>
      <c r="M851" s="555"/>
      <c r="N851" s="555"/>
    </row>
    <row r="852" spans="1:14" ht="18" customHeight="1" x14ac:dyDescent="0.3">
      <c r="A852" s="555"/>
      <c r="B852" s="555"/>
      <c r="C852" s="555"/>
      <c r="D852" s="555"/>
      <c r="E852" s="555"/>
      <c r="F852" s="555"/>
      <c r="G852" s="555"/>
      <c r="H852" s="555"/>
      <c r="I852" s="555"/>
      <c r="J852" s="555"/>
      <c r="K852" s="555"/>
      <c r="L852" s="555"/>
      <c r="M852" s="555"/>
      <c r="N852" s="555"/>
    </row>
    <row r="853" spans="1:14" ht="18" customHeight="1" x14ac:dyDescent="0.3">
      <c r="A853" s="555"/>
      <c r="B853" s="555"/>
      <c r="C853" s="555"/>
      <c r="D853" s="555"/>
      <c r="E853" s="555"/>
      <c r="F853" s="555"/>
      <c r="G853" s="555"/>
      <c r="H853" s="555"/>
      <c r="I853" s="555"/>
      <c r="J853" s="555"/>
      <c r="K853" s="555"/>
      <c r="L853" s="555"/>
      <c r="M853" s="555"/>
      <c r="N853" s="555"/>
    </row>
    <row r="854" spans="1:14" ht="18" customHeight="1" x14ac:dyDescent="0.3">
      <c r="A854" s="555"/>
      <c r="B854" s="555"/>
      <c r="C854" s="555"/>
      <c r="D854" s="555"/>
      <c r="E854" s="555"/>
      <c r="F854" s="555"/>
      <c r="G854" s="555"/>
      <c r="H854" s="555"/>
      <c r="I854" s="555"/>
      <c r="J854" s="555"/>
      <c r="K854" s="555"/>
      <c r="L854" s="555"/>
      <c r="M854" s="555"/>
      <c r="N854" s="555"/>
    </row>
    <row r="855" spans="1:14" ht="18" customHeight="1" x14ac:dyDescent="0.3">
      <c r="A855" s="555"/>
      <c r="B855" s="555"/>
      <c r="C855" s="555"/>
      <c r="D855" s="555"/>
      <c r="E855" s="555"/>
      <c r="F855" s="555"/>
      <c r="G855" s="555"/>
      <c r="H855" s="555"/>
      <c r="I855" s="555"/>
      <c r="J855" s="555"/>
      <c r="K855" s="555"/>
      <c r="L855" s="555"/>
      <c r="M855" s="555"/>
      <c r="N855" s="555"/>
    </row>
    <row r="856" spans="1:14" ht="18" customHeight="1" x14ac:dyDescent="0.3">
      <c r="A856" s="555"/>
      <c r="B856" s="555"/>
      <c r="C856" s="555"/>
      <c r="D856" s="555"/>
      <c r="E856" s="555"/>
      <c r="F856" s="555"/>
      <c r="G856" s="555"/>
      <c r="H856" s="555"/>
      <c r="I856" s="555"/>
      <c r="J856" s="555"/>
      <c r="K856" s="555"/>
      <c r="L856" s="555"/>
      <c r="M856" s="555"/>
      <c r="N856" s="555"/>
    </row>
    <row r="857" spans="1:14" ht="18" customHeight="1" x14ac:dyDescent="0.3">
      <c r="A857" s="555"/>
      <c r="B857" s="555"/>
      <c r="C857" s="555"/>
      <c r="D857" s="555"/>
      <c r="E857" s="555"/>
      <c r="F857" s="555"/>
      <c r="G857" s="555"/>
      <c r="H857" s="555"/>
      <c r="I857" s="555"/>
      <c r="J857" s="555"/>
      <c r="K857" s="555"/>
      <c r="L857" s="555"/>
      <c r="M857" s="555"/>
      <c r="N857" s="555"/>
    </row>
    <row r="858" spans="1:14" ht="18" customHeight="1" x14ac:dyDescent="0.3">
      <c r="A858" s="555"/>
      <c r="B858" s="555"/>
      <c r="C858" s="555"/>
      <c r="D858" s="555"/>
      <c r="E858" s="555"/>
      <c r="F858" s="555"/>
      <c r="G858" s="555"/>
      <c r="H858" s="555"/>
      <c r="I858" s="555"/>
      <c r="J858" s="555"/>
      <c r="K858" s="555"/>
      <c r="L858" s="555"/>
      <c r="M858" s="555"/>
      <c r="N858" s="555"/>
    </row>
    <row r="859" spans="1:14" ht="18" customHeight="1" x14ac:dyDescent="0.3">
      <c r="A859" s="555"/>
      <c r="B859" s="555"/>
      <c r="C859" s="555"/>
      <c r="D859" s="555"/>
      <c r="E859" s="555"/>
      <c r="F859" s="555"/>
      <c r="G859" s="555"/>
      <c r="H859" s="555"/>
      <c r="I859" s="555"/>
      <c r="J859" s="555"/>
      <c r="K859" s="555"/>
      <c r="L859" s="555"/>
      <c r="M859" s="555"/>
      <c r="N859" s="555"/>
    </row>
    <row r="860" spans="1:14" ht="18" customHeight="1" x14ac:dyDescent="0.3">
      <c r="A860" s="555"/>
      <c r="B860" s="555"/>
      <c r="C860" s="555"/>
      <c r="D860" s="555"/>
      <c r="E860" s="555"/>
      <c r="F860" s="555"/>
      <c r="G860" s="555"/>
      <c r="H860" s="555"/>
      <c r="I860" s="555"/>
      <c r="J860" s="555"/>
      <c r="K860" s="555"/>
      <c r="L860" s="555"/>
      <c r="M860" s="555"/>
      <c r="N860" s="555"/>
    </row>
    <row r="861" spans="1:14" ht="18" customHeight="1" x14ac:dyDescent="0.3">
      <c r="A861" s="555"/>
      <c r="B861" s="555"/>
      <c r="C861" s="555"/>
      <c r="D861" s="555"/>
      <c r="E861" s="555"/>
      <c r="F861" s="555"/>
      <c r="G861" s="555"/>
      <c r="H861" s="555"/>
      <c r="I861" s="555"/>
      <c r="J861" s="555"/>
      <c r="K861" s="555"/>
      <c r="L861" s="555"/>
      <c r="M861" s="555"/>
      <c r="N861" s="555"/>
    </row>
    <row r="862" spans="1:14" ht="18" customHeight="1" x14ac:dyDescent="0.3">
      <c r="A862" s="555"/>
      <c r="B862" s="555"/>
      <c r="C862" s="555"/>
      <c r="D862" s="555"/>
      <c r="E862" s="555"/>
      <c r="F862" s="555"/>
      <c r="G862" s="555"/>
      <c r="H862" s="555"/>
      <c r="I862" s="555"/>
      <c r="J862" s="555"/>
      <c r="K862" s="555"/>
      <c r="L862" s="555"/>
      <c r="M862" s="555"/>
      <c r="N862" s="555"/>
    </row>
    <row r="863" spans="1:14" ht="18" customHeight="1" x14ac:dyDescent="0.3">
      <c r="A863" s="555"/>
      <c r="B863" s="555"/>
      <c r="C863" s="555"/>
      <c r="D863" s="555"/>
      <c r="E863" s="555"/>
      <c r="F863" s="555"/>
      <c r="G863" s="555"/>
      <c r="H863" s="555"/>
      <c r="I863" s="555"/>
      <c r="J863" s="555"/>
      <c r="K863" s="555"/>
      <c r="L863" s="555"/>
      <c r="M863" s="555"/>
      <c r="N863" s="555"/>
    </row>
    <row r="864" spans="1:14" ht="18" customHeight="1" x14ac:dyDescent="0.3">
      <c r="A864" s="555"/>
      <c r="B864" s="555"/>
      <c r="C864" s="555"/>
      <c r="D864" s="555"/>
      <c r="E864" s="555"/>
      <c r="F864" s="555"/>
      <c r="G864" s="555"/>
      <c r="H864" s="555"/>
      <c r="I864" s="555"/>
      <c r="J864" s="555"/>
      <c r="K864" s="555"/>
      <c r="L864" s="555"/>
      <c r="M864" s="555"/>
      <c r="N864" s="555"/>
    </row>
    <row r="865" spans="1:14" ht="18" customHeight="1" x14ac:dyDescent="0.3">
      <c r="A865" s="555"/>
      <c r="B865" s="555"/>
      <c r="C865" s="555"/>
      <c r="D865" s="555"/>
      <c r="E865" s="555"/>
      <c r="F865" s="555"/>
      <c r="G865" s="555"/>
      <c r="H865" s="555"/>
      <c r="I865" s="555"/>
      <c r="J865" s="555"/>
      <c r="K865" s="555"/>
      <c r="L865" s="555"/>
      <c r="M865" s="555"/>
      <c r="N865" s="555"/>
    </row>
    <row r="866" spans="1:14" ht="18" customHeight="1" x14ac:dyDescent="0.3">
      <c r="A866" s="555"/>
      <c r="B866" s="555"/>
      <c r="C866" s="555"/>
      <c r="D866" s="555"/>
      <c r="E866" s="555"/>
      <c r="F866" s="555"/>
      <c r="G866" s="555"/>
      <c r="H866" s="555"/>
      <c r="I866" s="555"/>
      <c r="J866" s="555"/>
      <c r="K866" s="555"/>
      <c r="L866" s="555"/>
      <c r="M866" s="555"/>
      <c r="N866" s="555"/>
    </row>
    <row r="867" spans="1:14" ht="18" customHeight="1" x14ac:dyDescent="0.3">
      <c r="A867" s="555"/>
      <c r="B867" s="555"/>
      <c r="C867" s="555"/>
      <c r="D867" s="555"/>
      <c r="E867" s="555"/>
      <c r="F867" s="555"/>
      <c r="G867" s="555"/>
      <c r="H867" s="555"/>
      <c r="I867" s="555"/>
      <c r="J867" s="555"/>
      <c r="K867" s="555"/>
      <c r="L867" s="555"/>
      <c r="M867" s="555"/>
      <c r="N867" s="555"/>
    </row>
    <row r="868" spans="1:14" ht="18" customHeight="1" x14ac:dyDescent="0.3">
      <c r="A868" s="555"/>
      <c r="B868" s="555"/>
      <c r="C868" s="555"/>
      <c r="D868" s="555"/>
      <c r="E868" s="555"/>
      <c r="F868" s="555"/>
      <c r="G868" s="555"/>
      <c r="H868" s="555"/>
      <c r="I868" s="555"/>
      <c r="J868" s="555"/>
      <c r="K868" s="555"/>
      <c r="L868" s="555"/>
      <c r="M868" s="555"/>
      <c r="N868" s="555"/>
    </row>
    <row r="869" spans="1:14" ht="18" customHeight="1" x14ac:dyDescent="0.3">
      <c r="A869" s="555"/>
      <c r="B869" s="555"/>
      <c r="C869" s="555"/>
      <c r="D869" s="555"/>
      <c r="E869" s="555"/>
      <c r="F869" s="555"/>
      <c r="G869" s="555"/>
      <c r="H869" s="555"/>
      <c r="I869" s="555"/>
      <c r="J869" s="555"/>
      <c r="K869" s="555"/>
      <c r="L869" s="555"/>
      <c r="M869" s="555"/>
      <c r="N869" s="555"/>
    </row>
    <row r="870" spans="1:14" ht="18" customHeight="1" x14ac:dyDescent="0.3">
      <c r="A870" s="555"/>
      <c r="B870" s="555"/>
      <c r="C870" s="555"/>
      <c r="D870" s="555"/>
      <c r="E870" s="555"/>
      <c r="F870" s="555"/>
      <c r="G870" s="555"/>
      <c r="H870" s="555"/>
      <c r="I870" s="555"/>
      <c r="J870" s="555"/>
      <c r="K870" s="555"/>
      <c r="L870" s="555"/>
      <c r="M870" s="555"/>
      <c r="N870" s="555"/>
    </row>
    <row r="871" spans="1:14" ht="18" customHeight="1" x14ac:dyDescent="0.3">
      <c r="A871" s="555"/>
      <c r="B871" s="555"/>
      <c r="C871" s="555"/>
      <c r="D871" s="555"/>
      <c r="E871" s="555"/>
      <c r="F871" s="555"/>
      <c r="G871" s="555"/>
      <c r="H871" s="555"/>
      <c r="I871" s="555"/>
      <c r="J871" s="555"/>
      <c r="K871" s="555"/>
      <c r="L871" s="555"/>
      <c r="M871" s="555"/>
      <c r="N871" s="555"/>
    </row>
    <row r="872" spans="1:14" ht="18" customHeight="1" x14ac:dyDescent="0.3">
      <c r="A872" s="555"/>
      <c r="B872" s="555"/>
      <c r="C872" s="555"/>
      <c r="D872" s="555"/>
      <c r="E872" s="555"/>
      <c r="F872" s="555"/>
      <c r="G872" s="555"/>
      <c r="H872" s="555"/>
      <c r="I872" s="555"/>
      <c r="J872" s="555"/>
      <c r="K872" s="555"/>
      <c r="L872" s="555"/>
      <c r="M872" s="555"/>
      <c r="N872" s="555"/>
    </row>
    <row r="873" spans="1:14" ht="18" customHeight="1" x14ac:dyDescent="0.3">
      <c r="A873" s="555"/>
      <c r="B873" s="555"/>
      <c r="C873" s="555"/>
      <c r="D873" s="555"/>
      <c r="E873" s="555"/>
      <c r="F873" s="555"/>
      <c r="G873" s="555"/>
      <c r="H873" s="555"/>
      <c r="I873" s="555"/>
      <c r="J873" s="555"/>
      <c r="K873" s="555"/>
      <c r="L873" s="555"/>
      <c r="M873" s="555"/>
      <c r="N873" s="555"/>
    </row>
    <row r="874" spans="1:14" ht="18" customHeight="1" x14ac:dyDescent="0.3">
      <c r="A874" s="555"/>
      <c r="B874" s="555"/>
      <c r="C874" s="555"/>
      <c r="D874" s="555"/>
      <c r="E874" s="555"/>
      <c r="F874" s="555"/>
      <c r="G874" s="555"/>
      <c r="H874" s="555"/>
      <c r="I874" s="555"/>
      <c r="J874" s="555"/>
      <c r="K874" s="555"/>
      <c r="L874" s="555"/>
      <c r="M874" s="555"/>
      <c r="N874" s="555"/>
    </row>
    <row r="875" spans="1:14" ht="18" customHeight="1" x14ac:dyDescent="0.3">
      <c r="A875" s="555"/>
      <c r="B875" s="555"/>
      <c r="C875" s="555"/>
      <c r="D875" s="555"/>
      <c r="E875" s="555"/>
      <c r="F875" s="555"/>
      <c r="G875" s="555"/>
      <c r="H875" s="555"/>
      <c r="I875" s="555"/>
      <c r="J875" s="555"/>
      <c r="K875" s="555"/>
      <c r="L875" s="555"/>
      <c r="M875" s="555"/>
      <c r="N875" s="555"/>
    </row>
    <row r="876" spans="1:14" ht="18" customHeight="1" x14ac:dyDescent="0.3">
      <c r="A876" s="555"/>
      <c r="B876" s="555"/>
      <c r="C876" s="555"/>
      <c r="D876" s="555"/>
      <c r="E876" s="555"/>
      <c r="F876" s="555"/>
      <c r="G876" s="555"/>
      <c r="H876" s="555"/>
      <c r="I876" s="555"/>
      <c r="J876" s="555"/>
      <c r="K876" s="555"/>
      <c r="L876" s="555"/>
      <c r="M876" s="555"/>
      <c r="N876" s="555"/>
    </row>
    <row r="877" spans="1:14" ht="18" customHeight="1" x14ac:dyDescent="0.3">
      <c r="A877" s="555"/>
      <c r="B877" s="555"/>
      <c r="C877" s="555"/>
      <c r="D877" s="555"/>
      <c r="E877" s="555"/>
      <c r="F877" s="555"/>
      <c r="G877" s="555"/>
      <c r="H877" s="555"/>
      <c r="I877" s="555"/>
      <c r="J877" s="555"/>
      <c r="K877" s="555"/>
      <c r="L877" s="555"/>
      <c r="M877" s="555"/>
      <c r="N877" s="555"/>
    </row>
    <row r="878" spans="1:14" ht="18" customHeight="1" x14ac:dyDescent="0.3">
      <c r="A878" s="555"/>
      <c r="B878" s="555"/>
      <c r="C878" s="555"/>
      <c r="D878" s="555"/>
      <c r="E878" s="555"/>
      <c r="F878" s="555"/>
      <c r="G878" s="555"/>
      <c r="H878" s="555"/>
      <c r="I878" s="555"/>
      <c r="J878" s="555"/>
      <c r="K878" s="555"/>
      <c r="L878" s="555"/>
      <c r="M878" s="555"/>
      <c r="N878" s="555"/>
    </row>
    <row r="879" spans="1:14" ht="18" customHeight="1" x14ac:dyDescent="0.3">
      <c r="A879" s="555"/>
      <c r="B879" s="555"/>
      <c r="C879" s="555"/>
      <c r="D879" s="555"/>
      <c r="E879" s="555"/>
      <c r="F879" s="555"/>
      <c r="G879" s="555"/>
      <c r="H879" s="555"/>
      <c r="I879" s="555"/>
      <c r="J879" s="555"/>
      <c r="K879" s="555"/>
      <c r="L879" s="555"/>
      <c r="M879" s="555"/>
      <c r="N879" s="555"/>
    </row>
    <row r="880" spans="1:14" ht="18" customHeight="1" x14ac:dyDescent="0.3">
      <c r="A880" s="555"/>
      <c r="B880" s="555"/>
      <c r="C880" s="555"/>
      <c r="D880" s="555"/>
      <c r="E880" s="555"/>
      <c r="F880" s="555"/>
      <c r="G880" s="555"/>
      <c r="H880" s="555"/>
      <c r="I880" s="555"/>
      <c r="J880" s="555"/>
      <c r="K880" s="555"/>
      <c r="L880" s="555"/>
      <c r="M880" s="555"/>
      <c r="N880" s="555"/>
    </row>
    <row r="881" spans="1:14" ht="18" customHeight="1" x14ac:dyDescent="0.3">
      <c r="A881" s="555"/>
      <c r="B881" s="555"/>
      <c r="C881" s="555"/>
      <c r="D881" s="555"/>
      <c r="E881" s="555"/>
      <c r="F881" s="555"/>
      <c r="G881" s="555"/>
      <c r="H881" s="555"/>
      <c r="I881" s="555"/>
      <c r="J881" s="555"/>
      <c r="K881" s="555"/>
      <c r="L881" s="555"/>
      <c r="M881" s="555"/>
      <c r="N881" s="555"/>
    </row>
    <row r="882" spans="1:14" ht="18" customHeight="1" x14ac:dyDescent="0.3">
      <c r="A882" s="555"/>
      <c r="B882" s="555"/>
      <c r="C882" s="555"/>
      <c r="D882" s="555"/>
      <c r="E882" s="555"/>
      <c r="F882" s="555"/>
      <c r="G882" s="555"/>
      <c r="H882" s="555"/>
      <c r="I882" s="555"/>
      <c r="J882" s="555"/>
      <c r="K882" s="555"/>
      <c r="L882" s="555"/>
      <c r="M882" s="555"/>
      <c r="N882" s="555"/>
    </row>
    <row r="883" spans="1:14" ht="18" customHeight="1" x14ac:dyDescent="0.3">
      <c r="A883" s="555"/>
      <c r="B883" s="555"/>
      <c r="C883" s="555"/>
      <c r="D883" s="555"/>
      <c r="E883" s="555"/>
      <c r="F883" s="555"/>
      <c r="G883" s="555"/>
      <c r="H883" s="555"/>
      <c r="I883" s="555"/>
      <c r="J883" s="555"/>
      <c r="K883" s="555"/>
      <c r="L883" s="555"/>
      <c r="M883" s="555"/>
      <c r="N883" s="555"/>
    </row>
    <row r="884" spans="1:14" ht="18" customHeight="1" x14ac:dyDescent="0.3">
      <c r="A884" s="555"/>
      <c r="B884" s="555"/>
      <c r="C884" s="555"/>
      <c r="D884" s="555"/>
      <c r="E884" s="555"/>
      <c r="F884" s="555"/>
      <c r="G884" s="555"/>
      <c r="H884" s="555"/>
      <c r="I884" s="555"/>
      <c r="J884" s="555"/>
      <c r="K884" s="555"/>
      <c r="L884" s="555"/>
      <c r="M884" s="555"/>
      <c r="N884" s="555"/>
    </row>
    <row r="885" spans="1:14" ht="18" customHeight="1" x14ac:dyDescent="0.3">
      <c r="A885" s="555"/>
      <c r="B885" s="555"/>
      <c r="C885" s="555"/>
      <c r="D885" s="555"/>
      <c r="E885" s="555"/>
      <c r="F885" s="555"/>
      <c r="G885" s="555"/>
      <c r="H885" s="555"/>
      <c r="I885" s="555"/>
      <c r="J885" s="555"/>
      <c r="K885" s="555"/>
      <c r="L885" s="555"/>
      <c r="M885" s="555"/>
      <c r="N885" s="555"/>
    </row>
    <row r="886" spans="1:14" ht="18" customHeight="1" x14ac:dyDescent="0.3">
      <c r="A886" s="555"/>
      <c r="B886" s="555"/>
      <c r="C886" s="555"/>
      <c r="D886" s="555"/>
      <c r="E886" s="555"/>
      <c r="F886" s="555"/>
      <c r="G886" s="555"/>
      <c r="H886" s="555"/>
      <c r="I886" s="555"/>
      <c r="J886" s="555"/>
      <c r="K886" s="555"/>
      <c r="L886" s="555"/>
      <c r="M886" s="555"/>
      <c r="N886" s="555"/>
    </row>
    <row r="887" spans="1:14" ht="18" customHeight="1" x14ac:dyDescent="0.3">
      <c r="A887" s="555"/>
      <c r="B887" s="555"/>
      <c r="C887" s="555"/>
      <c r="D887" s="555"/>
      <c r="E887" s="555"/>
      <c r="F887" s="555"/>
      <c r="G887" s="555"/>
      <c r="H887" s="555"/>
      <c r="I887" s="555"/>
      <c r="J887" s="555"/>
      <c r="K887" s="555"/>
      <c r="L887" s="555"/>
      <c r="M887" s="555"/>
      <c r="N887" s="555"/>
    </row>
    <row r="888" spans="1:14" ht="18" customHeight="1" x14ac:dyDescent="0.3">
      <c r="A888" s="555"/>
      <c r="B888" s="555"/>
      <c r="C888" s="555"/>
      <c r="D888" s="555"/>
      <c r="E888" s="555"/>
      <c r="F888" s="555"/>
      <c r="G888" s="555"/>
      <c r="H888" s="555"/>
      <c r="I888" s="555"/>
      <c r="J888" s="555"/>
      <c r="K888" s="555"/>
      <c r="L888" s="555"/>
      <c r="M888" s="555"/>
      <c r="N888" s="555"/>
    </row>
    <row r="889" spans="1:14" ht="18" customHeight="1" x14ac:dyDescent="0.3">
      <c r="A889" s="555"/>
      <c r="B889" s="555"/>
      <c r="C889" s="555"/>
      <c r="D889" s="555"/>
      <c r="E889" s="555"/>
      <c r="F889" s="555"/>
      <c r="G889" s="555"/>
      <c r="H889" s="555"/>
      <c r="I889" s="555"/>
      <c r="J889" s="555"/>
      <c r="K889" s="555"/>
      <c r="L889" s="555"/>
      <c r="M889" s="555"/>
      <c r="N889" s="555"/>
    </row>
    <row r="890" spans="1:14" ht="18" customHeight="1" x14ac:dyDescent="0.3">
      <c r="A890" s="555"/>
      <c r="B890" s="555"/>
      <c r="C890" s="555"/>
      <c r="D890" s="555"/>
      <c r="E890" s="555"/>
      <c r="F890" s="555"/>
      <c r="G890" s="555"/>
      <c r="H890" s="555"/>
      <c r="I890" s="555"/>
      <c r="J890" s="555"/>
      <c r="K890" s="555"/>
      <c r="L890" s="555"/>
      <c r="M890" s="555"/>
      <c r="N890" s="555"/>
    </row>
    <row r="891" spans="1:14" ht="18" customHeight="1" x14ac:dyDescent="0.3">
      <c r="A891" s="555"/>
      <c r="B891" s="555"/>
      <c r="C891" s="555"/>
      <c r="D891" s="555"/>
      <c r="E891" s="555"/>
      <c r="F891" s="555"/>
      <c r="G891" s="555"/>
      <c r="H891" s="555"/>
      <c r="I891" s="555"/>
      <c r="J891" s="555"/>
      <c r="K891" s="555"/>
      <c r="L891" s="555"/>
      <c r="M891" s="555"/>
      <c r="N891" s="555"/>
    </row>
    <row r="892" spans="1:14" ht="18" customHeight="1" x14ac:dyDescent="0.3">
      <c r="A892" s="555"/>
      <c r="B892" s="555"/>
      <c r="C892" s="555"/>
      <c r="D892" s="555"/>
      <c r="E892" s="555"/>
      <c r="F892" s="555"/>
      <c r="G892" s="555"/>
      <c r="H892" s="555"/>
      <c r="I892" s="555"/>
      <c r="J892" s="555"/>
      <c r="K892" s="555"/>
      <c r="L892" s="555"/>
      <c r="M892" s="555"/>
      <c r="N892" s="555"/>
    </row>
    <row r="893" spans="1:14" ht="18" customHeight="1" x14ac:dyDescent="0.3">
      <c r="A893" s="555"/>
      <c r="B893" s="555"/>
      <c r="C893" s="555"/>
      <c r="D893" s="555"/>
      <c r="E893" s="555"/>
      <c r="F893" s="555"/>
      <c r="G893" s="555"/>
      <c r="H893" s="555"/>
      <c r="I893" s="555"/>
      <c r="J893" s="555"/>
      <c r="K893" s="555"/>
      <c r="L893" s="555"/>
      <c r="M893" s="555"/>
      <c r="N893" s="555"/>
    </row>
    <row r="894" spans="1:14" ht="18" customHeight="1" x14ac:dyDescent="0.3">
      <c r="A894" s="555"/>
      <c r="B894" s="555"/>
      <c r="C894" s="555"/>
      <c r="D894" s="555"/>
      <c r="E894" s="555"/>
      <c r="F894" s="555"/>
      <c r="G894" s="555"/>
      <c r="H894" s="555"/>
      <c r="I894" s="555"/>
      <c r="J894" s="555"/>
      <c r="K894" s="555"/>
      <c r="L894" s="555"/>
      <c r="M894" s="555"/>
      <c r="N894" s="555"/>
    </row>
    <row r="895" spans="1:14" ht="18" customHeight="1" x14ac:dyDescent="0.3">
      <c r="A895" s="555"/>
      <c r="B895" s="555"/>
      <c r="C895" s="555"/>
      <c r="D895" s="555"/>
      <c r="E895" s="555"/>
      <c r="F895" s="555"/>
      <c r="G895" s="555"/>
      <c r="H895" s="555"/>
      <c r="I895" s="555"/>
      <c r="J895" s="555"/>
      <c r="K895" s="555"/>
      <c r="L895" s="555"/>
      <c r="M895" s="555"/>
      <c r="N895" s="555"/>
    </row>
    <row r="896" spans="1:14" ht="18" customHeight="1" x14ac:dyDescent="0.3">
      <c r="A896" s="555"/>
      <c r="B896" s="555"/>
      <c r="C896" s="555"/>
      <c r="D896" s="555"/>
      <c r="E896" s="555"/>
      <c r="F896" s="555"/>
      <c r="G896" s="555"/>
      <c r="H896" s="555"/>
      <c r="I896" s="555"/>
      <c r="J896" s="555"/>
      <c r="K896" s="555"/>
      <c r="L896" s="555"/>
      <c r="M896" s="555"/>
      <c r="N896" s="555"/>
    </row>
    <row r="897" spans="1:14" ht="18" customHeight="1" x14ac:dyDescent="0.3">
      <c r="A897" s="555"/>
      <c r="B897" s="555"/>
      <c r="C897" s="555"/>
      <c r="D897" s="555"/>
      <c r="E897" s="555"/>
      <c r="F897" s="555"/>
      <c r="G897" s="555"/>
      <c r="H897" s="555"/>
      <c r="I897" s="555"/>
      <c r="J897" s="555"/>
      <c r="K897" s="555"/>
      <c r="L897" s="555"/>
      <c r="M897" s="555"/>
      <c r="N897" s="555"/>
    </row>
    <row r="898" spans="1:14" ht="18" customHeight="1" x14ac:dyDescent="0.3">
      <c r="A898" s="555"/>
      <c r="B898" s="555"/>
      <c r="C898" s="555"/>
      <c r="D898" s="555"/>
      <c r="E898" s="555"/>
      <c r="F898" s="555"/>
      <c r="G898" s="555"/>
      <c r="H898" s="555"/>
      <c r="I898" s="555"/>
      <c r="J898" s="555"/>
      <c r="K898" s="555"/>
      <c r="L898" s="555"/>
      <c r="M898" s="555"/>
      <c r="N898" s="555"/>
    </row>
    <row r="899" spans="1:14" ht="18" customHeight="1" x14ac:dyDescent="0.3">
      <c r="A899" s="555"/>
      <c r="B899" s="555"/>
      <c r="C899" s="555"/>
      <c r="D899" s="555"/>
      <c r="E899" s="555"/>
      <c r="F899" s="555"/>
      <c r="G899" s="555"/>
      <c r="H899" s="555"/>
      <c r="I899" s="555"/>
      <c r="J899" s="555"/>
      <c r="K899" s="555"/>
      <c r="L899" s="555"/>
      <c r="M899" s="555"/>
      <c r="N899" s="555"/>
    </row>
    <row r="900" spans="1:14" ht="18" customHeight="1" x14ac:dyDescent="0.3">
      <c r="A900" s="555"/>
      <c r="B900" s="555"/>
      <c r="C900" s="555"/>
      <c r="D900" s="555"/>
      <c r="E900" s="555"/>
      <c r="F900" s="555"/>
      <c r="G900" s="555"/>
      <c r="H900" s="555"/>
      <c r="I900" s="555"/>
      <c r="J900" s="555"/>
      <c r="K900" s="555"/>
      <c r="L900" s="555"/>
      <c r="M900" s="555"/>
      <c r="N900" s="555"/>
    </row>
    <row r="901" spans="1:14" ht="18" customHeight="1" x14ac:dyDescent="0.3">
      <c r="A901" s="555"/>
      <c r="B901" s="555"/>
      <c r="C901" s="555"/>
      <c r="D901" s="555"/>
      <c r="E901" s="555"/>
      <c r="F901" s="555"/>
      <c r="G901" s="555"/>
      <c r="H901" s="555"/>
      <c r="I901" s="555"/>
      <c r="J901" s="555"/>
      <c r="K901" s="555"/>
      <c r="L901" s="555"/>
      <c r="M901" s="555"/>
      <c r="N901" s="555"/>
    </row>
    <row r="902" spans="1:14" ht="18" customHeight="1" x14ac:dyDescent="0.3">
      <c r="A902" s="555"/>
      <c r="B902" s="555"/>
      <c r="C902" s="555"/>
      <c r="D902" s="555"/>
      <c r="E902" s="555"/>
      <c r="F902" s="555"/>
      <c r="G902" s="555"/>
      <c r="H902" s="555"/>
      <c r="I902" s="555"/>
      <c r="J902" s="555"/>
      <c r="K902" s="555"/>
      <c r="L902" s="555"/>
      <c r="M902" s="555"/>
      <c r="N902" s="555"/>
    </row>
    <row r="903" spans="1:14" ht="18" customHeight="1" x14ac:dyDescent="0.3">
      <c r="A903" s="555"/>
      <c r="B903" s="555"/>
      <c r="C903" s="555"/>
      <c r="D903" s="555"/>
      <c r="E903" s="555"/>
      <c r="F903" s="555"/>
      <c r="G903" s="555"/>
      <c r="H903" s="555"/>
      <c r="I903" s="555"/>
      <c r="J903" s="555"/>
      <c r="K903" s="555"/>
      <c r="L903" s="555"/>
      <c r="M903" s="555"/>
      <c r="N903" s="555"/>
    </row>
    <row r="904" spans="1:14" ht="18" customHeight="1" x14ac:dyDescent="0.3">
      <c r="A904" s="555"/>
      <c r="B904" s="555"/>
      <c r="C904" s="555"/>
      <c r="D904" s="555"/>
      <c r="E904" s="555"/>
      <c r="F904" s="555"/>
      <c r="G904" s="555"/>
      <c r="H904" s="555"/>
      <c r="I904" s="555"/>
      <c r="J904" s="555"/>
      <c r="K904" s="555"/>
      <c r="L904" s="555"/>
      <c r="M904" s="555"/>
      <c r="N904" s="555"/>
    </row>
    <row r="905" spans="1:14" ht="18" customHeight="1" x14ac:dyDescent="0.3">
      <c r="A905" s="555"/>
      <c r="B905" s="555"/>
      <c r="C905" s="555"/>
      <c r="D905" s="555"/>
      <c r="E905" s="555"/>
      <c r="F905" s="555"/>
      <c r="G905" s="555"/>
      <c r="H905" s="555"/>
      <c r="I905" s="555"/>
      <c r="J905" s="555"/>
      <c r="K905" s="555"/>
      <c r="L905" s="555"/>
      <c r="M905" s="555"/>
      <c r="N905" s="555"/>
    </row>
    <row r="906" spans="1:14" ht="18" customHeight="1" x14ac:dyDescent="0.3">
      <c r="A906" s="555"/>
      <c r="B906" s="555"/>
      <c r="C906" s="555"/>
      <c r="D906" s="555"/>
      <c r="E906" s="555"/>
      <c r="F906" s="555"/>
      <c r="G906" s="555"/>
      <c r="H906" s="555"/>
      <c r="I906" s="555"/>
      <c r="J906" s="555"/>
      <c r="K906" s="555"/>
      <c r="L906" s="555"/>
      <c r="M906" s="555"/>
      <c r="N906" s="555"/>
    </row>
    <row r="907" spans="1:14" ht="18" customHeight="1" x14ac:dyDescent="0.3">
      <c r="A907" s="555"/>
      <c r="B907" s="555"/>
      <c r="C907" s="555"/>
      <c r="D907" s="555"/>
      <c r="E907" s="555"/>
      <c r="F907" s="555"/>
      <c r="G907" s="555"/>
      <c r="H907" s="555"/>
      <c r="I907" s="555"/>
      <c r="J907" s="555"/>
      <c r="K907" s="555"/>
      <c r="L907" s="555"/>
      <c r="M907" s="555"/>
      <c r="N907" s="555"/>
    </row>
    <row r="908" spans="1:14" ht="18" customHeight="1" x14ac:dyDescent="0.3">
      <c r="A908" s="555"/>
      <c r="B908" s="555"/>
      <c r="C908" s="555"/>
      <c r="D908" s="555"/>
      <c r="E908" s="555"/>
      <c r="F908" s="555"/>
      <c r="G908" s="555"/>
      <c r="H908" s="555"/>
      <c r="I908" s="555"/>
      <c r="J908" s="555"/>
      <c r="K908" s="555"/>
      <c r="L908" s="555"/>
      <c r="M908" s="555"/>
      <c r="N908" s="555"/>
    </row>
    <row r="909" spans="1:14" ht="18" customHeight="1" x14ac:dyDescent="0.3">
      <c r="A909" s="555"/>
      <c r="B909" s="555"/>
      <c r="C909" s="555"/>
      <c r="D909" s="555"/>
      <c r="E909" s="555"/>
      <c r="F909" s="555"/>
      <c r="G909" s="555"/>
      <c r="H909" s="555"/>
      <c r="I909" s="555"/>
      <c r="J909" s="555"/>
      <c r="K909" s="555"/>
      <c r="L909" s="555"/>
      <c r="M909" s="555"/>
      <c r="N909" s="555"/>
    </row>
    <row r="910" spans="1:14" ht="18" customHeight="1" x14ac:dyDescent="0.3">
      <c r="A910" s="555"/>
      <c r="B910" s="555"/>
      <c r="C910" s="555"/>
      <c r="D910" s="555"/>
      <c r="E910" s="555"/>
      <c r="F910" s="555"/>
      <c r="G910" s="555"/>
      <c r="H910" s="555"/>
      <c r="I910" s="555"/>
      <c r="J910" s="555"/>
      <c r="K910" s="555"/>
      <c r="L910" s="555"/>
      <c r="M910" s="555"/>
      <c r="N910" s="555"/>
    </row>
    <row r="911" spans="1:14" ht="18" customHeight="1" x14ac:dyDescent="0.3">
      <c r="A911" s="555"/>
      <c r="B911" s="555"/>
      <c r="C911" s="555"/>
      <c r="D911" s="555"/>
      <c r="E911" s="555"/>
      <c r="F911" s="555"/>
      <c r="G911" s="555"/>
      <c r="H911" s="555"/>
      <c r="I911" s="555"/>
      <c r="J911" s="555"/>
      <c r="K911" s="555"/>
      <c r="L911" s="555"/>
      <c r="M911" s="555"/>
      <c r="N911" s="555"/>
    </row>
    <row r="912" spans="1:14" ht="18" customHeight="1" x14ac:dyDescent="0.3">
      <c r="A912" s="555"/>
      <c r="B912" s="555"/>
      <c r="C912" s="555"/>
      <c r="D912" s="555"/>
      <c r="E912" s="555"/>
      <c r="F912" s="555"/>
      <c r="G912" s="555"/>
      <c r="H912" s="555"/>
      <c r="I912" s="555"/>
      <c r="J912" s="555"/>
      <c r="K912" s="555"/>
      <c r="L912" s="555"/>
      <c r="M912" s="555"/>
      <c r="N912" s="555"/>
    </row>
    <row r="913" spans="1:14" ht="18" customHeight="1" x14ac:dyDescent="0.3">
      <c r="A913" s="555"/>
      <c r="B913" s="555"/>
      <c r="C913" s="555"/>
      <c r="D913" s="555"/>
      <c r="E913" s="555"/>
      <c r="F913" s="555"/>
      <c r="G913" s="555"/>
      <c r="H913" s="555"/>
      <c r="I913" s="555"/>
      <c r="J913" s="555"/>
      <c r="K913" s="555"/>
      <c r="L913" s="555"/>
      <c r="M913" s="555"/>
      <c r="N913" s="555"/>
    </row>
    <row r="914" spans="1:14" ht="18" customHeight="1" x14ac:dyDescent="0.3">
      <c r="A914" s="555"/>
      <c r="B914" s="555"/>
      <c r="C914" s="555"/>
      <c r="D914" s="555"/>
      <c r="E914" s="555"/>
      <c r="F914" s="555"/>
      <c r="G914" s="555"/>
      <c r="H914" s="555"/>
      <c r="I914" s="555"/>
      <c r="J914" s="555"/>
      <c r="K914" s="555"/>
      <c r="L914" s="555"/>
      <c r="M914" s="555"/>
      <c r="N914" s="555"/>
    </row>
    <row r="915" spans="1:14" ht="18" customHeight="1" x14ac:dyDescent="0.3">
      <c r="A915" s="555"/>
      <c r="B915" s="555"/>
      <c r="C915" s="555"/>
      <c r="D915" s="555"/>
      <c r="E915" s="555"/>
      <c r="F915" s="555"/>
      <c r="G915" s="555"/>
      <c r="H915" s="555"/>
      <c r="I915" s="555"/>
      <c r="J915" s="555"/>
      <c r="K915" s="555"/>
      <c r="L915" s="555"/>
      <c r="M915" s="555"/>
      <c r="N915" s="555"/>
    </row>
    <row r="916" spans="1:14" ht="18" customHeight="1" x14ac:dyDescent="0.3">
      <c r="A916" s="555"/>
      <c r="B916" s="555"/>
      <c r="C916" s="555"/>
      <c r="D916" s="555"/>
      <c r="E916" s="555"/>
      <c r="F916" s="555"/>
      <c r="G916" s="555"/>
      <c r="H916" s="555"/>
      <c r="I916" s="555"/>
      <c r="J916" s="555"/>
      <c r="K916" s="555"/>
      <c r="L916" s="555"/>
      <c r="M916" s="555"/>
      <c r="N916" s="555"/>
    </row>
    <row r="917" spans="1:14" ht="18" customHeight="1" x14ac:dyDescent="0.3">
      <c r="A917" s="555"/>
      <c r="B917" s="555"/>
      <c r="C917" s="555"/>
      <c r="D917" s="555"/>
      <c r="E917" s="555"/>
      <c r="F917" s="555"/>
      <c r="G917" s="555"/>
      <c r="H917" s="555"/>
      <c r="I917" s="555"/>
      <c r="J917" s="555"/>
      <c r="K917" s="555"/>
      <c r="L917" s="555"/>
      <c r="M917" s="555"/>
      <c r="N917" s="555"/>
    </row>
    <row r="918" spans="1:14" ht="18" customHeight="1" x14ac:dyDescent="0.3">
      <c r="A918" s="555"/>
      <c r="B918" s="555"/>
      <c r="C918" s="555"/>
      <c r="D918" s="555"/>
      <c r="E918" s="555"/>
      <c r="F918" s="555"/>
      <c r="G918" s="555"/>
      <c r="H918" s="555"/>
      <c r="I918" s="555"/>
      <c r="J918" s="555"/>
      <c r="K918" s="555"/>
      <c r="L918" s="555"/>
      <c r="M918" s="555"/>
      <c r="N918" s="555"/>
    </row>
    <row r="919" spans="1:14" ht="18" customHeight="1" x14ac:dyDescent="0.3">
      <c r="A919" s="555"/>
      <c r="B919" s="555"/>
      <c r="C919" s="555"/>
      <c r="D919" s="555"/>
      <c r="E919" s="555"/>
      <c r="F919" s="555"/>
      <c r="G919" s="555"/>
      <c r="H919" s="555"/>
      <c r="I919" s="555"/>
      <c r="J919" s="555"/>
      <c r="K919" s="555"/>
      <c r="L919" s="555"/>
      <c r="M919" s="555"/>
      <c r="N919" s="555"/>
    </row>
    <row r="920" spans="1:14" ht="18" customHeight="1" x14ac:dyDescent="0.3">
      <c r="A920" s="555"/>
      <c r="B920" s="555"/>
      <c r="C920" s="555"/>
      <c r="D920" s="555"/>
      <c r="E920" s="555"/>
      <c r="F920" s="555"/>
      <c r="G920" s="555"/>
      <c r="H920" s="555"/>
      <c r="I920" s="555"/>
      <c r="J920" s="555"/>
      <c r="K920" s="555"/>
      <c r="L920" s="555"/>
      <c r="M920" s="555"/>
      <c r="N920" s="555"/>
    </row>
    <row r="921" spans="1:14" ht="18" customHeight="1" x14ac:dyDescent="0.3">
      <c r="A921" s="555"/>
      <c r="B921" s="555"/>
      <c r="C921" s="555"/>
      <c r="D921" s="555"/>
      <c r="E921" s="555"/>
      <c r="F921" s="555"/>
      <c r="G921" s="555"/>
      <c r="H921" s="555"/>
      <c r="I921" s="555"/>
      <c r="J921" s="555"/>
      <c r="K921" s="555"/>
      <c r="L921" s="555"/>
      <c r="M921" s="555"/>
      <c r="N921" s="555"/>
    </row>
    <row r="922" spans="1:14" ht="18" customHeight="1" x14ac:dyDescent="0.3">
      <c r="A922" s="555"/>
      <c r="B922" s="555"/>
      <c r="C922" s="555"/>
      <c r="D922" s="555"/>
      <c r="E922" s="555"/>
      <c r="F922" s="555"/>
      <c r="G922" s="555"/>
      <c r="H922" s="555"/>
      <c r="I922" s="555"/>
      <c r="J922" s="555"/>
      <c r="K922" s="555"/>
      <c r="L922" s="555"/>
      <c r="M922" s="555"/>
      <c r="N922" s="555"/>
    </row>
    <row r="923" spans="1:14" ht="18" customHeight="1" x14ac:dyDescent="0.3">
      <c r="A923" s="555"/>
      <c r="B923" s="555"/>
      <c r="C923" s="555"/>
      <c r="D923" s="555"/>
      <c r="E923" s="555"/>
      <c r="F923" s="555"/>
      <c r="G923" s="555"/>
      <c r="H923" s="555"/>
      <c r="I923" s="555"/>
      <c r="J923" s="555"/>
      <c r="K923" s="555"/>
      <c r="L923" s="555"/>
      <c r="M923" s="555"/>
      <c r="N923" s="555"/>
    </row>
    <row r="924" spans="1:14" ht="18" customHeight="1" x14ac:dyDescent="0.3">
      <c r="A924" s="555"/>
      <c r="B924" s="555"/>
      <c r="C924" s="555"/>
      <c r="D924" s="555"/>
      <c r="E924" s="555"/>
      <c r="F924" s="555"/>
      <c r="G924" s="555"/>
      <c r="H924" s="555"/>
      <c r="I924" s="555"/>
      <c r="J924" s="555"/>
      <c r="K924" s="555"/>
      <c r="L924" s="555"/>
      <c r="M924" s="555"/>
      <c r="N924" s="555"/>
    </row>
    <row r="925" spans="1:14" ht="18" customHeight="1" x14ac:dyDescent="0.3">
      <c r="A925" s="555"/>
      <c r="B925" s="555"/>
      <c r="C925" s="555"/>
      <c r="D925" s="555"/>
      <c r="E925" s="555"/>
      <c r="F925" s="555"/>
      <c r="G925" s="555"/>
      <c r="H925" s="555"/>
      <c r="I925" s="555"/>
      <c r="J925" s="555"/>
      <c r="K925" s="555"/>
      <c r="L925" s="555"/>
      <c r="M925" s="555"/>
      <c r="N925" s="555"/>
    </row>
    <row r="926" spans="1:14" ht="18" customHeight="1" x14ac:dyDescent="0.3">
      <c r="A926" s="555"/>
      <c r="B926" s="555"/>
      <c r="C926" s="555"/>
      <c r="D926" s="555"/>
      <c r="E926" s="555"/>
      <c r="F926" s="555"/>
      <c r="G926" s="555"/>
      <c r="H926" s="555"/>
      <c r="I926" s="555"/>
      <c r="J926" s="555"/>
      <c r="K926" s="555"/>
      <c r="L926" s="555"/>
      <c r="M926" s="555"/>
      <c r="N926" s="555"/>
    </row>
    <row r="927" spans="1:14" ht="18" customHeight="1" x14ac:dyDescent="0.3">
      <c r="A927" s="555"/>
      <c r="B927" s="555"/>
      <c r="C927" s="555"/>
      <c r="D927" s="555"/>
      <c r="E927" s="555"/>
      <c r="F927" s="555"/>
      <c r="G927" s="555"/>
      <c r="H927" s="555"/>
      <c r="I927" s="555"/>
      <c r="J927" s="555"/>
      <c r="K927" s="555"/>
      <c r="L927" s="555"/>
      <c r="M927" s="555"/>
      <c r="N927" s="555"/>
    </row>
    <row r="928" spans="1:14" ht="18" customHeight="1" x14ac:dyDescent="0.3">
      <c r="A928" s="555"/>
      <c r="B928" s="555"/>
      <c r="C928" s="555"/>
      <c r="D928" s="555"/>
      <c r="E928" s="555"/>
      <c r="F928" s="555"/>
      <c r="G928" s="555"/>
      <c r="H928" s="555"/>
      <c r="I928" s="555"/>
      <c r="J928" s="555"/>
      <c r="K928" s="555"/>
      <c r="L928" s="555"/>
      <c r="M928" s="555"/>
      <c r="N928" s="555"/>
    </row>
    <row r="929" spans="1:14" ht="18" customHeight="1" x14ac:dyDescent="0.3">
      <c r="A929" s="555"/>
      <c r="B929" s="555"/>
      <c r="C929" s="555"/>
      <c r="D929" s="555"/>
      <c r="E929" s="555"/>
      <c r="F929" s="555"/>
      <c r="G929" s="555"/>
      <c r="H929" s="555"/>
      <c r="I929" s="555"/>
      <c r="J929" s="555"/>
      <c r="K929" s="555"/>
      <c r="L929" s="555"/>
      <c r="M929" s="555"/>
      <c r="N929" s="555"/>
    </row>
    <row r="930" spans="1:14" ht="18" customHeight="1" x14ac:dyDescent="0.3">
      <c r="A930" s="555"/>
      <c r="B930" s="555"/>
      <c r="C930" s="555"/>
      <c r="D930" s="555"/>
      <c r="E930" s="555"/>
      <c r="F930" s="555"/>
      <c r="G930" s="555"/>
      <c r="H930" s="555"/>
      <c r="I930" s="555"/>
      <c r="J930" s="555"/>
      <c r="K930" s="555"/>
      <c r="L930" s="555"/>
      <c r="M930" s="555"/>
      <c r="N930" s="555"/>
    </row>
    <row r="931" spans="1:14" ht="18" customHeight="1" x14ac:dyDescent="0.3">
      <c r="A931" s="555"/>
      <c r="B931" s="555"/>
      <c r="C931" s="555"/>
      <c r="D931" s="555"/>
      <c r="E931" s="555"/>
      <c r="F931" s="555"/>
      <c r="G931" s="555"/>
      <c r="H931" s="555"/>
      <c r="I931" s="555"/>
      <c r="J931" s="555"/>
      <c r="K931" s="555"/>
      <c r="L931" s="555"/>
      <c r="M931" s="555"/>
      <c r="N931" s="555"/>
    </row>
    <row r="932" spans="1:14" ht="18" customHeight="1" x14ac:dyDescent="0.3">
      <c r="A932" s="555"/>
      <c r="B932" s="555"/>
      <c r="C932" s="555"/>
      <c r="D932" s="555"/>
      <c r="E932" s="555"/>
      <c r="F932" s="555"/>
      <c r="G932" s="555"/>
      <c r="H932" s="555"/>
      <c r="I932" s="555"/>
      <c r="J932" s="555"/>
      <c r="K932" s="555"/>
      <c r="L932" s="555"/>
      <c r="M932" s="555"/>
      <c r="N932" s="555"/>
    </row>
    <row r="933" spans="1:14" ht="18" customHeight="1" x14ac:dyDescent="0.3">
      <c r="A933" s="555"/>
      <c r="B933" s="555"/>
      <c r="C933" s="555"/>
      <c r="D933" s="555"/>
      <c r="E933" s="555"/>
      <c r="F933" s="555"/>
      <c r="G933" s="555"/>
      <c r="H933" s="555"/>
      <c r="I933" s="555"/>
      <c r="J933" s="555"/>
      <c r="K933" s="555"/>
      <c r="L933" s="555"/>
      <c r="M933" s="555"/>
      <c r="N933" s="555"/>
    </row>
    <row r="934" spans="1:14" ht="18" customHeight="1" x14ac:dyDescent="0.3">
      <c r="A934" s="555"/>
      <c r="B934" s="555"/>
      <c r="C934" s="555"/>
      <c r="D934" s="555"/>
      <c r="E934" s="555"/>
      <c r="F934" s="555"/>
      <c r="G934" s="555"/>
      <c r="H934" s="555"/>
      <c r="I934" s="555"/>
      <c r="J934" s="555"/>
      <c r="K934" s="555"/>
      <c r="L934" s="555"/>
      <c r="M934" s="555"/>
      <c r="N934" s="555"/>
    </row>
    <row r="935" spans="1:14" ht="18" customHeight="1" x14ac:dyDescent="0.3">
      <c r="A935" s="555"/>
      <c r="B935" s="555"/>
      <c r="C935" s="555"/>
      <c r="D935" s="555"/>
      <c r="E935" s="555"/>
      <c r="F935" s="555"/>
      <c r="G935" s="555"/>
      <c r="H935" s="555"/>
      <c r="I935" s="555"/>
      <c r="J935" s="555"/>
      <c r="K935" s="555"/>
      <c r="L935" s="555"/>
      <c r="M935" s="555"/>
      <c r="N935" s="555"/>
    </row>
    <row r="936" spans="1:14" ht="18" customHeight="1" x14ac:dyDescent="0.3">
      <c r="A936" s="555"/>
      <c r="B936" s="555"/>
      <c r="C936" s="555"/>
      <c r="D936" s="555"/>
      <c r="E936" s="555"/>
      <c r="F936" s="555"/>
      <c r="G936" s="555"/>
      <c r="H936" s="555"/>
      <c r="I936" s="555"/>
      <c r="J936" s="555"/>
      <c r="K936" s="555"/>
      <c r="L936" s="555"/>
      <c r="M936" s="555"/>
      <c r="N936" s="555"/>
    </row>
    <row r="937" spans="1:14" ht="18" customHeight="1" x14ac:dyDescent="0.3">
      <c r="A937" s="555"/>
      <c r="B937" s="555"/>
      <c r="C937" s="555"/>
      <c r="D937" s="555"/>
      <c r="E937" s="555"/>
      <c r="F937" s="555"/>
      <c r="G937" s="555"/>
      <c r="H937" s="555"/>
      <c r="I937" s="555"/>
      <c r="J937" s="555"/>
      <c r="K937" s="555"/>
      <c r="L937" s="555"/>
      <c r="M937" s="555"/>
      <c r="N937" s="555"/>
    </row>
    <row r="938" spans="1:14" ht="18" customHeight="1" x14ac:dyDescent="0.3">
      <c r="A938" s="555"/>
      <c r="B938" s="555"/>
      <c r="C938" s="555"/>
      <c r="D938" s="555"/>
      <c r="E938" s="555"/>
      <c r="F938" s="555"/>
      <c r="G938" s="555"/>
      <c r="H938" s="555"/>
      <c r="I938" s="555"/>
      <c r="J938" s="555"/>
      <c r="K938" s="555"/>
      <c r="L938" s="555"/>
      <c r="M938" s="555"/>
      <c r="N938" s="555"/>
    </row>
    <row r="939" spans="1:14" ht="18" customHeight="1" x14ac:dyDescent="0.3">
      <c r="A939" s="555"/>
      <c r="B939" s="555"/>
      <c r="C939" s="555"/>
      <c r="D939" s="555"/>
      <c r="E939" s="555"/>
      <c r="F939" s="555"/>
      <c r="G939" s="555"/>
      <c r="H939" s="555"/>
      <c r="I939" s="555"/>
      <c r="J939" s="555"/>
      <c r="K939" s="555"/>
      <c r="L939" s="555"/>
      <c r="M939" s="555"/>
      <c r="N939" s="555"/>
    </row>
    <row r="940" spans="1:14" ht="18" customHeight="1" x14ac:dyDescent="0.3">
      <c r="A940" s="555"/>
      <c r="B940" s="555"/>
      <c r="C940" s="555"/>
      <c r="D940" s="555"/>
      <c r="E940" s="555"/>
      <c r="F940" s="555"/>
      <c r="G940" s="555"/>
      <c r="H940" s="555"/>
      <c r="I940" s="555"/>
      <c r="J940" s="555"/>
      <c r="K940" s="555"/>
      <c r="L940" s="555"/>
      <c r="M940" s="555"/>
      <c r="N940" s="555"/>
    </row>
    <row r="941" spans="1:14" ht="18" customHeight="1" x14ac:dyDescent="0.3">
      <c r="A941" s="555"/>
      <c r="B941" s="555"/>
      <c r="C941" s="555"/>
      <c r="D941" s="555"/>
      <c r="E941" s="555"/>
      <c r="F941" s="555"/>
      <c r="G941" s="555"/>
      <c r="H941" s="555"/>
      <c r="I941" s="555"/>
      <c r="J941" s="555"/>
      <c r="K941" s="555"/>
      <c r="L941" s="555"/>
      <c r="M941" s="555"/>
      <c r="N941" s="555"/>
    </row>
    <row r="942" spans="1:14" ht="18" customHeight="1" x14ac:dyDescent="0.3">
      <c r="A942" s="555"/>
      <c r="B942" s="555"/>
      <c r="C942" s="555"/>
      <c r="D942" s="555"/>
      <c r="E942" s="555"/>
      <c r="F942" s="555"/>
      <c r="G942" s="555"/>
      <c r="H942" s="555"/>
      <c r="I942" s="555"/>
      <c r="J942" s="555"/>
      <c r="K942" s="555"/>
      <c r="L942" s="555"/>
      <c r="M942" s="555"/>
      <c r="N942" s="555"/>
    </row>
    <row r="943" spans="1:14" ht="18" customHeight="1" x14ac:dyDescent="0.3">
      <c r="A943" s="555"/>
      <c r="B943" s="555"/>
      <c r="C943" s="555"/>
      <c r="D943" s="555"/>
      <c r="E943" s="555"/>
      <c r="F943" s="555"/>
      <c r="G943" s="555"/>
      <c r="H943" s="555"/>
      <c r="I943" s="555"/>
      <c r="J943" s="555"/>
      <c r="K943" s="555"/>
      <c r="L943" s="555"/>
      <c r="M943" s="555"/>
      <c r="N943" s="555"/>
    </row>
    <row r="944" spans="1:14" ht="18" customHeight="1" x14ac:dyDescent="0.3">
      <c r="A944" s="555"/>
      <c r="B944" s="555"/>
      <c r="C944" s="555"/>
      <c r="D944" s="555"/>
      <c r="E944" s="555"/>
      <c r="F944" s="555"/>
      <c r="G944" s="555"/>
      <c r="H944" s="555"/>
      <c r="I944" s="555"/>
      <c r="J944" s="555"/>
      <c r="K944" s="555"/>
      <c r="L944" s="555"/>
      <c r="M944" s="555"/>
      <c r="N944" s="555"/>
    </row>
    <row r="945" spans="1:14" ht="18" customHeight="1" x14ac:dyDescent="0.3">
      <c r="A945" s="555"/>
      <c r="B945" s="555"/>
      <c r="C945" s="555"/>
      <c r="D945" s="555"/>
      <c r="E945" s="555"/>
      <c r="F945" s="555"/>
      <c r="G945" s="555"/>
      <c r="H945" s="555"/>
      <c r="I945" s="555"/>
      <c r="J945" s="555"/>
      <c r="K945" s="555"/>
      <c r="L945" s="555"/>
      <c r="M945" s="555"/>
      <c r="N945" s="555"/>
    </row>
    <row r="946" spans="1:14" ht="18" customHeight="1" x14ac:dyDescent="0.3">
      <c r="A946" s="555"/>
      <c r="B946" s="555"/>
      <c r="C946" s="555"/>
      <c r="D946" s="555"/>
      <c r="E946" s="555"/>
      <c r="F946" s="555"/>
      <c r="G946" s="555"/>
      <c r="H946" s="555"/>
      <c r="I946" s="555"/>
      <c r="J946" s="555"/>
      <c r="K946" s="555"/>
      <c r="L946" s="555"/>
      <c r="M946" s="555"/>
      <c r="N946" s="555"/>
    </row>
    <row r="947" spans="1:14" ht="18" customHeight="1" x14ac:dyDescent="0.3">
      <c r="A947" s="555"/>
      <c r="B947" s="555"/>
      <c r="C947" s="555"/>
      <c r="D947" s="555"/>
      <c r="E947" s="555"/>
      <c r="F947" s="555"/>
      <c r="G947" s="555"/>
      <c r="H947" s="555"/>
      <c r="I947" s="555"/>
      <c r="J947" s="555"/>
      <c r="K947" s="555"/>
      <c r="L947" s="555"/>
      <c r="M947" s="555"/>
      <c r="N947" s="555"/>
    </row>
    <row r="948" spans="1:14" ht="18" customHeight="1" x14ac:dyDescent="0.3">
      <c r="A948" s="555"/>
      <c r="B948" s="555"/>
      <c r="C948" s="555"/>
      <c r="D948" s="555"/>
      <c r="E948" s="555"/>
      <c r="F948" s="555"/>
      <c r="G948" s="555"/>
      <c r="H948" s="555"/>
      <c r="I948" s="555"/>
      <c r="J948" s="555"/>
      <c r="K948" s="555"/>
      <c r="L948" s="555"/>
      <c r="M948" s="555"/>
      <c r="N948" s="555"/>
    </row>
    <row r="949" spans="1:14" ht="18" customHeight="1" x14ac:dyDescent="0.3">
      <c r="A949" s="555"/>
      <c r="B949" s="555"/>
      <c r="C949" s="555"/>
      <c r="D949" s="555"/>
      <c r="E949" s="555"/>
      <c r="F949" s="555"/>
      <c r="G949" s="555"/>
      <c r="H949" s="555"/>
      <c r="I949" s="555"/>
      <c r="J949" s="555"/>
      <c r="K949" s="555"/>
      <c r="L949" s="555"/>
      <c r="M949" s="555"/>
      <c r="N949" s="555"/>
    </row>
    <row r="950" spans="1:14" ht="18" customHeight="1" x14ac:dyDescent="0.3">
      <c r="A950" s="555"/>
      <c r="B950" s="555"/>
      <c r="C950" s="555"/>
      <c r="D950" s="555"/>
      <c r="E950" s="555"/>
      <c r="F950" s="555"/>
      <c r="G950" s="555"/>
      <c r="H950" s="555"/>
      <c r="I950" s="555"/>
      <c r="J950" s="555"/>
      <c r="K950" s="555"/>
      <c r="L950" s="555"/>
      <c r="M950" s="555"/>
      <c r="N950" s="555"/>
    </row>
    <row r="951" spans="1:14" ht="18" customHeight="1" x14ac:dyDescent="0.3">
      <c r="A951" s="555"/>
      <c r="B951" s="555"/>
      <c r="C951" s="555"/>
      <c r="D951" s="555"/>
      <c r="E951" s="555"/>
      <c r="F951" s="555"/>
      <c r="G951" s="555"/>
      <c r="H951" s="555"/>
      <c r="I951" s="555"/>
      <c r="J951" s="555"/>
      <c r="K951" s="555"/>
      <c r="L951" s="555"/>
      <c r="M951" s="555"/>
      <c r="N951" s="555"/>
    </row>
    <row r="952" spans="1:14" ht="18" customHeight="1" x14ac:dyDescent="0.3">
      <c r="A952" s="555"/>
      <c r="B952" s="555"/>
      <c r="C952" s="555"/>
      <c r="D952" s="555"/>
      <c r="E952" s="555"/>
      <c r="F952" s="555"/>
      <c r="G952" s="555"/>
      <c r="H952" s="555"/>
      <c r="I952" s="555"/>
      <c r="J952" s="555"/>
      <c r="K952" s="555"/>
      <c r="L952" s="555"/>
      <c r="M952" s="555"/>
      <c r="N952" s="555"/>
    </row>
    <row r="953" spans="1:14" ht="18" customHeight="1" x14ac:dyDescent="0.3">
      <c r="A953" s="555"/>
      <c r="B953" s="555"/>
      <c r="C953" s="555"/>
      <c r="D953" s="555"/>
      <c r="E953" s="555"/>
      <c r="F953" s="555"/>
      <c r="G953" s="555"/>
      <c r="H953" s="555"/>
      <c r="I953" s="555"/>
      <c r="J953" s="555"/>
      <c r="K953" s="555"/>
      <c r="L953" s="555"/>
      <c r="M953" s="555"/>
      <c r="N953" s="555"/>
    </row>
    <row r="954" spans="1:14" ht="18" customHeight="1" x14ac:dyDescent="0.3">
      <c r="A954" s="555"/>
      <c r="B954" s="555"/>
      <c r="C954" s="555"/>
      <c r="D954" s="555"/>
      <c r="E954" s="555"/>
      <c r="F954" s="555"/>
      <c r="G954" s="555"/>
      <c r="H954" s="555"/>
      <c r="I954" s="555"/>
      <c r="J954" s="555"/>
      <c r="K954" s="555"/>
      <c r="L954" s="555"/>
      <c r="M954" s="555"/>
      <c r="N954" s="555"/>
    </row>
    <row r="955" spans="1:14" ht="18" customHeight="1" x14ac:dyDescent="0.3">
      <c r="A955" s="555"/>
      <c r="B955" s="555"/>
      <c r="C955" s="555"/>
      <c r="D955" s="555"/>
      <c r="E955" s="555"/>
      <c r="F955" s="555"/>
      <c r="G955" s="555"/>
      <c r="H955" s="555"/>
      <c r="I955" s="555"/>
      <c r="J955" s="555"/>
      <c r="K955" s="555"/>
      <c r="L955" s="555"/>
      <c r="M955" s="555"/>
      <c r="N955" s="555"/>
    </row>
    <row r="956" spans="1:14" ht="18" customHeight="1" x14ac:dyDescent="0.3">
      <c r="A956" s="555"/>
      <c r="B956" s="555"/>
      <c r="C956" s="555"/>
      <c r="D956" s="555"/>
      <c r="E956" s="555"/>
      <c r="F956" s="555"/>
      <c r="G956" s="555"/>
      <c r="H956" s="555"/>
      <c r="I956" s="555"/>
      <c r="J956" s="555"/>
      <c r="K956" s="555"/>
      <c r="L956" s="555"/>
      <c r="M956" s="555"/>
      <c r="N956" s="555"/>
    </row>
    <row r="957" spans="1:14" ht="18" customHeight="1" x14ac:dyDescent="0.3">
      <c r="A957" s="555"/>
      <c r="B957" s="555"/>
      <c r="C957" s="555"/>
      <c r="D957" s="555"/>
      <c r="E957" s="555"/>
      <c r="F957" s="555"/>
      <c r="G957" s="555"/>
      <c r="H957" s="555"/>
      <c r="I957" s="555"/>
      <c r="J957" s="555"/>
      <c r="K957" s="555"/>
      <c r="L957" s="555"/>
      <c r="M957" s="555"/>
      <c r="N957" s="555"/>
    </row>
    <row r="958" spans="1:14" ht="18" customHeight="1" x14ac:dyDescent="0.3">
      <c r="A958" s="555"/>
      <c r="B958" s="555"/>
      <c r="C958" s="555"/>
      <c r="D958" s="555"/>
      <c r="E958" s="555"/>
      <c r="F958" s="555"/>
      <c r="G958" s="555"/>
      <c r="H958" s="555"/>
      <c r="I958" s="555"/>
      <c r="J958" s="555"/>
      <c r="K958" s="555"/>
      <c r="L958" s="555"/>
      <c r="M958" s="555"/>
      <c r="N958" s="555"/>
    </row>
    <row r="959" spans="1:14" ht="18" customHeight="1" x14ac:dyDescent="0.3">
      <c r="A959" s="555"/>
      <c r="B959" s="555"/>
      <c r="C959" s="555"/>
      <c r="D959" s="555"/>
      <c r="E959" s="555"/>
      <c r="F959" s="555"/>
      <c r="G959" s="555"/>
      <c r="H959" s="555"/>
      <c r="I959" s="555"/>
      <c r="J959" s="555"/>
      <c r="K959" s="555"/>
      <c r="L959" s="555"/>
      <c r="M959" s="555"/>
      <c r="N959" s="555"/>
    </row>
    <row r="960" spans="1:14" ht="18" customHeight="1" x14ac:dyDescent="0.3">
      <c r="A960" s="555"/>
      <c r="B960" s="555"/>
      <c r="C960" s="555"/>
      <c r="D960" s="555"/>
      <c r="E960" s="555"/>
      <c r="F960" s="555"/>
      <c r="G960" s="555"/>
      <c r="H960" s="555"/>
      <c r="I960" s="555"/>
      <c r="J960" s="555"/>
      <c r="K960" s="555"/>
      <c r="L960" s="555"/>
      <c r="M960" s="555"/>
      <c r="N960" s="555"/>
    </row>
    <row r="961" spans="1:14" ht="18" customHeight="1" x14ac:dyDescent="0.3">
      <c r="A961" s="555"/>
      <c r="B961" s="555"/>
      <c r="C961" s="555"/>
      <c r="D961" s="555"/>
      <c r="E961" s="555"/>
      <c r="F961" s="555"/>
      <c r="G961" s="555"/>
      <c r="H961" s="555"/>
      <c r="I961" s="555"/>
      <c r="J961" s="555"/>
      <c r="K961" s="555"/>
      <c r="L961" s="555"/>
      <c r="M961" s="555"/>
      <c r="N961" s="555"/>
    </row>
    <row r="962" spans="1:14" ht="18" customHeight="1" x14ac:dyDescent="0.3">
      <c r="A962" s="555"/>
      <c r="B962" s="555"/>
      <c r="C962" s="555"/>
      <c r="D962" s="555"/>
      <c r="E962" s="555"/>
      <c r="F962" s="555"/>
      <c r="G962" s="555"/>
      <c r="H962" s="555"/>
      <c r="I962" s="555"/>
      <c r="J962" s="555"/>
      <c r="K962" s="555"/>
      <c r="L962" s="555"/>
      <c r="M962" s="555"/>
      <c r="N962" s="555"/>
    </row>
    <row r="963" spans="1:14" ht="18" customHeight="1" x14ac:dyDescent="0.3">
      <c r="A963" s="555"/>
      <c r="B963" s="555"/>
      <c r="C963" s="555"/>
      <c r="D963" s="555"/>
      <c r="E963" s="555"/>
      <c r="F963" s="555"/>
      <c r="G963" s="555"/>
      <c r="H963" s="555"/>
      <c r="I963" s="555"/>
      <c r="J963" s="555"/>
      <c r="K963" s="555"/>
      <c r="L963" s="555"/>
      <c r="M963" s="555"/>
      <c r="N963" s="555"/>
    </row>
    <row r="964" spans="1:14" ht="18" customHeight="1" x14ac:dyDescent="0.3">
      <c r="A964" s="555"/>
      <c r="B964" s="555"/>
      <c r="C964" s="555"/>
      <c r="D964" s="555"/>
      <c r="E964" s="555"/>
      <c r="F964" s="555"/>
      <c r="G964" s="555"/>
      <c r="H964" s="555"/>
      <c r="I964" s="555"/>
      <c r="J964" s="555"/>
      <c r="K964" s="555"/>
      <c r="L964" s="555"/>
      <c r="M964" s="555"/>
      <c r="N964" s="555"/>
    </row>
    <row r="965" spans="1:14" ht="18" customHeight="1" x14ac:dyDescent="0.3">
      <c r="A965" s="555"/>
      <c r="B965" s="555"/>
      <c r="C965" s="555"/>
      <c r="D965" s="555"/>
      <c r="E965" s="555"/>
      <c r="F965" s="555"/>
      <c r="G965" s="555"/>
      <c r="H965" s="555"/>
      <c r="I965" s="555"/>
      <c r="J965" s="555"/>
      <c r="K965" s="555"/>
      <c r="L965" s="555"/>
      <c r="M965" s="555"/>
      <c r="N965" s="555"/>
    </row>
    <row r="966" spans="1:14" ht="18" customHeight="1" x14ac:dyDescent="0.3">
      <c r="A966" s="555"/>
      <c r="B966" s="555"/>
      <c r="C966" s="555"/>
      <c r="D966" s="555"/>
      <c r="E966" s="555"/>
      <c r="F966" s="555"/>
      <c r="G966" s="555"/>
      <c r="H966" s="555"/>
      <c r="I966" s="555"/>
      <c r="J966" s="555"/>
      <c r="K966" s="555"/>
      <c r="L966" s="555"/>
      <c r="M966" s="555"/>
      <c r="N966" s="555"/>
    </row>
    <row r="967" spans="1:14" ht="18" customHeight="1" x14ac:dyDescent="0.3">
      <c r="A967" s="555"/>
      <c r="B967" s="555"/>
      <c r="C967" s="555"/>
      <c r="D967" s="555"/>
      <c r="E967" s="555"/>
      <c r="F967" s="555"/>
      <c r="G967" s="555"/>
      <c r="H967" s="555"/>
      <c r="I967" s="555"/>
      <c r="J967" s="555"/>
      <c r="K967" s="555"/>
      <c r="L967" s="555"/>
      <c r="M967" s="555"/>
      <c r="N967" s="555"/>
    </row>
    <row r="968" spans="1:14" ht="18" customHeight="1" x14ac:dyDescent="0.3">
      <c r="A968" s="555"/>
      <c r="B968" s="555"/>
      <c r="C968" s="555"/>
      <c r="D968" s="555"/>
      <c r="E968" s="555"/>
      <c r="F968" s="555"/>
      <c r="G968" s="555"/>
      <c r="H968" s="555"/>
      <c r="I968" s="555"/>
      <c r="J968" s="555"/>
      <c r="K968" s="555"/>
      <c r="L968" s="555"/>
      <c r="M968" s="555"/>
      <c r="N968" s="555"/>
    </row>
    <row r="969" spans="1:14" ht="18" customHeight="1" x14ac:dyDescent="0.3">
      <c r="A969" s="555"/>
      <c r="B969" s="555"/>
      <c r="C969" s="555"/>
      <c r="D969" s="555"/>
      <c r="E969" s="555"/>
      <c r="F969" s="555"/>
      <c r="G969" s="555"/>
      <c r="H969" s="555"/>
      <c r="I969" s="555"/>
      <c r="J969" s="555"/>
      <c r="K969" s="555"/>
      <c r="L969" s="555"/>
      <c r="M969" s="555"/>
      <c r="N969" s="555"/>
    </row>
    <row r="970" spans="1:14" ht="18" customHeight="1" x14ac:dyDescent="0.3">
      <c r="A970" s="555"/>
      <c r="B970" s="555"/>
      <c r="C970" s="555"/>
      <c r="D970" s="555"/>
      <c r="E970" s="555"/>
      <c r="F970" s="555"/>
      <c r="G970" s="555"/>
      <c r="H970" s="555"/>
      <c r="I970" s="555"/>
      <c r="J970" s="555"/>
      <c r="K970" s="555"/>
      <c r="L970" s="555"/>
      <c r="M970" s="555"/>
      <c r="N970" s="555"/>
    </row>
    <row r="971" spans="1:14" ht="18" customHeight="1" x14ac:dyDescent="0.3">
      <c r="A971" s="555"/>
      <c r="B971" s="555"/>
      <c r="C971" s="555"/>
      <c r="D971" s="555"/>
      <c r="E971" s="555"/>
      <c r="F971" s="555"/>
      <c r="G971" s="555"/>
      <c r="H971" s="555"/>
      <c r="I971" s="555"/>
      <c r="J971" s="555"/>
      <c r="K971" s="555"/>
      <c r="L971" s="555"/>
      <c r="M971" s="555"/>
      <c r="N971" s="555"/>
    </row>
    <row r="972" spans="1:14" ht="18" customHeight="1" x14ac:dyDescent="0.3">
      <c r="A972" s="555"/>
      <c r="B972" s="555"/>
      <c r="C972" s="555"/>
      <c r="D972" s="555"/>
      <c r="E972" s="555"/>
      <c r="F972" s="555"/>
      <c r="G972" s="555"/>
      <c r="H972" s="555"/>
      <c r="I972" s="555"/>
      <c r="J972" s="555"/>
      <c r="K972" s="555"/>
      <c r="L972" s="555"/>
      <c r="M972" s="555"/>
      <c r="N972" s="555"/>
    </row>
    <row r="973" spans="1:14" ht="18" customHeight="1" x14ac:dyDescent="0.3">
      <c r="A973" s="555"/>
      <c r="B973" s="555"/>
      <c r="C973" s="555"/>
      <c r="D973" s="555"/>
      <c r="E973" s="555"/>
      <c r="F973" s="555"/>
      <c r="G973" s="555"/>
      <c r="H973" s="555"/>
      <c r="I973" s="555"/>
      <c r="J973" s="555"/>
      <c r="K973" s="555"/>
      <c r="L973" s="555"/>
      <c r="M973" s="555"/>
      <c r="N973" s="555"/>
    </row>
    <row r="974" spans="1:14" ht="18" customHeight="1" x14ac:dyDescent="0.3">
      <c r="A974" s="555"/>
      <c r="B974" s="555"/>
      <c r="C974" s="555"/>
      <c r="D974" s="555"/>
      <c r="E974" s="555"/>
      <c r="F974" s="555"/>
      <c r="G974" s="555"/>
      <c r="H974" s="555"/>
      <c r="I974" s="555"/>
      <c r="J974" s="555"/>
      <c r="K974" s="555"/>
      <c r="L974" s="555"/>
      <c r="M974" s="555"/>
      <c r="N974" s="555"/>
    </row>
    <row r="975" spans="1:14" ht="18" customHeight="1" x14ac:dyDescent="0.3">
      <c r="A975" s="555"/>
      <c r="B975" s="555"/>
      <c r="C975" s="555"/>
      <c r="D975" s="555"/>
      <c r="E975" s="555"/>
      <c r="F975" s="555"/>
      <c r="G975" s="555"/>
      <c r="H975" s="555"/>
      <c r="I975" s="555"/>
      <c r="J975" s="555"/>
      <c r="K975" s="555"/>
      <c r="L975" s="555"/>
      <c r="M975" s="555"/>
      <c r="N975" s="555"/>
    </row>
    <row r="976" spans="1:14" ht="18" customHeight="1" x14ac:dyDescent="0.3">
      <c r="A976" s="555"/>
      <c r="B976" s="555"/>
      <c r="C976" s="555"/>
      <c r="D976" s="555"/>
      <c r="E976" s="555"/>
      <c r="F976" s="555"/>
      <c r="G976" s="555"/>
      <c r="H976" s="555"/>
      <c r="I976" s="555"/>
      <c r="J976" s="555"/>
      <c r="K976" s="555"/>
      <c r="L976" s="555"/>
      <c r="M976" s="555"/>
      <c r="N976" s="555"/>
    </row>
    <row r="977" spans="1:14" ht="18" customHeight="1" x14ac:dyDescent="0.3">
      <c r="A977" s="555"/>
      <c r="B977" s="555"/>
      <c r="C977" s="555"/>
      <c r="D977" s="555"/>
      <c r="E977" s="555"/>
      <c r="F977" s="555"/>
      <c r="G977" s="555"/>
      <c r="H977" s="555"/>
      <c r="I977" s="555"/>
      <c r="J977" s="555"/>
      <c r="K977" s="555"/>
      <c r="L977" s="555"/>
      <c r="M977" s="555"/>
      <c r="N977" s="555"/>
    </row>
    <row r="978" spans="1:14" ht="18" customHeight="1" x14ac:dyDescent="0.3">
      <c r="A978" s="555"/>
      <c r="B978" s="555"/>
      <c r="C978" s="555"/>
      <c r="D978" s="555"/>
      <c r="E978" s="555"/>
      <c r="F978" s="555"/>
      <c r="G978" s="555"/>
      <c r="H978" s="555"/>
      <c r="I978" s="555"/>
      <c r="J978" s="555"/>
      <c r="K978" s="555"/>
      <c r="L978" s="555"/>
      <c r="M978" s="555"/>
      <c r="N978" s="555"/>
    </row>
    <row r="979" spans="1:14" ht="18" customHeight="1" x14ac:dyDescent="0.3">
      <c r="A979" s="555"/>
      <c r="B979" s="555"/>
      <c r="C979" s="555"/>
      <c r="D979" s="555"/>
      <c r="E979" s="555"/>
      <c r="F979" s="555"/>
      <c r="G979" s="555"/>
      <c r="H979" s="555"/>
      <c r="I979" s="555"/>
      <c r="J979" s="555"/>
      <c r="K979" s="555"/>
      <c r="L979" s="555"/>
      <c r="M979" s="555"/>
      <c r="N979" s="555"/>
    </row>
    <row r="980" spans="1:14" ht="18" customHeight="1" x14ac:dyDescent="0.3">
      <c r="A980" s="555"/>
      <c r="B980" s="555"/>
      <c r="C980" s="555"/>
      <c r="D980" s="555"/>
      <c r="E980" s="555"/>
      <c r="F980" s="555"/>
      <c r="G980" s="555"/>
      <c r="H980" s="555"/>
      <c r="I980" s="555"/>
      <c r="J980" s="555"/>
      <c r="K980" s="555"/>
      <c r="L980" s="555"/>
      <c r="M980" s="555"/>
      <c r="N980" s="555"/>
    </row>
    <row r="981" spans="1:14" ht="18" customHeight="1" x14ac:dyDescent="0.3">
      <c r="A981" s="555"/>
      <c r="B981" s="555"/>
      <c r="C981" s="555"/>
      <c r="D981" s="555"/>
      <c r="E981" s="555"/>
      <c r="F981" s="555"/>
      <c r="G981" s="555"/>
      <c r="H981" s="555"/>
      <c r="I981" s="555"/>
      <c r="J981" s="555"/>
      <c r="K981" s="555"/>
      <c r="L981" s="555"/>
      <c r="M981" s="555"/>
      <c r="N981" s="555"/>
    </row>
    <row r="982" spans="1:14" ht="18" customHeight="1" x14ac:dyDescent="0.3">
      <c r="A982" s="555"/>
      <c r="B982" s="555"/>
      <c r="C982" s="555"/>
      <c r="D982" s="555"/>
      <c r="E982" s="555"/>
      <c r="F982" s="555"/>
      <c r="G982" s="555"/>
      <c r="H982" s="555"/>
      <c r="I982" s="555"/>
      <c r="J982" s="555"/>
      <c r="K982" s="555"/>
      <c r="L982" s="555"/>
      <c r="M982" s="555"/>
      <c r="N982" s="555"/>
    </row>
    <row r="983" spans="1:14" ht="18" customHeight="1" x14ac:dyDescent="0.3">
      <c r="A983" s="555"/>
      <c r="B983" s="555"/>
      <c r="C983" s="555"/>
      <c r="D983" s="555"/>
      <c r="E983" s="555"/>
      <c r="F983" s="555"/>
      <c r="G983" s="555"/>
      <c r="H983" s="555"/>
      <c r="I983" s="555"/>
      <c r="J983" s="555"/>
      <c r="K983" s="555"/>
      <c r="L983" s="555"/>
      <c r="M983" s="555"/>
      <c r="N983" s="555"/>
    </row>
    <row r="984" spans="1:14" ht="18" customHeight="1" x14ac:dyDescent="0.3">
      <c r="A984" s="555"/>
      <c r="B984" s="555"/>
      <c r="C984" s="555"/>
      <c r="D984" s="555"/>
      <c r="E984" s="555"/>
      <c r="F984" s="555"/>
      <c r="G984" s="555"/>
      <c r="H984" s="555"/>
      <c r="I984" s="555"/>
      <c r="J984" s="555"/>
      <c r="K984" s="555"/>
      <c r="L984" s="555"/>
      <c r="M984" s="555"/>
      <c r="N984" s="555"/>
    </row>
    <row r="985" spans="1:14" ht="18" customHeight="1" x14ac:dyDescent="0.3">
      <c r="A985" s="555"/>
      <c r="B985" s="555"/>
      <c r="C985" s="555"/>
      <c r="D985" s="555"/>
      <c r="E985" s="555"/>
      <c r="F985" s="555"/>
      <c r="G985" s="555"/>
      <c r="H985" s="555"/>
      <c r="I985" s="555"/>
      <c r="J985" s="555"/>
      <c r="K985" s="555"/>
      <c r="L985" s="555"/>
      <c r="M985" s="555"/>
      <c r="N985" s="555"/>
    </row>
    <row r="986" spans="1:14" ht="18" customHeight="1" x14ac:dyDescent="0.3">
      <c r="A986" s="555"/>
      <c r="B986" s="555"/>
      <c r="C986" s="555"/>
      <c r="D986" s="555"/>
      <c r="E986" s="555"/>
      <c r="F986" s="555"/>
      <c r="G986" s="555"/>
      <c r="H986" s="555"/>
      <c r="I986" s="555"/>
      <c r="J986" s="555"/>
      <c r="K986" s="555"/>
      <c r="L986" s="555"/>
      <c r="M986" s="555"/>
      <c r="N986" s="555"/>
    </row>
    <row r="987" spans="1:14" ht="18" customHeight="1" x14ac:dyDescent="0.3">
      <c r="A987" s="555"/>
      <c r="B987" s="555"/>
      <c r="C987" s="555"/>
      <c r="D987" s="555"/>
      <c r="E987" s="555"/>
      <c r="F987" s="555"/>
      <c r="G987" s="555"/>
      <c r="H987" s="555"/>
      <c r="I987" s="555"/>
      <c r="J987" s="555"/>
      <c r="K987" s="555"/>
      <c r="L987" s="555"/>
      <c r="M987" s="555"/>
      <c r="N987" s="555"/>
    </row>
    <row r="988" spans="1:14" ht="18" customHeight="1" x14ac:dyDescent="0.3">
      <c r="A988" s="555"/>
      <c r="B988" s="555"/>
      <c r="C988" s="555"/>
      <c r="D988" s="555"/>
      <c r="E988" s="555"/>
      <c r="F988" s="555"/>
      <c r="G988" s="555"/>
      <c r="H988" s="555"/>
      <c r="I988" s="555"/>
      <c r="J988" s="555"/>
      <c r="K988" s="555"/>
      <c r="L988" s="555"/>
      <c r="M988" s="555"/>
      <c r="N988" s="555"/>
    </row>
    <row r="989" spans="1:14" ht="18" customHeight="1" x14ac:dyDescent="0.3">
      <c r="A989" s="555"/>
      <c r="B989" s="555"/>
      <c r="C989" s="555"/>
      <c r="D989" s="555"/>
      <c r="E989" s="555"/>
      <c r="F989" s="555"/>
      <c r="G989" s="555"/>
      <c r="H989" s="555"/>
      <c r="I989" s="555"/>
      <c r="J989" s="555"/>
      <c r="K989" s="555"/>
      <c r="L989" s="555"/>
      <c r="M989" s="555"/>
      <c r="N989" s="555"/>
    </row>
    <row r="990" spans="1:14" ht="18" customHeight="1" x14ac:dyDescent="0.3">
      <c r="A990" s="555"/>
      <c r="B990" s="555"/>
      <c r="C990" s="555"/>
      <c r="D990" s="555"/>
      <c r="E990" s="555"/>
      <c r="F990" s="555"/>
      <c r="G990" s="555"/>
      <c r="H990" s="555"/>
      <c r="I990" s="555"/>
      <c r="J990" s="555"/>
      <c r="K990" s="555"/>
      <c r="L990" s="555"/>
      <c r="M990" s="555"/>
      <c r="N990" s="555"/>
    </row>
    <row r="991" spans="1:14" ht="18" customHeight="1" x14ac:dyDescent="0.3">
      <c r="A991" s="555"/>
      <c r="B991" s="555"/>
      <c r="C991" s="555"/>
      <c r="D991" s="555"/>
      <c r="E991" s="555"/>
      <c r="F991" s="555"/>
      <c r="G991" s="555"/>
      <c r="H991" s="555"/>
      <c r="I991" s="555"/>
      <c r="J991" s="555"/>
      <c r="K991" s="555"/>
      <c r="L991" s="555"/>
      <c r="M991" s="555"/>
      <c r="N991" s="555"/>
    </row>
    <row r="992" spans="1:14" ht="18" customHeight="1" x14ac:dyDescent="0.3">
      <c r="A992" s="555"/>
      <c r="B992" s="555"/>
      <c r="C992" s="555"/>
      <c r="D992" s="555"/>
      <c r="E992" s="555"/>
      <c r="F992" s="555"/>
      <c r="G992" s="555"/>
      <c r="H992" s="555"/>
      <c r="I992" s="555"/>
      <c r="J992" s="555"/>
      <c r="K992" s="555"/>
      <c r="L992" s="555"/>
      <c r="M992" s="555"/>
      <c r="N992" s="555"/>
    </row>
    <row r="993" spans="1:14" ht="18" customHeight="1" x14ac:dyDescent="0.3">
      <c r="A993" s="555"/>
      <c r="B993" s="555"/>
      <c r="C993" s="555"/>
      <c r="D993" s="555"/>
      <c r="E993" s="555"/>
      <c r="F993" s="555"/>
      <c r="G993" s="555"/>
      <c r="H993" s="555"/>
      <c r="I993" s="555"/>
      <c r="J993" s="555"/>
      <c r="K993" s="555"/>
      <c r="L993" s="555"/>
      <c r="M993" s="555"/>
      <c r="N993" s="555"/>
    </row>
    <row r="994" spans="1:14" ht="18" customHeight="1" x14ac:dyDescent="0.3">
      <c r="A994" s="555"/>
      <c r="B994" s="555"/>
      <c r="C994" s="555"/>
      <c r="D994" s="555"/>
      <c r="E994" s="555"/>
      <c r="F994" s="555"/>
      <c r="G994" s="555"/>
      <c r="H994" s="555"/>
      <c r="I994" s="555"/>
      <c r="J994" s="555"/>
      <c r="K994" s="555"/>
      <c r="L994" s="555"/>
      <c r="M994" s="555"/>
      <c r="N994" s="555"/>
    </row>
    <row r="995" spans="1:14" ht="18" customHeight="1" x14ac:dyDescent="0.3">
      <c r="A995" s="555"/>
      <c r="B995" s="555"/>
      <c r="C995" s="555"/>
      <c r="D995" s="555"/>
      <c r="E995" s="555"/>
      <c r="F995" s="555"/>
      <c r="G995" s="555"/>
      <c r="H995" s="555"/>
      <c r="I995" s="555"/>
      <c r="J995" s="555"/>
      <c r="K995" s="555"/>
      <c r="L995" s="555"/>
      <c r="M995" s="555"/>
      <c r="N995" s="555"/>
    </row>
    <row r="996" spans="1:14" ht="18" customHeight="1" x14ac:dyDescent="0.3">
      <c r="A996" s="555"/>
      <c r="B996" s="555"/>
      <c r="C996" s="555"/>
      <c r="D996" s="555"/>
      <c r="E996" s="555"/>
      <c r="F996" s="555"/>
      <c r="G996" s="555"/>
      <c r="H996" s="555"/>
      <c r="I996" s="555"/>
      <c r="J996" s="555"/>
      <c r="K996" s="555"/>
      <c r="L996" s="555"/>
      <c r="M996" s="555"/>
      <c r="N996" s="555"/>
    </row>
    <row r="997" spans="1:14" ht="18" customHeight="1" x14ac:dyDescent="0.3">
      <c r="A997" s="555"/>
      <c r="B997" s="555"/>
      <c r="C997" s="555"/>
      <c r="D997" s="555"/>
      <c r="E997" s="555"/>
      <c r="F997" s="555"/>
      <c r="G997" s="555"/>
      <c r="H997" s="555"/>
      <c r="I997" s="555"/>
      <c r="J997" s="555"/>
      <c r="K997" s="555"/>
      <c r="L997" s="555"/>
      <c r="M997" s="555"/>
      <c r="N997" s="555"/>
    </row>
    <row r="998" spans="1:14" ht="18" customHeight="1" x14ac:dyDescent="0.3">
      <c r="A998" s="555"/>
      <c r="B998" s="555"/>
      <c r="C998" s="555"/>
      <c r="D998" s="555"/>
      <c r="E998" s="555"/>
      <c r="F998" s="555"/>
      <c r="G998" s="555"/>
      <c r="H998" s="555"/>
      <c r="I998" s="555"/>
      <c r="J998" s="555"/>
      <c r="K998" s="555"/>
      <c r="L998" s="555"/>
      <c r="M998" s="555"/>
      <c r="N998" s="555"/>
    </row>
    <row r="999" spans="1:14" ht="18" customHeight="1" x14ac:dyDescent="0.3">
      <c r="A999" s="555"/>
      <c r="B999" s="555"/>
      <c r="C999" s="555"/>
      <c r="D999" s="555"/>
      <c r="E999" s="555"/>
      <c r="F999" s="555"/>
      <c r="G999" s="555"/>
      <c r="H999" s="555"/>
      <c r="I999" s="555"/>
      <c r="J999" s="555"/>
      <c r="K999" s="555"/>
      <c r="L999" s="555"/>
      <c r="M999" s="555"/>
      <c r="N999" s="555"/>
    </row>
    <row r="1000" spans="1:14" ht="18" customHeight="1" x14ac:dyDescent="0.3">
      <c r="A1000" s="555"/>
      <c r="B1000" s="555"/>
      <c r="C1000" s="555"/>
      <c r="D1000" s="555"/>
      <c r="E1000" s="555"/>
      <c r="F1000" s="555"/>
      <c r="G1000" s="555"/>
      <c r="H1000" s="555"/>
      <c r="I1000" s="555"/>
      <c r="J1000" s="555"/>
      <c r="K1000" s="555"/>
      <c r="L1000" s="555"/>
      <c r="M1000" s="555"/>
      <c r="N1000" s="555"/>
    </row>
    <row r="1001" spans="1:14" ht="18" customHeight="1" x14ac:dyDescent="0.3">
      <c r="A1001" s="555"/>
      <c r="B1001" s="555"/>
      <c r="C1001" s="555"/>
      <c r="D1001" s="555"/>
      <c r="E1001" s="555"/>
      <c r="F1001" s="555"/>
      <c r="G1001" s="555"/>
      <c r="H1001" s="555"/>
      <c r="I1001" s="555"/>
      <c r="J1001" s="555"/>
      <c r="K1001" s="555"/>
      <c r="L1001" s="555"/>
      <c r="M1001" s="555"/>
      <c r="N1001" s="555"/>
    </row>
    <row r="1002" spans="1:14" ht="18" customHeight="1" x14ac:dyDescent="0.3">
      <c r="A1002" s="555"/>
      <c r="B1002" s="555"/>
      <c r="C1002" s="555"/>
      <c r="D1002" s="555"/>
      <c r="E1002" s="555"/>
      <c r="F1002" s="555"/>
      <c r="G1002" s="555"/>
      <c r="H1002" s="555"/>
      <c r="I1002" s="555"/>
      <c r="J1002" s="555"/>
      <c r="K1002" s="555"/>
      <c r="L1002" s="555"/>
      <c r="M1002" s="555"/>
      <c r="N1002" s="555"/>
    </row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AC110-BC1C-411B-8924-4CD244A879BF}">
  <dimension ref="A1:XFD463"/>
  <sheetViews>
    <sheetView showGridLines="0" zoomScale="85" zoomScaleNormal="100" workbookViewId="0">
      <pane xSplit="13" ySplit="5" topLeftCell="N6" activePane="bottomRight" state="frozen"/>
      <selection activeCell="J11" sqref="J11"/>
      <selection pane="topRight" activeCell="J11" sqref="J11"/>
      <selection pane="bottomLeft" activeCell="J11" sqref="J11"/>
      <selection pane="bottomRight" activeCell="A7" sqref="A7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16" width="13" customWidth="1"/>
    <col min="17" max="34" width="16" bestFit="1" customWidth="1"/>
    <col min="35" max="39" width="17" bestFit="1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5320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</f>
        <v>94731767.834145293</v>
      </c>
      <c r="M11" s="1"/>
      <c r="N11" s="1"/>
      <c r="O11" s="13">
        <f>SUM(AR:SM!O11)*(1+$D$300/100)</f>
        <v>2442551.8879551827</v>
      </c>
      <c r="P11" s="13">
        <f>SUM(AR:SM!P11)*(1+$D$300/100)</f>
        <v>3832212.4405887006</v>
      </c>
      <c r="Q11" s="13">
        <f>SUM(AR:SM!Q11)*(1+$D$300/100)</f>
        <v>3927112.4870865699</v>
      </c>
      <c r="R11" s="13">
        <f>SUM(AR:SM!R11)*(1+$D$300/100)</f>
        <v>3829652.7935844399</v>
      </c>
      <c r="S11" s="13">
        <f>SUM(AR:SM!S11)*(1+$D$300/100)</f>
        <v>3849621.9400823098</v>
      </c>
      <c r="T11" s="13">
        <f>SUM(AR:SM!T11)*(1+$D$300/100)</f>
        <v>3902024.0465801791</v>
      </c>
      <c r="U11" s="13">
        <f>SUM(AR:SM!U11)*(1+$D$300/100)</f>
        <v>3847062.29307805</v>
      </c>
      <c r="V11" s="13">
        <f>SUM(AR:SM!V11)*(1+$D$300/100)</f>
        <v>3899464.3995759194</v>
      </c>
      <c r="W11" s="13">
        <f>SUM(AR:SM!W11)*(1+$D$300/100)</f>
        <v>3844502.6460737893</v>
      </c>
      <c r="X11" s="13">
        <f>SUM(AR:SM!X11)*(1+$D$300/100)</f>
        <v>3821973.8525716602</v>
      </c>
      <c r="Y11" s="13">
        <f>SUM(AR:SM!Y11)*(1+$D$300/100)</f>
        <v>3916873.8990695295</v>
      </c>
      <c r="Z11" s="13">
        <f>SUM(AR:SM!Z11)*(1+$D$300/100)</f>
        <v>3819414.205567399</v>
      </c>
      <c r="AA11" s="13">
        <f>SUM(AR:SM!AA11)*(1+$D$300/100)</f>
        <v>3914314.2520652693</v>
      </c>
      <c r="AB11" s="13">
        <f>SUM(AR:SM!AB11)*(1+$D$300/100)</f>
        <v>3816854.5585631388</v>
      </c>
      <c r="AC11" s="13">
        <f>SUM(AR:SM!AC11)*(1+$D$300/100)</f>
        <v>3836823.7050610092</v>
      </c>
      <c r="AD11" s="13">
        <f>SUM(AR:SM!AD11)*(1+$D$300/100)</f>
        <v>3889225.8115588785</v>
      </c>
      <c r="AE11" s="13">
        <f>SUM(AR:SM!AE11)*(1+$D$300/100)</f>
        <v>3834264.0580567485</v>
      </c>
      <c r="AF11" s="13">
        <f>SUM(AR:SM!AF11)*(1+$D$300/100)</f>
        <v>3886666.1645546192</v>
      </c>
      <c r="AG11" s="13">
        <f>SUM(AR:SM!AG11)*(1+$D$300/100)</f>
        <v>3831704.4110524887</v>
      </c>
      <c r="AH11" s="13">
        <f>SUM(AR:SM!AH11)*(1+$D$300/100)</f>
        <v>3809175.6175503591</v>
      </c>
      <c r="AI11" s="13">
        <f>SUM(AR:SM!AI11)*(1+$D$300/100)</f>
        <v>3904075.6640482289</v>
      </c>
      <c r="AJ11" s="13">
        <f>SUM(AR:SM!AJ11)*(1+$D$300/100)</f>
        <v>3806615.9705460984</v>
      </c>
      <c r="AK11" s="13">
        <f>SUM(AR:SM!AK11)*(1+$D$300/100)</f>
        <v>3901516.0170439687</v>
      </c>
      <c r="AL11" s="13">
        <f>SUM(AR:SM!AL11)*(1+$D$300/100)</f>
        <v>3804056.3235418387</v>
      </c>
      <c r="AM11" s="13">
        <f>SUM(AR:SM!AM11)*(1+$D$300/100)</f>
        <v>3564008.3886889284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44134691.375650361</v>
      </c>
      <c r="M12" s="1"/>
      <c r="N12" s="1"/>
      <c r="O12" s="415">
        <f>SUM(AR:SM!O12)</f>
        <v>952098.31604812888</v>
      </c>
      <c r="P12" s="415">
        <f>SUM(AR:SM!P12)</f>
        <v>1776306.4600397088</v>
      </c>
      <c r="Q12" s="415">
        <f>SUM(AR:SM!Q12)</f>
        <v>1851237.3600397087</v>
      </c>
      <c r="R12" s="415">
        <f>SUM(AR:SM!R12)</f>
        <v>1776306.4600397088</v>
      </c>
      <c r="S12" s="415">
        <f>SUM(AR:SM!S12)</f>
        <v>1776306.4600397088</v>
      </c>
      <c r="T12" s="415">
        <f>SUM(AR:SM!T12)</f>
        <v>1851237.3600397087</v>
      </c>
      <c r="U12" s="415">
        <f>SUM(AR:SM!U12)</f>
        <v>1776306.4600397088</v>
      </c>
      <c r="V12" s="415">
        <f>SUM(AR:SM!V12)</f>
        <v>1851237.3600397087</v>
      </c>
      <c r="W12" s="415">
        <f>SUM(AR:SM!W12)</f>
        <v>1776306.4600397088</v>
      </c>
      <c r="X12" s="415">
        <f>SUM(AR:SM!X12)</f>
        <v>1776306.4600397088</v>
      </c>
      <c r="Y12" s="415">
        <f>SUM(AR:SM!Y12)</f>
        <v>1851237.3600397087</v>
      </c>
      <c r="Z12" s="415">
        <f>SUM(AR:SM!Z12)</f>
        <v>1776306.4600397088</v>
      </c>
      <c r="AA12" s="415">
        <f>SUM(AR:SM!AA12)</f>
        <v>1851237.3600397087</v>
      </c>
      <c r="AB12" s="415">
        <f>SUM(AR:SM!AB12)</f>
        <v>1776306.4600397088</v>
      </c>
      <c r="AC12" s="415">
        <f>SUM(AR:SM!AC12)</f>
        <v>1776306.4600397088</v>
      </c>
      <c r="AD12" s="415">
        <f>SUM(AR:SM!AD12)</f>
        <v>1851237.3600397087</v>
      </c>
      <c r="AE12" s="415">
        <f>SUM(AR:SM!AE12)</f>
        <v>1776306.4600397088</v>
      </c>
      <c r="AF12" s="415">
        <f>SUM(AR:SM!AF12)</f>
        <v>1851237.3600397087</v>
      </c>
      <c r="AG12" s="415">
        <f>SUM(AR:SM!AG12)</f>
        <v>1776306.4600397088</v>
      </c>
      <c r="AH12" s="415">
        <f>SUM(AR:SM!AH12)</f>
        <v>1776306.4600397088</v>
      </c>
      <c r="AI12" s="415">
        <f>SUM(AR:SM!AI12)</f>
        <v>1851237.3600397087</v>
      </c>
      <c r="AJ12" s="415">
        <f>SUM(AR:SM!AJ12)</f>
        <v>1776306.4600397088</v>
      </c>
      <c r="AK12" s="415">
        <f>SUM(AR:SM!AK12)</f>
        <v>1851237.3600397087</v>
      </c>
      <c r="AL12" s="415">
        <f>SUM(AR:SM!AL12)</f>
        <v>1776306.4600397088</v>
      </c>
      <c r="AM12" s="415">
        <f>SUM(AR:SM!AM12)</f>
        <v>1653166.3786889287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50199257.599999994</v>
      </c>
      <c r="M13" s="1"/>
      <c r="N13" s="1"/>
      <c r="O13" s="415">
        <f>'Fluxo Rateio'!O4*$G$16</f>
        <v>1445866</v>
      </c>
      <c r="P13" s="415">
        <f>'Fluxo Rateio'!P4*$G$16</f>
        <v>2026470.04</v>
      </c>
      <c r="Q13" s="415">
        <f>'Fluxo Rateio'!Q4*$G$16</f>
        <v>2047719.01</v>
      </c>
      <c r="R13" s="415">
        <f>'Fluxo Rateio'!R4*$G$16</f>
        <v>2026470.04</v>
      </c>
      <c r="S13" s="415">
        <f>'Fluxo Rateio'!S4*$G$16</f>
        <v>2047719.01</v>
      </c>
      <c r="T13" s="415">
        <f>'Fluxo Rateio'!T4*$G$16</f>
        <v>2026470.04</v>
      </c>
      <c r="U13" s="415">
        <f>'Fluxo Rateio'!U4*$G$16</f>
        <v>2047719.01</v>
      </c>
      <c r="V13" s="415">
        <f>'Fluxo Rateio'!V4*$G$16</f>
        <v>2026470.04</v>
      </c>
      <c r="W13" s="415">
        <f>'Fluxo Rateio'!W4*$G$16</f>
        <v>2047719.01</v>
      </c>
      <c r="X13" s="415">
        <f>'Fluxo Rateio'!X4*$G$16</f>
        <v>2026470.04</v>
      </c>
      <c r="Y13" s="415">
        <f>'Fluxo Rateio'!Y4*$G$16</f>
        <v>2047719.01</v>
      </c>
      <c r="Z13" s="415">
        <f>'Fluxo Rateio'!Z4*$G$16</f>
        <v>2026470.04</v>
      </c>
      <c r="AA13" s="415">
        <f>'Fluxo Rateio'!AA4*$G$16</f>
        <v>2047719.01</v>
      </c>
      <c r="AB13" s="415">
        <f>'Fluxo Rateio'!AB4*$G$16</f>
        <v>2026470.04</v>
      </c>
      <c r="AC13" s="415">
        <f>'Fluxo Rateio'!AC4*$G$16</f>
        <v>2047719.01</v>
      </c>
      <c r="AD13" s="415">
        <f>'Fluxo Rateio'!AD4*$G$16</f>
        <v>2026470.04</v>
      </c>
      <c r="AE13" s="415">
        <f>'Fluxo Rateio'!AE4*$G$16</f>
        <v>2047719.01</v>
      </c>
      <c r="AF13" s="415">
        <f>'Fluxo Rateio'!AF4*$G$16</f>
        <v>2026470.04</v>
      </c>
      <c r="AG13" s="415">
        <f>'Fluxo Rateio'!AG4*$G$16</f>
        <v>2047719.01</v>
      </c>
      <c r="AH13" s="415">
        <f>'Fluxo Rateio'!AH4*$G$16</f>
        <v>2026470.04</v>
      </c>
      <c r="AI13" s="415">
        <f>'Fluxo Rateio'!AI4*$G$16</f>
        <v>2047719.01</v>
      </c>
      <c r="AJ13" s="415">
        <f>'Fluxo Rateio'!AJ4*$G$16</f>
        <v>2026470.04</v>
      </c>
      <c r="AK13" s="415">
        <f>'Fluxo Rateio'!AK4*$G$16</f>
        <v>2047719.01</v>
      </c>
      <c r="AL13" s="415">
        <f>'Fluxo Rateio'!AL4*$G$16</f>
        <v>2026470.04</v>
      </c>
      <c r="AM13" s="415">
        <f>'Fluxo Rateio'!AM4*$G$16</f>
        <v>1910842.01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SUM(O14:AM14)*(1+$D$300/100)</f>
        <v>36868137.935778491</v>
      </c>
      <c r="M14" s="183"/>
      <c r="N14" s="1"/>
      <c r="O14" s="210">
        <f>SUM(O16:O20)*(1+$D$300/100)</f>
        <v>852556.48810467904</v>
      </c>
      <c r="P14" s="210">
        <f t="shared" ref="P14:AM14" si="4">SUM(P16:P20)*(1+$D$300/100)</f>
        <v>1477680.9762093583</v>
      </c>
      <c r="Q14" s="210">
        <f t="shared" si="4"/>
        <v>1552611.8762093582</v>
      </c>
      <c r="R14" s="210">
        <f t="shared" si="4"/>
        <v>1477680.9762093583</v>
      </c>
      <c r="S14" s="210">
        <f t="shared" si="4"/>
        <v>1477680.9762093583</v>
      </c>
      <c r="T14" s="210">
        <f t="shared" si="4"/>
        <v>1552611.8762093582</v>
      </c>
      <c r="U14" s="210">
        <f t="shared" si="4"/>
        <v>1477680.9762093583</v>
      </c>
      <c r="V14" s="210">
        <f t="shared" si="4"/>
        <v>1552611.8762093582</v>
      </c>
      <c r="W14" s="210">
        <f t="shared" si="4"/>
        <v>1477680.9762093583</v>
      </c>
      <c r="X14" s="210">
        <f t="shared" si="4"/>
        <v>1477680.9762093583</v>
      </c>
      <c r="Y14" s="210">
        <f t="shared" si="4"/>
        <v>1552611.8762093582</v>
      </c>
      <c r="Z14" s="210">
        <f t="shared" si="4"/>
        <v>1477680.9762093583</v>
      </c>
      <c r="AA14" s="210">
        <f t="shared" si="4"/>
        <v>1552611.8762093582</v>
      </c>
      <c r="AB14" s="210">
        <f t="shared" si="4"/>
        <v>1477680.9762093583</v>
      </c>
      <c r="AC14" s="210">
        <f t="shared" si="4"/>
        <v>1477680.9762093583</v>
      </c>
      <c r="AD14" s="210">
        <f t="shared" si="4"/>
        <v>1552611.8762093582</v>
      </c>
      <c r="AE14" s="210">
        <f t="shared" si="4"/>
        <v>1477680.9762093583</v>
      </c>
      <c r="AF14" s="210">
        <f t="shared" si="4"/>
        <v>1552611.8762093582</v>
      </c>
      <c r="AG14" s="210">
        <f t="shared" si="4"/>
        <v>1477680.9762093583</v>
      </c>
      <c r="AH14" s="210">
        <f t="shared" si="4"/>
        <v>1477680.9762093583</v>
      </c>
      <c r="AI14" s="210">
        <f t="shared" si="4"/>
        <v>1552611.8762093582</v>
      </c>
      <c r="AJ14" s="210">
        <f t="shared" si="4"/>
        <v>1477680.9762093583</v>
      </c>
      <c r="AK14" s="210">
        <f t="shared" si="4"/>
        <v>1552611.8762093582</v>
      </c>
      <c r="AL14" s="210">
        <f t="shared" si="4"/>
        <v>1477680.9762093583</v>
      </c>
      <c r="AM14" s="210">
        <f t="shared" si="4"/>
        <v>1354540.8948585782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v>1</v>
      </c>
      <c r="H16" s="397"/>
      <c r="I16" s="398"/>
      <c r="J16" s="427"/>
      <c r="K16" s="399">
        <f t="shared" ref="K16:K18" si="5">L16/$L$14</f>
        <v>0.54505133865948185</v>
      </c>
      <c r="L16" s="431">
        <f t="shared" ref="L16:L23" si="6">SUM(O16:AV16)</f>
        <v>20095027.935778491</v>
      </c>
      <c r="M16" s="184"/>
      <c r="N16" s="200"/>
      <c r="O16" s="429">
        <f>SUM(AR:SM!O16)</f>
        <v>397692.48810467904</v>
      </c>
      <c r="P16" s="429">
        <f>SUM(AR:SM!P16)</f>
        <v>795384.9762093582</v>
      </c>
      <c r="Q16" s="429">
        <f>SUM(AR:SM!Q16)</f>
        <v>870315.87620935834</v>
      </c>
      <c r="R16" s="429">
        <f>SUM(AR:SM!R16)</f>
        <v>795384.9762093582</v>
      </c>
      <c r="S16" s="429">
        <f>SUM(AR:SM!S16)</f>
        <v>795384.9762093582</v>
      </c>
      <c r="T16" s="429">
        <f>SUM(AR:SM!T16)</f>
        <v>870315.87620935834</v>
      </c>
      <c r="U16" s="429">
        <f>SUM(AR:SM!U16)</f>
        <v>795384.9762093582</v>
      </c>
      <c r="V16" s="429">
        <f>SUM(AR:SM!V16)</f>
        <v>870315.87620935834</v>
      </c>
      <c r="W16" s="429">
        <f>SUM(AR:SM!W16)</f>
        <v>795384.9762093582</v>
      </c>
      <c r="X16" s="429">
        <f>SUM(AR:SM!X16)</f>
        <v>795384.9762093582</v>
      </c>
      <c r="Y16" s="429">
        <f>SUM(AR:SM!Y16)</f>
        <v>870315.87620935834</v>
      </c>
      <c r="Z16" s="429">
        <f>SUM(AR:SM!Z16)</f>
        <v>795384.9762093582</v>
      </c>
      <c r="AA16" s="429">
        <f>SUM(AR:SM!AA16)</f>
        <v>870315.87620935834</v>
      </c>
      <c r="AB16" s="429">
        <f>SUM(AR:SM!AB16)</f>
        <v>795384.9762093582</v>
      </c>
      <c r="AC16" s="429">
        <f>SUM(AR:SM!AC16)</f>
        <v>795384.9762093582</v>
      </c>
      <c r="AD16" s="429">
        <f>SUM(AR:SM!AD16)</f>
        <v>870315.87620935834</v>
      </c>
      <c r="AE16" s="429">
        <f>SUM(AR:SM!AE16)</f>
        <v>795384.9762093582</v>
      </c>
      <c r="AF16" s="429">
        <f>SUM(AR:SM!AF16)</f>
        <v>870315.87620935834</v>
      </c>
      <c r="AG16" s="429">
        <f>SUM(AR:SM!AG16)</f>
        <v>795384.9762093582</v>
      </c>
      <c r="AH16" s="429">
        <f>SUM(AR:SM!AH16)</f>
        <v>795384.9762093582</v>
      </c>
      <c r="AI16" s="429">
        <f>SUM(AR:SM!AI16)</f>
        <v>870315.87620935834</v>
      </c>
      <c r="AJ16" s="429">
        <f>SUM(AR:SM!AJ16)</f>
        <v>795384.9762093582</v>
      </c>
      <c r="AK16" s="429">
        <f>SUM(AR:SM!AK16)</f>
        <v>870315.87620935834</v>
      </c>
      <c r="AL16" s="429">
        <f>SUM(AR:SM!AL16)</f>
        <v>795384.9762093582</v>
      </c>
      <c r="AM16" s="429">
        <f>SUM(AR:SM!AM16)</f>
        <v>729102.89485857822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5"/>
        <v>0</v>
      </c>
      <c r="L17" s="421">
        <f t="shared" si="6"/>
        <v>0</v>
      </c>
      <c r="M17" s="184"/>
      <c r="N17" s="200"/>
      <c r="O17" s="430">
        <f>SUM(AR:SM!O17)</f>
        <v>0</v>
      </c>
      <c r="P17" s="430">
        <f>SUM(AR:SM!P17)</f>
        <v>0</v>
      </c>
      <c r="Q17" s="430">
        <f>SUM(AR:SM!Q17)</f>
        <v>0</v>
      </c>
      <c r="R17" s="430">
        <f>SUM(AR:SM!R17)</f>
        <v>0</v>
      </c>
      <c r="S17" s="430">
        <f>SUM(AR:SM!S17)</f>
        <v>0</v>
      </c>
      <c r="T17" s="430">
        <f>SUM(AR:SM!T17)</f>
        <v>0</v>
      </c>
      <c r="U17" s="430">
        <f>SUM(AR:SM!U17)</f>
        <v>0</v>
      </c>
      <c r="V17" s="430">
        <f>SUM(AR:SM!V17)</f>
        <v>0</v>
      </c>
      <c r="W17" s="430">
        <f>SUM(AR:SM!W17)</f>
        <v>0</v>
      </c>
      <c r="X17" s="430">
        <f>SUM(AR:SM!X17)</f>
        <v>0</v>
      </c>
      <c r="Y17" s="430">
        <f>SUM(AR:SM!Y17)</f>
        <v>0</v>
      </c>
      <c r="Z17" s="430">
        <f>SUM(AR:SM!Z17)</f>
        <v>0</v>
      </c>
      <c r="AA17" s="430">
        <f>SUM(AR:SM!AA17)</f>
        <v>0</v>
      </c>
      <c r="AB17" s="430">
        <f>SUM(AR:SM!AB17)</f>
        <v>0</v>
      </c>
      <c r="AC17" s="430">
        <f>SUM(AR:SM!AC17)</f>
        <v>0</v>
      </c>
      <c r="AD17" s="430">
        <f>SUM(AR:SM!AD17)</f>
        <v>0</v>
      </c>
      <c r="AE17" s="430">
        <f>SUM(AR:SM!AE17)</f>
        <v>0</v>
      </c>
      <c r="AF17" s="430">
        <f>SUM(AR:SM!AF17)</f>
        <v>0</v>
      </c>
      <c r="AG17" s="430">
        <f>SUM(AR:SM!AG17)</f>
        <v>0</v>
      </c>
      <c r="AH17" s="430">
        <f>SUM(AR:SM!AH17)</f>
        <v>0</v>
      </c>
      <c r="AI17" s="430">
        <f>SUM(AR:SM!AI17)</f>
        <v>0</v>
      </c>
      <c r="AJ17" s="430">
        <f>SUM(AR:SM!AJ17)</f>
        <v>0</v>
      </c>
      <c r="AK17" s="430">
        <f>SUM(AR:SM!AK17)</f>
        <v>0</v>
      </c>
      <c r="AL17" s="430">
        <f>SUM(AR:SM!AL17)</f>
        <v>0</v>
      </c>
      <c r="AM17" s="430">
        <f>SUM(AR:SM!AM17)</f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5"/>
        <v>0.33492632639894843</v>
      </c>
      <c r="L18" s="421">
        <f t="shared" si="6"/>
        <v>12348110</v>
      </c>
      <c r="M18" s="184"/>
      <c r="N18" s="200"/>
      <c r="O18" s="430">
        <f>SUM(AR:SM!O18)</f>
        <v>334864</v>
      </c>
      <c r="P18" s="430">
        <f>SUM(AR:SM!P18)</f>
        <v>502296</v>
      </c>
      <c r="Q18" s="430">
        <f>SUM(AR:SM!Q18)</f>
        <v>502296</v>
      </c>
      <c r="R18" s="430">
        <f>SUM(AR:SM!R18)</f>
        <v>502296</v>
      </c>
      <c r="S18" s="430">
        <f>SUM(AR:SM!S18)</f>
        <v>502296</v>
      </c>
      <c r="T18" s="430">
        <f>SUM(AR:SM!T18)</f>
        <v>502296</v>
      </c>
      <c r="U18" s="430">
        <f>SUM(AR:SM!U18)</f>
        <v>502296</v>
      </c>
      <c r="V18" s="430">
        <f>SUM(AR:SM!V18)</f>
        <v>502296</v>
      </c>
      <c r="W18" s="430">
        <f>SUM(AR:SM!W18)</f>
        <v>502296</v>
      </c>
      <c r="X18" s="430">
        <f>SUM(AR:SM!X18)</f>
        <v>502296</v>
      </c>
      <c r="Y18" s="430">
        <f>SUM(AR:SM!Y18)</f>
        <v>502296</v>
      </c>
      <c r="Z18" s="430">
        <f>SUM(AR:SM!Z18)</f>
        <v>502296</v>
      </c>
      <c r="AA18" s="430">
        <f>SUM(AR:SM!AA18)</f>
        <v>502296</v>
      </c>
      <c r="AB18" s="430">
        <f>SUM(AR:SM!AB18)</f>
        <v>502296</v>
      </c>
      <c r="AC18" s="430">
        <f>SUM(AR:SM!AC18)</f>
        <v>502296</v>
      </c>
      <c r="AD18" s="430">
        <f>SUM(AR:SM!AD18)</f>
        <v>502296</v>
      </c>
      <c r="AE18" s="430">
        <f>SUM(AR:SM!AE18)</f>
        <v>502296</v>
      </c>
      <c r="AF18" s="430">
        <f>SUM(AR:SM!AF18)</f>
        <v>502296</v>
      </c>
      <c r="AG18" s="430">
        <f>SUM(AR:SM!AG18)</f>
        <v>502296</v>
      </c>
      <c r="AH18" s="430">
        <f>SUM(AR:SM!AH18)</f>
        <v>502296</v>
      </c>
      <c r="AI18" s="430">
        <f>SUM(AR:SM!AI18)</f>
        <v>502296</v>
      </c>
      <c r="AJ18" s="430">
        <f>SUM(AR:SM!AJ18)</f>
        <v>502296</v>
      </c>
      <c r="AK18" s="430">
        <f>SUM(AR:SM!AK18)</f>
        <v>502296</v>
      </c>
      <c r="AL18" s="430">
        <f>SUM(AR:SM!AL18)</f>
        <v>502296</v>
      </c>
      <c r="AM18" s="430">
        <f>SUM(AR:SM!AM18)</f>
        <v>460438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0.12002233494156975</v>
      </c>
      <c r="L19" s="421">
        <f t="shared" si="6"/>
        <v>4425000</v>
      </c>
      <c r="M19" s="183"/>
      <c r="N19" s="1"/>
      <c r="O19" s="430">
        <f>SUM(AR:SM!O19)</f>
        <v>120000</v>
      </c>
      <c r="P19" s="430">
        <f>SUM(AR:SM!P19)</f>
        <v>180000</v>
      </c>
      <c r="Q19" s="430">
        <f>SUM(AR:SM!Q19)</f>
        <v>180000</v>
      </c>
      <c r="R19" s="430">
        <f>SUM(AR:SM!R19)</f>
        <v>180000</v>
      </c>
      <c r="S19" s="430">
        <f>SUM(AR:SM!S19)</f>
        <v>180000</v>
      </c>
      <c r="T19" s="430">
        <f>SUM(AR:SM!T19)</f>
        <v>180000</v>
      </c>
      <c r="U19" s="430">
        <f>SUM(AR:SM!U19)</f>
        <v>180000</v>
      </c>
      <c r="V19" s="430">
        <f>SUM(AR:SM!V19)</f>
        <v>180000</v>
      </c>
      <c r="W19" s="430">
        <f>SUM(AR:SM!W19)</f>
        <v>180000</v>
      </c>
      <c r="X19" s="430">
        <f>SUM(AR:SM!X19)</f>
        <v>180000</v>
      </c>
      <c r="Y19" s="430">
        <f>SUM(AR:SM!Y19)</f>
        <v>180000</v>
      </c>
      <c r="Z19" s="430">
        <f>SUM(AR:SM!Z19)</f>
        <v>180000</v>
      </c>
      <c r="AA19" s="430">
        <f>SUM(AR:SM!AA19)</f>
        <v>180000</v>
      </c>
      <c r="AB19" s="430">
        <f>SUM(AR:SM!AB19)</f>
        <v>180000</v>
      </c>
      <c r="AC19" s="430">
        <f>SUM(AR:SM!AC19)</f>
        <v>180000</v>
      </c>
      <c r="AD19" s="430">
        <f>SUM(AR:SM!AD19)</f>
        <v>180000</v>
      </c>
      <c r="AE19" s="430">
        <f>SUM(AR:SM!AE19)</f>
        <v>180000</v>
      </c>
      <c r="AF19" s="430">
        <f>SUM(AR:SM!AF19)</f>
        <v>180000</v>
      </c>
      <c r="AG19" s="430">
        <f>SUM(AR:SM!AG19)</f>
        <v>180000</v>
      </c>
      <c r="AH19" s="430">
        <f>SUM(AR:SM!AH19)</f>
        <v>180000</v>
      </c>
      <c r="AI19" s="430">
        <f>SUM(AR:SM!AI19)</f>
        <v>180000</v>
      </c>
      <c r="AJ19" s="430">
        <f>SUM(AR:SM!AJ19)</f>
        <v>180000</v>
      </c>
      <c r="AK19" s="430">
        <f>SUM(AR:SM!AK19)</f>
        <v>180000</v>
      </c>
      <c r="AL19" s="430">
        <f>SUM(AR:SM!AL19)</f>
        <v>180000</v>
      </c>
      <c r="AM19" s="430">
        <f>SUM(AR:SM!AM19)</f>
        <v>165000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6"/>
        <v>0</v>
      </c>
      <c r="M20" s="1"/>
      <c r="N20" s="1"/>
      <c r="O20" s="430">
        <f>SUM(AR:SM!O20)</f>
        <v>0</v>
      </c>
      <c r="P20" s="430">
        <f>SUM(AR:SM!P20)</f>
        <v>0</v>
      </c>
      <c r="Q20" s="430">
        <f>SUM(AR:SM!Q20)</f>
        <v>0</v>
      </c>
      <c r="R20" s="430">
        <f>SUM(AR:SM!R20)</f>
        <v>0</v>
      </c>
      <c r="S20" s="430">
        <f>SUM(AR:SM!S20)</f>
        <v>0</v>
      </c>
      <c r="T20" s="430">
        <f>SUM(AR:SM!T20)</f>
        <v>0</v>
      </c>
      <c r="U20" s="430">
        <f>SUM(AR:SM!U20)</f>
        <v>0</v>
      </c>
      <c r="V20" s="430">
        <f>SUM(AR:SM!V20)</f>
        <v>0</v>
      </c>
      <c r="W20" s="430">
        <f>SUM(AR:SM!W20)</f>
        <v>0</v>
      </c>
      <c r="X20" s="430">
        <f>SUM(AR:SM!X20)</f>
        <v>0</v>
      </c>
      <c r="Y20" s="430">
        <f>SUM(AR:SM!Y20)</f>
        <v>0</v>
      </c>
      <c r="Z20" s="430">
        <f>SUM(AR:SM!Z20)</f>
        <v>0</v>
      </c>
      <c r="AA20" s="430">
        <f>SUM(AR:SM!AA20)</f>
        <v>0</v>
      </c>
      <c r="AB20" s="430">
        <f>SUM(AR:SM!AB20)</f>
        <v>0</v>
      </c>
      <c r="AC20" s="430">
        <f>SUM(AR:SM!AC20)</f>
        <v>0</v>
      </c>
      <c r="AD20" s="430">
        <f>SUM(AR:SM!AD20)</f>
        <v>0</v>
      </c>
      <c r="AE20" s="430">
        <f>SUM(AR:SM!AE20)</f>
        <v>0</v>
      </c>
      <c r="AF20" s="430">
        <f>SUM(AR:SM!AF20)</f>
        <v>0</v>
      </c>
      <c r="AG20" s="430">
        <f>SUM(AR:SM!AG20)</f>
        <v>0</v>
      </c>
      <c r="AH20" s="430">
        <f>SUM(AR:SM!AH20)</f>
        <v>0</v>
      </c>
      <c r="AI20" s="430">
        <f>SUM(AR:SM!AI20)</f>
        <v>0</v>
      </c>
      <c r="AJ20" s="430">
        <f>SUM(AR:SM!AJ20)</f>
        <v>0</v>
      </c>
      <c r="AK20" s="430">
        <f>SUM(AR:SM!AK20)</f>
        <v>0</v>
      </c>
      <c r="AL20" s="430">
        <f>SUM(AR:SM!AL20)</f>
        <v>0</v>
      </c>
      <c r="AM20" s="430">
        <f>SUM(AR:SM!AM20)</f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393" t="s">
        <v>162</v>
      </c>
      <c r="C21" s="183"/>
      <c r="D21" s="183"/>
      <c r="E21" s="183"/>
      <c r="F21" s="183"/>
      <c r="G21" s="183"/>
      <c r="H21" s="183"/>
      <c r="I21" s="183"/>
      <c r="J21" s="183"/>
      <c r="K21" s="423"/>
      <c r="L21" s="597">
        <f t="shared" si="6"/>
        <v>7500000</v>
      </c>
      <c r="M21" s="1"/>
      <c r="N21" s="1"/>
      <c r="O21" s="425">
        <f>'Fluxo Rateio'!O12*$G$16</f>
        <v>300000</v>
      </c>
      <c r="P21" s="425">
        <f>'Fluxo Rateio'!P12*$G$16</f>
        <v>300000</v>
      </c>
      <c r="Q21" s="425">
        <f>'Fluxo Rateio'!Q12*$G$16</f>
        <v>300000</v>
      </c>
      <c r="R21" s="425">
        <f>'Fluxo Rateio'!R12*$G$16</f>
        <v>300000</v>
      </c>
      <c r="S21" s="425">
        <f>'Fluxo Rateio'!S12*$G$16</f>
        <v>300000</v>
      </c>
      <c r="T21" s="425">
        <f>'Fluxo Rateio'!T12*$G$16</f>
        <v>300000</v>
      </c>
      <c r="U21" s="425">
        <f>'Fluxo Rateio'!U12*$G$16</f>
        <v>300000</v>
      </c>
      <c r="V21" s="425">
        <f>'Fluxo Rateio'!V12*$G$16</f>
        <v>300000</v>
      </c>
      <c r="W21" s="425">
        <f>'Fluxo Rateio'!W12*$G$16</f>
        <v>300000</v>
      </c>
      <c r="X21" s="425">
        <f>'Fluxo Rateio'!X12*$G$16</f>
        <v>300000</v>
      </c>
      <c r="Y21" s="425">
        <f>'Fluxo Rateio'!Y12*$G$16</f>
        <v>300000</v>
      </c>
      <c r="Z21" s="425">
        <f>'Fluxo Rateio'!Z12*$G$16</f>
        <v>300000</v>
      </c>
      <c r="AA21" s="425">
        <f>'Fluxo Rateio'!AA12*$G$16</f>
        <v>300000</v>
      </c>
      <c r="AB21" s="425">
        <f>'Fluxo Rateio'!AB12*$G$16</f>
        <v>300000</v>
      </c>
      <c r="AC21" s="425">
        <f>'Fluxo Rateio'!AC12*$G$16</f>
        <v>300000</v>
      </c>
      <c r="AD21" s="425">
        <f>'Fluxo Rateio'!AD12*$G$16</f>
        <v>300000</v>
      </c>
      <c r="AE21" s="425">
        <f>'Fluxo Rateio'!AE12*$G$16</f>
        <v>300000</v>
      </c>
      <c r="AF21" s="425">
        <f>'Fluxo Rateio'!AF12*$G$16</f>
        <v>300000</v>
      </c>
      <c r="AG21" s="425">
        <f>'Fluxo Rateio'!AG12*$G$16</f>
        <v>300000</v>
      </c>
      <c r="AH21" s="425">
        <f>'Fluxo Rateio'!AH12*$G$16</f>
        <v>300000</v>
      </c>
      <c r="AI21" s="425">
        <f>'Fluxo Rateio'!AI12*$G$16</f>
        <v>300000</v>
      </c>
      <c r="AJ21" s="425">
        <f>'Fluxo Rateio'!AJ12*$G$16</f>
        <v>300000</v>
      </c>
      <c r="AK21" s="425">
        <f>'Fluxo Rateio'!AK12*$G$16</f>
        <v>300000</v>
      </c>
      <c r="AL21" s="425">
        <f>'Fluxo Rateio'!AL12*$G$16</f>
        <v>300000</v>
      </c>
      <c r="AM21" s="425">
        <f>'Fluxo Rateio'!AM12*$G$16</f>
        <v>300000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611">
        <f t="shared" si="6"/>
        <v>7266553.4398718588</v>
      </c>
      <c r="M22" s="1"/>
      <c r="N22" s="1"/>
      <c r="O22" s="612">
        <f>SUM(AR:SM!O22)</f>
        <v>99541.827943449985</v>
      </c>
      <c r="P22" s="612">
        <f>SUM(AR:SM!P22)</f>
        <v>298625.48383035022</v>
      </c>
      <c r="Q22" s="612">
        <f>SUM(AR:SM!Q22)</f>
        <v>298625.48383035022</v>
      </c>
      <c r="R22" s="612">
        <f>SUM(AR:SM!R22)</f>
        <v>298625.48383035022</v>
      </c>
      <c r="S22" s="612">
        <f>SUM(AR:SM!S22)</f>
        <v>298625.48383035022</v>
      </c>
      <c r="T22" s="612">
        <f>SUM(AR:SM!T22)</f>
        <v>298625.48383035022</v>
      </c>
      <c r="U22" s="612">
        <f>SUM(AR:SM!U22)</f>
        <v>298625.48383035022</v>
      </c>
      <c r="V22" s="612">
        <f>SUM(AR:SM!V22)</f>
        <v>298625.48383035022</v>
      </c>
      <c r="W22" s="612">
        <f>SUM(AR:SM!W22)</f>
        <v>298625.48383035022</v>
      </c>
      <c r="X22" s="612">
        <f>SUM(AR:SM!X22)</f>
        <v>298625.48383035022</v>
      </c>
      <c r="Y22" s="612">
        <f>SUM(AR:SM!Y22)</f>
        <v>298625.48383035022</v>
      </c>
      <c r="Z22" s="612">
        <f>SUM(AR:SM!Z22)</f>
        <v>298625.48383035022</v>
      </c>
      <c r="AA22" s="612">
        <f>SUM(AR:SM!AA22)</f>
        <v>298625.48383035022</v>
      </c>
      <c r="AB22" s="612">
        <f>SUM(AR:SM!AB22)</f>
        <v>298625.48383035022</v>
      </c>
      <c r="AC22" s="612">
        <f>SUM(AR:SM!AC22)</f>
        <v>298625.48383035022</v>
      </c>
      <c r="AD22" s="612">
        <f>SUM(AR:SM!AD22)</f>
        <v>298625.48383035022</v>
      </c>
      <c r="AE22" s="612">
        <f>SUM(AR:SM!AE22)</f>
        <v>298625.48383035022</v>
      </c>
      <c r="AF22" s="612">
        <f>SUM(AR:SM!AF22)</f>
        <v>298625.48383035022</v>
      </c>
      <c r="AG22" s="612">
        <f>SUM(AR:SM!AG22)</f>
        <v>298625.48383035022</v>
      </c>
      <c r="AH22" s="612">
        <f>SUM(AR:SM!AH22)</f>
        <v>298625.48383035022</v>
      </c>
      <c r="AI22" s="612">
        <f>SUM(AR:SM!AI22)</f>
        <v>298625.48383035022</v>
      </c>
      <c r="AJ22" s="612">
        <f>SUM(AR:SM!AJ22)</f>
        <v>298625.48383035022</v>
      </c>
      <c r="AK22" s="612">
        <f>SUM(AR:SM!AK22)</f>
        <v>298625.48383035022</v>
      </c>
      <c r="AL22" s="612">
        <f>SUM(AR:SM!AL22)</f>
        <v>298625.48383035022</v>
      </c>
      <c r="AM22" s="612">
        <f>SUM(AR:SM!AM22)</f>
        <v>298625.48383035022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599"/>
      <c r="H23" s="599"/>
      <c r="I23" s="599"/>
      <c r="J23" s="599"/>
      <c r="K23" s="600"/>
      <c r="L23" s="601">
        <f t="shared" si="6"/>
        <v>1500000.0000000002</v>
      </c>
      <c r="M23" s="1"/>
      <c r="N23" s="1"/>
      <c r="O23" s="604">
        <f>SUM(AR:SM!O23)</f>
        <v>60000.000000000007</v>
      </c>
      <c r="P23" s="604">
        <f>SUM(AR:SM!P23)</f>
        <v>60000.000000000007</v>
      </c>
      <c r="Q23" s="604">
        <f>SUM(AR:SM!Q23)</f>
        <v>60000.000000000007</v>
      </c>
      <c r="R23" s="604">
        <f>SUM(AR:SM!R23)</f>
        <v>60000.000000000007</v>
      </c>
      <c r="S23" s="604">
        <f>SUM(AR:SM!S23)</f>
        <v>60000.000000000007</v>
      </c>
      <c r="T23" s="604">
        <f>SUM(AR:SM!T23)</f>
        <v>60000.000000000007</v>
      </c>
      <c r="U23" s="604">
        <f>SUM(AR:SM!U23)</f>
        <v>60000.000000000007</v>
      </c>
      <c r="V23" s="604">
        <f>SUM(AR:SM!V23)</f>
        <v>60000.000000000007</v>
      </c>
      <c r="W23" s="604">
        <f>SUM(AR:SM!W23)</f>
        <v>60000.000000000007</v>
      </c>
      <c r="X23" s="604">
        <f>SUM(AR:SM!X23)</f>
        <v>60000.000000000007</v>
      </c>
      <c r="Y23" s="604">
        <f>SUM(AR:SM!Y23)</f>
        <v>60000.000000000007</v>
      </c>
      <c r="Z23" s="604">
        <f>SUM(AR:SM!Z23)</f>
        <v>60000.000000000007</v>
      </c>
      <c r="AA23" s="604">
        <f>SUM(AR:SM!AA23)</f>
        <v>60000.000000000007</v>
      </c>
      <c r="AB23" s="604">
        <f>SUM(AR:SM!AB23)</f>
        <v>60000.000000000007</v>
      </c>
      <c r="AC23" s="604">
        <f>SUM(AR:SM!AC23)</f>
        <v>60000.000000000007</v>
      </c>
      <c r="AD23" s="604">
        <f>SUM(AR:SM!AD23)</f>
        <v>60000.000000000007</v>
      </c>
      <c r="AE23" s="604">
        <f>SUM(AR:SM!AE23)</f>
        <v>60000.000000000007</v>
      </c>
      <c r="AF23" s="604">
        <f>SUM(AR:SM!AF23)</f>
        <v>60000.000000000007</v>
      </c>
      <c r="AG23" s="604">
        <f>SUM(AR:SM!AG23)</f>
        <v>60000.000000000007</v>
      </c>
      <c r="AH23" s="604">
        <f>SUM(AR:SM!AH23)</f>
        <v>60000.000000000007</v>
      </c>
      <c r="AI23" s="604">
        <f>SUM(AR:SM!AI23)</f>
        <v>60000.000000000007</v>
      </c>
      <c r="AJ23" s="604">
        <f>SUM(AR:SM!AJ23)</f>
        <v>60000.000000000007</v>
      </c>
      <c r="AK23" s="604">
        <f>SUM(AR:SM!AK23)</f>
        <v>60000.000000000007</v>
      </c>
      <c r="AL23" s="604">
        <f>SUM(AR:SM!AL23)</f>
        <v>60000.000000000007</v>
      </c>
      <c r="AM23" s="604">
        <f>SUM(AR:SM!AM23)</f>
        <v>60000.000000000007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</f>
        <v>53113765.892321751</v>
      </c>
      <c r="M29" s="1"/>
      <c r="N29" s="1"/>
      <c r="O29" s="300">
        <f>SUM(AR:SM!O29)*(1+$C$300/100)</f>
        <v>16776473.474600445</v>
      </c>
      <c r="P29" s="300">
        <f>SUM(AR:SM!P29)*(1+$C$300/100)</f>
        <v>0</v>
      </c>
      <c r="Q29" s="300">
        <f>SUM(AR:SM!Q29)*(1+$C$300/100)</f>
        <v>0</v>
      </c>
      <c r="R29" s="300">
        <f>SUM(AR:SM!R29)*(1+$C$300/100)</f>
        <v>0</v>
      </c>
      <c r="S29" s="300">
        <f>SUM(AR:SM!S29)*(1+$C$300/100)</f>
        <v>7345588.818</v>
      </c>
      <c r="T29" s="300">
        <f>SUM(AR:SM!T29)*(1+$C$300/100)</f>
        <v>0</v>
      </c>
      <c r="U29" s="300">
        <f>SUM(AR:SM!U29)*(1+$C$300/100)</f>
        <v>0</v>
      </c>
      <c r="V29" s="300">
        <f>SUM(AR:SM!V29)*(1+$C$300/100)</f>
        <v>668976.08999999985</v>
      </c>
      <c r="W29" s="300">
        <f>SUM(AR:SM!W29)*(1+$C$300/100)</f>
        <v>977241.82999999984</v>
      </c>
      <c r="X29" s="300">
        <f>SUM(AR:SM!X29)*(1+$C$300/100)</f>
        <v>0</v>
      </c>
      <c r="Y29" s="300">
        <f>SUM(AR:SM!Y29)*(1+$C$300/100)</f>
        <v>7294860.6179999989</v>
      </c>
      <c r="Z29" s="300">
        <f>SUM(AR:SM!Z29)*(1+$C$300/100)</f>
        <v>0</v>
      </c>
      <c r="AA29" s="300">
        <f>SUM(AR:SM!AA29)*(1+$C$300/100)</f>
        <v>3045709.8157213107</v>
      </c>
      <c r="AB29" s="300">
        <f>SUM(AR:SM!AB29)*(1+$C$300/100)</f>
        <v>0</v>
      </c>
      <c r="AC29" s="300">
        <f>SUM(AR:SM!AC29)*(1+$C$300/100)</f>
        <v>0</v>
      </c>
      <c r="AD29" s="300">
        <f>SUM(AR:SM!AD29)*(1+$C$300/100)</f>
        <v>7963108.5079999985</v>
      </c>
      <c r="AE29" s="300">
        <f>SUM(AR:SM!AE29)*(1+$C$300/100)</f>
        <v>147372.89000000001</v>
      </c>
      <c r="AF29" s="300">
        <f>SUM(AR:SM!AF29)*(1+$C$300/100)</f>
        <v>830597.13999999978</v>
      </c>
      <c r="AG29" s="300">
        <f>SUM(AR:SM!AG29)*(1+$C$300/100)</f>
        <v>0</v>
      </c>
      <c r="AH29" s="300">
        <f>SUM(AR:SM!AH29)*(1+$C$300/100)</f>
        <v>0</v>
      </c>
      <c r="AI29" s="300">
        <f>SUM(AR:SM!AI29)*(1+$C$300/100)</f>
        <v>7344860.6179999998</v>
      </c>
      <c r="AJ29" s="300">
        <f>SUM(AR:SM!AJ29)*(1+$C$300/100)</f>
        <v>0</v>
      </c>
      <c r="AK29" s="300">
        <f>SUM(AR:SM!AK29)*(1+$C$300/100)</f>
        <v>668976.08999999985</v>
      </c>
      <c r="AL29" s="300">
        <f>SUM(AR:SM!AL29)*(1+$C$300/100)</f>
        <v>0</v>
      </c>
      <c r="AM29" s="300">
        <f>SUM(AR:SM!AM29)*(1+$C$300/100)</f>
        <v>50000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24531301.984086461</v>
      </c>
      <c r="M30" s="1"/>
      <c r="N30" s="1"/>
      <c r="O30" s="414">
        <f>SUM(AR:SM!O30)</f>
        <v>8968682.6849533841</v>
      </c>
      <c r="P30" s="414">
        <f>SUM(AR:SM!P30)</f>
        <v>0</v>
      </c>
      <c r="Q30" s="414">
        <f>SUM(AR:SM!Q30)</f>
        <v>0</v>
      </c>
      <c r="R30" s="414">
        <f>SUM(AR:SM!R30)</f>
        <v>0</v>
      </c>
      <c r="S30" s="414">
        <f>SUM(AR:SM!S30)</f>
        <v>3309683.5923529407</v>
      </c>
      <c r="T30" s="414">
        <f>SUM(AR:SM!T30)</f>
        <v>0</v>
      </c>
      <c r="U30" s="414">
        <f>SUM(AR:SM!U30)</f>
        <v>0</v>
      </c>
      <c r="V30" s="414">
        <f>SUM(AR:SM!V30)</f>
        <v>0</v>
      </c>
      <c r="W30" s="414">
        <f>SUM(AR:SM!W30)</f>
        <v>97372.89</v>
      </c>
      <c r="X30" s="414">
        <f>SUM(AR:SM!X30)</f>
        <v>0</v>
      </c>
      <c r="Y30" s="414">
        <f>SUM(AR:SM!Y30)</f>
        <v>3309683.5923529407</v>
      </c>
      <c r="Z30" s="414">
        <f>SUM(AR:SM!Z30)</f>
        <v>0</v>
      </c>
      <c r="AA30" s="414">
        <f>SUM(AR:SM!AA30)</f>
        <v>2129139.1497213105</v>
      </c>
      <c r="AB30" s="414">
        <f>SUM(AR:SM!AB30)</f>
        <v>0</v>
      </c>
      <c r="AC30" s="414">
        <f>SUM(AR:SM!AC30)</f>
        <v>0</v>
      </c>
      <c r="AD30" s="414">
        <f>SUM(AR:SM!AD30)</f>
        <v>3309683.5923529407</v>
      </c>
      <c r="AE30" s="414">
        <f>SUM(AR:SM!AE30)</f>
        <v>97372.89</v>
      </c>
      <c r="AF30" s="414">
        <f>SUM(AR:SM!AF30)</f>
        <v>0</v>
      </c>
      <c r="AG30" s="414">
        <f>SUM(AR:SM!AG30)</f>
        <v>0</v>
      </c>
      <c r="AH30" s="414">
        <f>SUM(AR:SM!AH30)</f>
        <v>0</v>
      </c>
      <c r="AI30" s="414">
        <f>SUM(AR:SM!AI30)</f>
        <v>3309683.5923529407</v>
      </c>
      <c r="AJ30" s="414">
        <f>SUM(AR:SM!AJ30)</f>
        <v>0</v>
      </c>
      <c r="AK30" s="414">
        <f>SUM(AR:SM!AK30)</f>
        <v>0</v>
      </c>
      <c r="AL30" s="414">
        <f>SUM(AR:SM!AL30)</f>
        <v>0</v>
      </c>
      <c r="AM30" s="414">
        <f>SUM(AR:SM!AM30)</f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28582463.9082353</v>
      </c>
      <c r="M31" s="1"/>
      <c r="N31" s="1"/>
      <c r="O31" s="414">
        <f>'Fluxo Rateio'!O15*$G$34</f>
        <v>7807790.7896470604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4035905.2256470593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668976.08999999985</v>
      </c>
      <c r="W31" s="414">
        <f>'Fluxo Rateio'!W15*$G$34</f>
        <v>879868.94</v>
      </c>
      <c r="X31" s="414">
        <f>'Fluxo Rateio'!X15*$G$34</f>
        <v>0</v>
      </c>
      <c r="Y31" s="414">
        <f>'Fluxo Rateio'!Y15*$G$34</f>
        <v>3985177.0256470591</v>
      </c>
      <c r="Z31" s="414">
        <f>'Fluxo Rateio'!Z15*$G$34</f>
        <v>0</v>
      </c>
      <c r="AA31" s="414">
        <f>'Fluxo Rateio'!AA15*$G$34</f>
        <v>916570.66599999997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4653424.9156470578</v>
      </c>
      <c r="AE31" s="414">
        <f>'Fluxo Rateio'!AE15*$G$34</f>
        <v>50000</v>
      </c>
      <c r="AF31" s="414">
        <f>'Fluxo Rateio'!AF15*$G$34</f>
        <v>830597.1399999999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4035177.0256470591</v>
      </c>
      <c r="AJ31" s="414">
        <f>'Fluxo Rateio'!AJ15*$G$34</f>
        <v>0</v>
      </c>
      <c r="AK31" s="414">
        <f>'Fluxo Rateio'!AK15*$G$34</f>
        <v>668976.08999999985</v>
      </c>
      <c r="AL31" s="414">
        <f>'Fluxo Rateio'!AL15*$G$34</f>
        <v>0</v>
      </c>
      <c r="AM31" s="414">
        <f>'Fluxo Rateio'!AM15*$G$34</f>
        <v>50000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(L34+L35+L38+L36+L37+L39)*(1+$C$300/100)</f>
        <v>24531301.984086461</v>
      </c>
      <c r="M32" s="1"/>
      <c r="N32" s="1"/>
      <c r="O32" s="31">
        <f t="shared" ref="O32:AM32" si="7">(O34+O35+O38+O36+O37+O39)*(1+$C$300/100)</f>
        <v>8968682.6849533841</v>
      </c>
      <c r="P32" s="31">
        <f t="shared" si="7"/>
        <v>0</v>
      </c>
      <c r="Q32" s="31">
        <f t="shared" si="7"/>
        <v>0</v>
      </c>
      <c r="R32" s="31">
        <f t="shared" si="7"/>
        <v>0</v>
      </c>
      <c r="S32" s="31">
        <f t="shared" si="7"/>
        <v>3309683.5923529407</v>
      </c>
      <c r="T32" s="31">
        <f t="shared" si="7"/>
        <v>0</v>
      </c>
      <c r="U32" s="31">
        <f t="shared" si="7"/>
        <v>0</v>
      </c>
      <c r="V32" s="31">
        <f t="shared" si="7"/>
        <v>0</v>
      </c>
      <c r="W32" s="31">
        <f t="shared" si="7"/>
        <v>97372.89</v>
      </c>
      <c r="X32" s="31">
        <f t="shared" si="7"/>
        <v>0</v>
      </c>
      <c r="Y32" s="31">
        <f t="shared" si="7"/>
        <v>3309683.5923529407</v>
      </c>
      <c r="Z32" s="31">
        <f t="shared" si="7"/>
        <v>0</v>
      </c>
      <c r="AA32" s="31">
        <f t="shared" si="7"/>
        <v>2129139.1497213105</v>
      </c>
      <c r="AB32" s="31">
        <f t="shared" si="7"/>
        <v>0</v>
      </c>
      <c r="AC32" s="31">
        <f t="shared" si="7"/>
        <v>0</v>
      </c>
      <c r="AD32" s="31">
        <f t="shared" si="7"/>
        <v>3309683.5923529407</v>
      </c>
      <c r="AE32" s="31">
        <f t="shared" si="7"/>
        <v>97372.89</v>
      </c>
      <c r="AF32" s="31">
        <f t="shared" si="7"/>
        <v>0</v>
      </c>
      <c r="AG32" s="31">
        <f t="shared" si="7"/>
        <v>0</v>
      </c>
      <c r="AH32" s="31">
        <f t="shared" si="7"/>
        <v>0</v>
      </c>
      <c r="AI32" s="31">
        <f t="shared" si="7"/>
        <v>3309683.5923529407</v>
      </c>
      <c r="AJ32" s="31">
        <f t="shared" si="7"/>
        <v>0</v>
      </c>
      <c r="AK32" s="31">
        <f t="shared" si="7"/>
        <v>0</v>
      </c>
      <c r="AL32" s="31">
        <f t="shared" si="7"/>
        <v>0</v>
      </c>
      <c r="AM32" s="31">
        <f t="shared" si="7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v>1</v>
      </c>
      <c r="H34" s="350"/>
      <c r="I34" s="401"/>
      <c r="J34" s="401"/>
      <c r="K34" s="402">
        <f t="shared" ref="K34:K39" si="8">L34/$L$32</f>
        <v>0.1612290478067028</v>
      </c>
      <c r="L34" s="403">
        <f>SUM(O34:AM34)</f>
        <v>3955158.4603529396</v>
      </c>
      <c r="M34" s="165"/>
      <c r="N34" s="165"/>
      <c r="O34" s="429">
        <f>SUM(AR:SM!O34)</f>
        <v>3955158.4603529396</v>
      </c>
      <c r="P34" s="429">
        <f>SUM(AR:SM!P34)</f>
        <v>0</v>
      </c>
      <c r="Q34" s="429">
        <f>SUM(AR:SM!Q34)</f>
        <v>0</v>
      </c>
      <c r="R34" s="429">
        <f>SUM(AR:SM!R34)</f>
        <v>0</v>
      </c>
      <c r="S34" s="429">
        <f>SUM(AR:SM!S34)</f>
        <v>0</v>
      </c>
      <c r="T34" s="429">
        <f>SUM(AR:SM!T34)</f>
        <v>0</v>
      </c>
      <c r="U34" s="429">
        <f>SUM(AR:SM!U34)</f>
        <v>0</v>
      </c>
      <c r="V34" s="429">
        <f>SUM(AR:SM!V34)</f>
        <v>0</v>
      </c>
      <c r="W34" s="429">
        <f>SUM(AR:SM!W34)</f>
        <v>0</v>
      </c>
      <c r="X34" s="429">
        <f>SUM(AR:SM!X34)</f>
        <v>0</v>
      </c>
      <c r="Y34" s="429">
        <f>SUM(AR:SM!Y34)</f>
        <v>0</v>
      </c>
      <c r="Z34" s="429">
        <f>SUM(AR:SM!Z34)</f>
        <v>0</v>
      </c>
      <c r="AA34" s="429">
        <f>SUM(AR:SM!AA34)</f>
        <v>0</v>
      </c>
      <c r="AB34" s="429">
        <f>SUM(AR:SM!AB34)</f>
        <v>0</v>
      </c>
      <c r="AC34" s="429">
        <f>SUM(AR:SM!AC34)</f>
        <v>0</v>
      </c>
      <c r="AD34" s="429">
        <f>SUM(AR:SM!AD34)</f>
        <v>0</v>
      </c>
      <c r="AE34" s="429">
        <f>SUM(AR:SM!AE34)</f>
        <v>0</v>
      </c>
      <c r="AF34" s="429">
        <f>SUM(AR:SM!AF34)</f>
        <v>0</v>
      </c>
      <c r="AG34" s="429">
        <f>SUM(AR:SM!AG34)</f>
        <v>0</v>
      </c>
      <c r="AH34" s="429">
        <f>SUM(AR:SM!AH34)</f>
        <v>0</v>
      </c>
      <c r="AI34" s="429">
        <f>SUM(AR:SM!AI34)</f>
        <v>0</v>
      </c>
      <c r="AJ34" s="429">
        <f>SUM(AR:SM!AJ34)</f>
        <v>0</v>
      </c>
      <c r="AK34" s="429">
        <f>SUM(AR:SM!AK34)</f>
        <v>0</v>
      </c>
      <c r="AL34" s="429">
        <f>SUM(AR:SM!AL34)</f>
        <v>0</v>
      </c>
      <c r="AM34" s="429">
        <f>SUM(AR:SM!AM34)</f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 t="shared" si="8"/>
        <v>8.7494038559944809E-2</v>
      </c>
      <c r="L35" s="405">
        <f>SUM(O35:AM35)</f>
        <v>2146342.6817213115</v>
      </c>
      <c r="M35" s="1"/>
      <c r="N35" s="1"/>
      <c r="O35" s="430">
        <f>SUM(AR:SM!O35)</f>
        <v>2146342.6817213115</v>
      </c>
      <c r="P35" s="430">
        <f>SUM(AR:SM!P35)</f>
        <v>0</v>
      </c>
      <c r="Q35" s="430">
        <f>SUM(AR:SM!Q35)</f>
        <v>0</v>
      </c>
      <c r="R35" s="430">
        <f>SUM(AR:SM!R35)</f>
        <v>0</v>
      </c>
      <c r="S35" s="430">
        <f>SUM(AR:SM!S35)</f>
        <v>0</v>
      </c>
      <c r="T35" s="430">
        <f>SUM(AR:SM!T35)</f>
        <v>0</v>
      </c>
      <c r="U35" s="430">
        <f>SUM(AR:SM!U35)</f>
        <v>0</v>
      </c>
      <c r="V35" s="430">
        <f>SUM(AR:SM!V35)</f>
        <v>0</v>
      </c>
      <c r="W35" s="430">
        <f>SUM(AR:SM!W35)</f>
        <v>0</v>
      </c>
      <c r="X35" s="430">
        <f>SUM(AR:SM!X35)</f>
        <v>0</v>
      </c>
      <c r="Y35" s="430">
        <f>SUM(AR:SM!Y35)</f>
        <v>0</v>
      </c>
      <c r="Z35" s="430">
        <f>SUM(AR:SM!Z35)</f>
        <v>0</v>
      </c>
      <c r="AA35" s="430">
        <f>SUM(AR:SM!AA35)</f>
        <v>0</v>
      </c>
      <c r="AB35" s="430">
        <f>SUM(AR:SM!AB35)</f>
        <v>0</v>
      </c>
      <c r="AC35" s="430">
        <f>SUM(AR:SM!AC35)</f>
        <v>0</v>
      </c>
      <c r="AD35" s="430">
        <f>SUM(AR:SM!AD35)</f>
        <v>0</v>
      </c>
      <c r="AE35" s="430">
        <f>SUM(AR:SM!AE35)</f>
        <v>0</v>
      </c>
      <c r="AF35" s="430">
        <f>SUM(AR:SM!AF35)</f>
        <v>0</v>
      </c>
      <c r="AG35" s="430">
        <f>SUM(AR:SM!AG35)</f>
        <v>0</v>
      </c>
      <c r="AH35" s="430">
        <f>SUM(AR:SM!AH35)</f>
        <v>0</v>
      </c>
      <c r="AI35" s="430">
        <f>SUM(AR:SM!AI35)</f>
        <v>0</v>
      </c>
      <c r="AJ35" s="430">
        <f>SUM(AR:SM!AJ35)</f>
        <v>0</v>
      </c>
      <c r="AK35" s="430">
        <f>SUM(AR:SM!AK35)</f>
        <v>0</v>
      </c>
      <c r="AL35" s="430">
        <f>SUM(AR:SM!AL35)</f>
        <v>0</v>
      </c>
      <c r="AM35" s="430">
        <f>SUM(AR:SM!AM35)</f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 t="shared" si="8"/>
        <v>3.2066047717739738E-3</v>
      </c>
      <c r="L36" s="405">
        <f t="shared" ref="L36:L39" si="9">SUM(O36:AM36)</f>
        <v>78662.19</v>
      </c>
      <c r="M36" s="1"/>
      <c r="N36" s="1"/>
      <c r="O36" s="430">
        <f>SUM(AR:SM!O36)</f>
        <v>78662.19</v>
      </c>
      <c r="P36" s="430">
        <f>SUM(AR:SM!P36)</f>
        <v>0</v>
      </c>
      <c r="Q36" s="430">
        <f>SUM(AR:SM!Q36)</f>
        <v>0</v>
      </c>
      <c r="R36" s="430">
        <f>SUM(AR:SM!R36)</f>
        <v>0</v>
      </c>
      <c r="S36" s="430">
        <f>SUM(AR:SM!S36)</f>
        <v>0</v>
      </c>
      <c r="T36" s="430">
        <f>SUM(AR:SM!T36)</f>
        <v>0</v>
      </c>
      <c r="U36" s="430">
        <f>SUM(AR:SM!U36)</f>
        <v>0</v>
      </c>
      <c r="V36" s="430">
        <f>SUM(AR:SM!V36)</f>
        <v>0</v>
      </c>
      <c r="W36" s="430">
        <f>SUM(AR:SM!W36)</f>
        <v>0</v>
      </c>
      <c r="X36" s="430">
        <f>SUM(AR:SM!X36)</f>
        <v>0</v>
      </c>
      <c r="Y36" s="430">
        <f>SUM(AR:SM!Y36)</f>
        <v>0</v>
      </c>
      <c r="Z36" s="430">
        <f>SUM(AR:SM!Z36)</f>
        <v>0</v>
      </c>
      <c r="AA36" s="430">
        <f>SUM(AR:SM!AA36)</f>
        <v>0</v>
      </c>
      <c r="AB36" s="430">
        <f>SUM(AR:SM!AB36)</f>
        <v>0</v>
      </c>
      <c r="AC36" s="430">
        <f>SUM(AR:SM!AC36)</f>
        <v>0</v>
      </c>
      <c r="AD36" s="430">
        <f>SUM(AR:SM!AD36)</f>
        <v>0</v>
      </c>
      <c r="AE36" s="430">
        <f>SUM(AR:SM!AE36)</f>
        <v>0</v>
      </c>
      <c r="AF36" s="430">
        <f>SUM(AR:SM!AF36)</f>
        <v>0</v>
      </c>
      <c r="AG36" s="430">
        <f>SUM(AR:SM!AG36)</f>
        <v>0</v>
      </c>
      <c r="AH36" s="430">
        <f>SUM(AR:SM!AH36)</f>
        <v>0</v>
      </c>
      <c r="AI36" s="430">
        <f>SUM(AR:SM!AI36)</f>
        <v>0</v>
      </c>
      <c r="AJ36" s="430">
        <f>SUM(AR:SM!AJ36)</f>
        <v>0</v>
      </c>
      <c r="AK36" s="430">
        <f>SUM(AR:SM!AK36)</f>
        <v>0</v>
      </c>
      <c r="AL36" s="430">
        <f>SUM(AR:SM!AL36)</f>
        <v>0</v>
      </c>
      <c r="AM36" s="430">
        <f>SUM(AR:SM!AM36)</f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 t="shared" si="8"/>
        <v>0.11367188560509568</v>
      </c>
      <c r="L37" s="405">
        <f t="shared" si="9"/>
        <v>2788519.3528791331</v>
      </c>
      <c r="M37" s="1"/>
      <c r="N37" s="1"/>
      <c r="O37" s="430">
        <f>SUM(AR:SM!O37)</f>
        <v>2788519.3528791331</v>
      </c>
      <c r="P37" s="430">
        <f>SUM(AR:SM!P37)</f>
        <v>0</v>
      </c>
      <c r="Q37" s="430">
        <f>SUM(AR:SM!Q37)</f>
        <v>0</v>
      </c>
      <c r="R37" s="430">
        <f>SUM(AR:SM!R37)</f>
        <v>0</v>
      </c>
      <c r="S37" s="430">
        <f>SUM(AR:SM!S37)</f>
        <v>0</v>
      </c>
      <c r="T37" s="430">
        <f>SUM(AR:SM!T37)</f>
        <v>0</v>
      </c>
      <c r="U37" s="430">
        <f>SUM(AR:SM!U37)</f>
        <v>0</v>
      </c>
      <c r="V37" s="430">
        <f>SUM(AR:SM!V37)</f>
        <v>0</v>
      </c>
      <c r="W37" s="430">
        <f>SUM(AR:SM!W37)</f>
        <v>0</v>
      </c>
      <c r="X37" s="430">
        <f>SUM(AR:SM!X37)</f>
        <v>0</v>
      </c>
      <c r="Y37" s="430">
        <f>SUM(AR:SM!Y37)</f>
        <v>0</v>
      </c>
      <c r="Z37" s="430">
        <f>SUM(AR:SM!Z37)</f>
        <v>0</v>
      </c>
      <c r="AA37" s="430">
        <f>SUM(AR:SM!AA37)</f>
        <v>0</v>
      </c>
      <c r="AB37" s="430">
        <f>SUM(AR:SM!AB37)</f>
        <v>0</v>
      </c>
      <c r="AC37" s="430">
        <f>SUM(AR:SM!AC37)</f>
        <v>0</v>
      </c>
      <c r="AD37" s="430">
        <f>SUM(AR:SM!AD37)</f>
        <v>0</v>
      </c>
      <c r="AE37" s="430">
        <f>SUM(AR:SM!AE37)</f>
        <v>0</v>
      </c>
      <c r="AF37" s="430">
        <f>SUM(AR:SM!AF37)</f>
        <v>0</v>
      </c>
      <c r="AG37" s="430">
        <f>SUM(AR:SM!AG37)</f>
        <v>0</v>
      </c>
      <c r="AH37" s="430">
        <f>SUM(AR:SM!AH37)</f>
        <v>0</v>
      </c>
      <c r="AI37" s="430">
        <f>SUM(AR:SM!AI37)</f>
        <v>0</v>
      </c>
      <c r="AJ37" s="430">
        <f>SUM(AR:SM!AJ37)</f>
        <v>0</v>
      </c>
      <c r="AK37" s="430">
        <f>SUM(AR:SM!AK37)</f>
        <v>0</v>
      </c>
      <c r="AL37" s="430">
        <f>SUM(AR:SM!AL37)</f>
        <v>0</v>
      </c>
      <c r="AM37" s="430">
        <f>SUM(AR:SM!AM37)</f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 t="shared" si="8"/>
        <v>0</v>
      </c>
      <c r="L38" s="405">
        <f t="shared" si="9"/>
        <v>0</v>
      </c>
      <c r="M38" s="1"/>
      <c r="N38" s="1"/>
      <c r="O38" s="430">
        <f>SUM(AR:SM!O38)</f>
        <v>0</v>
      </c>
      <c r="P38" s="430">
        <f>SUM(AR:SM!P38)</f>
        <v>0</v>
      </c>
      <c r="Q38" s="430">
        <f>SUM(AR:SM!Q38)</f>
        <v>0</v>
      </c>
      <c r="R38" s="430">
        <f>SUM(AR:SM!R38)</f>
        <v>0</v>
      </c>
      <c r="S38" s="430">
        <f>SUM(AR:SM!S38)</f>
        <v>0</v>
      </c>
      <c r="T38" s="430">
        <f>SUM(AR:SM!T38)</f>
        <v>0</v>
      </c>
      <c r="U38" s="430">
        <f>SUM(AR:SM!U38)</f>
        <v>0</v>
      </c>
      <c r="V38" s="430">
        <f>SUM(AR:SM!V38)</f>
        <v>0</v>
      </c>
      <c r="W38" s="430">
        <f>SUM(AR:SM!W38)</f>
        <v>0</v>
      </c>
      <c r="X38" s="430">
        <f>SUM(AR:SM!X38)</f>
        <v>0</v>
      </c>
      <c r="Y38" s="430">
        <f>SUM(AR:SM!Y38)</f>
        <v>0</v>
      </c>
      <c r="Z38" s="430">
        <f>SUM(AR:SM!Z38)</f>
        <v>0</v>
      </c>
      <c r="AA38" s="430">
        <f>SUM(AR:SM!AA38)</f>
        <v>0</v>
      </c>
      <c r="AB38" s="430">
        <f>SUM(AR:SM!AB38)</f>
        <v>0</v>
      </c>
      <c r="AC38" s="430">
        <f>SUM(AR:SM!AC38)</f>
        <v>0</v>
      </c>
      <c r="AD38" s="430">
        <f>SUM(AR:SM!AD38)</f>
        <v>0</v>
      </c>
      <c r="AE38" s="430">
        <f>SUM(AR:SM!AE38)</f>
        <v>0</v>
      </c>
      <c r="AF38" s="430">
        <f>SUM(AR:SM!AF38)</f>
        <v>0</v>
      </c>
      <c r="AG38" s="430">
        <f>SUM(AR:SM!AG38)</f>
        <v>0</v>
      </c>
      <c r="AH38" s="430">
        <f>SUM(AR:SM!AH38)</f>
        <v>0</v>
      </c>
      <c r="AI38" s="430">
        <f>SUM(AR:SM!AI38)</f>
        <v>0</v>
      </c>
      <c r="AJ38" s="430">
        <f>SUM(AR:SM!AJ38)</f>
        <v>0</v>
      </c>
      <c r="AK38" s="430">
        <f>SUM(AR:SM!AK38)</f>
        <v>0</v>
      </c>
      <c r="AL38" s="430">
        <f>SUM(AR:SM!AL38)</f>
        <v>0</v>
      </c>
      <c r="AM38" s="430">
        <f>SUM(AR:SM!AM38)</f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512">
        <f t="shared" si="8"/>
        <v>0.63439842325648277</v>
      </c>
      <c r="L39" s="409">
        <f t="shared" si="9"/>
        <v>15562619.299133077</v>
      </c>
      <c r="M39" s="1"/>
      <c r="N39" s="1"/>
      <c r="O39" s="516">
        <f>SUM(AR:SM!O39)</f>
        <v>0</v>
      </c>
      <c r="P39" s="516">
        <f>SUM(AR:SM!P39)</f>
        <v>0</v>
      </c>
      <c r="Q39" s="516">
        <f>SUM(AR:SM!Q39)</f>
        <v>0</v>
      </c>
      <c r="R39" s="516">
        <f>SUM(AR:SM!R39)</f>
        <v>0</v>
      </c>
      <c r="S39" s="516">
        <f>SUM(AR:SM!S39)</f>
        <v>3309683.5923529407</v>
      </c>
      <c r="T39" s="516">
        <f>SUM(AR:SM!T39)</f>
        <v>0</v>
      </c>
      <c r="U39" s="516">
        <f>SUM(AR:SM!U39)</f>
        <v>0</v>
      </c>
      <c r="V39" s="516">
        <f>SUM(AR:SM!V39)</f>
        <v>0</v>
      </c>
      <c r="W39" s="516">
        <f>SUM(AR:SM!W39)</f>
        <v>97372.89</v>
      </c>
      <c r="X39" s="516">
        <f>SUM(AR:SM!X39)</f>
        <v>0</v>
      </c>
      <c r="Y39" s="516">
        <f>SUM(AR:SM!Y39)</f>
        <v>3309683.5923529407</v>
      </c>
      <c r="Z39" s="516">
        <f>SUM(AR:SM!Z39)</f>
        <v>0</v>
      </c>
      <c r="AA39" s="516">
        <f>SUM(AR:SM!AA39)</f>
        <v>2129139.1497213105</v>
      </c>
      <c r="AB39" s="516">
        <f>SUM(AR:SM!AB39)</f>
        <v>0</v>
      </c>
      <c r="AC39" s="516">
        <f>SUM(AR:SM!AC39)</f>
        <v>0</v>
      </c>
      <c r="AD39" s="516">
        <f>SUM(AR:SM!AD39)</f>
        <v>3309683.5923529407</v>
      </c>
      <c r="AE39" s="516">
        <f>SUM(AR:SM!AE39)</f>
        <v>97372.89</v>
      </c>
      <c r="AF39" s="516">
        <f>SUM(AR:SM!AF39)</f>
        <v>0</v>
      </c>
      <c r="AG39" s="516">
        <f>SUM(AR:SM!AG39)</f>
        <v>0</v>
      </c>
      <c r="AH39" s="516">
        <f>SUM(AR:SM!AH39)</f>
        <v>0</v>
      </c>
      <c r="AI39" s="516">
        <f>SUM(AR:SM!AI39)</f>
        <v>3309683.5923529407</v>
      </c>
      <c r="AJ39" s="516">
        <f>SUM(AR:SM!AJ39)</f>
        <v>0</v>
      </c>
      <c r="AK39" s="516">
        <f>SUM(AR:SM!AK39)</f>
        <v>0</v>
      </c>
      <c r="AL39" s="516">
        <f>SUM(AR:SM!AL39)</f>
        <v>0</v>
      </c>
      <c r="AM39" s="516">
        <f>SUM(AR:SM!AM39)</f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600000</v>
      </c>
      <c r="M41" s="1"/>
      <c r="N41" s="1"/>
      <c r="O41" s="15">
        <f t="shared" ref="O41:AM41" si="10">SUM(O42:O47)</f>
        <v>600000</v>
      </c>
      <c r="P41" s="15">
        <f t="shared" si="10"/>
        <v>0</v>
      </c>
      <c r="Q41" s="15">
        <f t="shared" si="10"/>
        <v>0</v>
      </c>
      <c r="R41" s="15">
        <f t="shared" si="10"/>
        <v>0</v>
      </c>
      <c r="S41" s="15">
        <f t="shared" si="10"/>
        <v>0</v>
      </c>
      <c r="T41" s="15">
        <f t="shared" si="10"/>
        <v>0</v>
      </c>
      <c r="U41" s="15">
        <f t="shared" si="10"/>
        <v>0</v>
      </c>
      <c r="V41" s="15">
        <f t="shared" si="10"/>
        <v>0</v>
      </c>
      <c r="W41" s="15">
        <f t="shared" si="10"/>
        <v>0</v>
      </c>
      <c r="X41" s="15">
        <f t="shared" si="10"/>
        <v>0</v>
      </c>
      <c r="Y41" s="15">
        <f t="shared" si="10"/>
        <v>0</v>
      </c>
      <c r="Z41" s="15">
        <f t="shared" si="10"/>
        <v>0</v>
      </c>
      <c r="AA41" s="15">
        <f t="shared" si="10"/>
        <v>0</v>
      </c>
      <c r="AB41" s="15">
        <f t="shared" si="10"/>
        <v>0</v>
      </c>
      <c r="AC41" s="15">
        <f t="shared" si="10"/>
        <v>0</v>
      </c>
      <c r="AD41" s="15">
        <f t="shared" si="10"/>
        <v>0</v>
      </c>
      <c r="AE41" s="15">
        <f t="shared" si="10"/>
        <v>0</v>
      </c>
      <c r="AF41" s="15">
        <f t="shared" si="10"/>
        <v>0</v>
      </c>
      <c r="AG41" s="15">
        <f t="shared" si="10"/>
        <v>0</v>
      </c>
      <c r="AH41" s="15">
        <f t="shared" si="10"/>
        <v>0</v>
      </c>
      <c r="AI41" s="15">
        <f t="shared" si="10"/>
        <v>0</v>
      </c>
      <c r="AJ41" s="15">
        <f t="shared" si="10"/>
        <v>0</v>
      </c>
      <c r="AK41" s="15">
        <f t="shared" si="10"/>
        <v>0</v>
      </c>
      <c r="AL41" s="15">
        <f t="shared" si="10"/>
        <v>0</v>
      </c>
      <c r="AM41" s="15">
        <f t="shared" si="10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1">SUM(O42:AV42)</f>
        <v>600000</v>
      </c>
      <c r="M42" s="1"/>
      <c r="N42" s="1"/>
      <c r="O42" s="44">
        <f>'Fluxo Rateio'!O24*$G$34</f>
        <v>600000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1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1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1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1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1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>SUM(AR:SM!O49)</f>
        <v>0</v>
      </c>
      <c r="P49" s="13">
        <f>SUM(AR:SM!P49)</f>
        <v>0</v>
      </c>
      <c r="Q49" s="13">
        <f>SUM(AR:SM!Q49)</f>
        <v>0</v>
      </c>
      <c r="R49" s="13">
        <f>SUM(AR:SM!R49)</f>
        <v>0</v>
      </c>
      <c r="S49" s="13">
        <f>SUM(AR:SM!S49)</f>
        <v>0</v>
      </c>
      <c r="T49" s="13">
        <f>SUM(AR:SM!T49)</f>
        <v>0</v>
      </c>
      <c r="U49" s="13">
        <f>SUM(AR:SM!U49)</f>
        <v>0</v>
      </c>
      <c r="V49" s="13">
        <f>SUM(AR:SM!V49)</f>
        <v>0</v>
      </c>
      <c r="W49" s="13">
        <f>SUM(AR:SM!W49)</f>
        <v>0</v>
      </c>
      <c r="X49" s="13">
        <f>SUM(AR:SM!X49)</f>
        <v>0</v>
      </c>
      <c r="Y49" s="13">
        <f>SUM(AR:SM!Y49)</f>
        <v>0</v>
      </c>
      <c r="Z49" s="13">
        <f>SUM(AR:SM!Z49)</f>
        <v>0</v>
      </c>
      <c r="AA49" s="13">
        <f>SUM(AR:SM!AA49)</f>
        <v>0</v>
      </c>
      <c r="AB49" s="13">
        <f>SUM(AR:SM!AB49)</f>
        <v>0</v>
      </c>
      <c r="AC49" s="13">
        <f>SUM(AR:SM!AC49)</f>
        <v>0</v>
      </c>
      <c r="AD49" s="13">
        <f>SUM(AR:SM!AD49)</f>
        <v>0</v>
      </c>
      <c r="AE49" s="13">
        <f>SUM(AR:SM!AE49)</f>
        <v>0</v>
      </c>
      <c r="AF49" s="13">
        <f>SUM(AR:SM!AF49)</f>
        <v>0</v>
      </c>
      <c r="AG49" s="13">
        <f>SUM(AR:SM!AG49)</f>
        <v>0</v>
      </c>
      <c r="AH49" s="13">
        <f>SUM(AR:SM!AH49)</f>
        <v>0</v>
      </c>
      <c r="AI49" s="13">
        <f>SUM(AR:SM!AI49)</f>
        <v>0</v>
      </c>
      <c r="AJ49" s="13">
        <f>SUM(AR:SM!AJ49)</f>
        <v>0</v>
      </c>
      <c r="AK49" s="13">
        <f>SUM(AR:SM!AK49)</f>
        <v>0</v>
      </c>
      <c r="AL49" s="13">
        <f>SUM(AR:SM!AL49)</f>
        <v>0</v>
      </c>
      <c r="AM49" s="13">
        <f>SUM(AR:SM!AM49)</f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SUM(L51:L57)</f>
        <v>0</v>
      </c>
      <c r="M50" s="1"/>
      <c r="N50" s="1"/>
      <c r="O50" s="15">
        <f>SUM(AR:SM!O50)</f>
        <v>0</v>
      </c>
      <c r="P50" s="15">
        <f>SUM(AR:SM!P50)</f>
        <v>0</v>
      </c>
      <c r="Q50" s="15">
        <f>SUM(AR:SM!Q50)</f>
        <v>0</v>
      </c>
      <c r="R50" s="15">
        <f>SUM(AR:SM!R50)</f>
        <v>0</v>
      </c>
      <c r="S50" s="15">
        <f>SUM(AR:SM!S50)</f>
        <v>0</v>
      </c>
      <c r="T50" s="15">
        <f>SUM(AR:SM!T50)</f>
        <v>0</v>
      </c>
      <c r="U50" s="15">
        <f>SUM(AR:SM!U50)</f>
        <v>0</v>
      </c>
      <c r="V50" s="15">
        <f>SUM(AR:SM!V50)</f>
        <v>0</v>
      </c>
      <c r="W50" s="15">
        <f>SUM(AR:SM!W50)</f>
        <v>0</v>
      </c>
      <c r="X50" s="15">
        <f>SUM(AR:SM!X50)</f>
        <v>0</v>
      </c>
      <c r="Y50" s="15">
        <f>SUM(AR:SM!Y50)</f>
        <v>0</v>
      </c>
      <c r="Z50" s="15">
        <f>SUM(AR:SM!Z50)</f>
        <v>0</v>
      </c>
      <c r="AA50" s="15">
        <f>SUM(AR:SM!AA50)</f>
        <v>0</v>
      </c>
      <c r="AB50" s="15">
        <f>SUM(AR:SM!AB50)</f>
        <v>0</v>
      </c>
      <c r="AC50" s="15">
        <f>SUM(AR:SM!AC50)</f>
        <v>0</v>
      </c>
      <c r="AD50" s="15">
        <f>SUM(AR:SM!AD50)</f>
        <v>0</v>
      </c>
      <c r="AE50" s="15">
        <f>SUM(AR:SM!AE50)</f>
        <v>0</v>
      </c>
      <c r="AF50" s="15">
        <f>SUM(AR:SM!AF50)</f>
        <v>0</v>
      </c>
      <c r="AG50" s="15">
        <f>SUM(AR:SM!AG50)</f>
        <v>0</v>
      </c>
      <c r="AH50" s="15">
        <f>SUM(AR:SM!AH50)</f>
        <v>0</v>
      </c>
      <c r="AI50" s="15">
        <f>SUM(AR:SM!AI50)</f>
        <v>0</v>
      </c>
      <c r="AJ50" s="15">
        <f>SUM(AR:SM!AJ50)</f>
        <v>0</v>
      </c>
      <c r="AK50" s="15">
        <f>SUM(AR:SM!AK50)</f>
        <v>0</v>
      </c>
      <c r="AL50" s="15">
        <f>SUM(AR:SM!AL50)</f>
        <v>0</v>
      </c>
      <c r="AM50" s="15">
        <f>SUM(AR:SM!AM50)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2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2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2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2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2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2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2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3">SUM(O60:AV60)</f>
        <v>53113765.892321751</v>
      </c>
      <c r="M60" s="1"/>
      <c r="N60" s="1"/>
      <c r="O60" s="52">
        <f>SUM(AR:SM!O60)</f>
        <v>16776473.474600445</v>
      </c>
      <c r="P60" s="52">
        <f>SUM(AR:SM!P60)</f>
        <v>0</v>
      </c>
      <c r="Q60" s="52">
        <f>SUM(AR:SM!Q60)</f>
        <v>0</v>
      </c>
      <c r="R60" s="52">
        <f>SUM(AR:SM!R60)</f>
        <v>0</v>
      </c>
      <c r="S60" s="52">
        <f>SUM(AR:SM!S60)</f>
        <v>7345588.818</v>
      </c>
      <c r="T60" s="52">
        <f>SUM(AR:SM!T60)</f>
        <v>0</v>
      </c>
      <c r="U60" s="52">
        <f>SUM(AR:SM!U60)</f>
        <v>0</v>
      </c>
      <c r="V60" s="52">
        <f>SUM(AR:SM!V60)</f>
        <v>668976.08999999985</v>
      </c>
      <c r="W60" s="52">
        <f>SUM(AR:SM!W60)</f>
        <v>977241.82999999984</v>
      </c>
      <c r="X60" s="52">
        <f>SUM(AR:SM!X60)</f>
        <v>0</v>
      </c>
      <c r="Y60" s="52">
        <f>SUM(AR:SM!Y60)</f>
        <v>7294860.6179999989</v>
      </c>
      <c r="Z60" s="52">
        <f>SUM(AR:SM!Z60)</f>
        <v>0</v>
      </c>
      <c r="AA60" s="52">
        <f>SUM(AR:SM!AA60)</f>
        <v>3045709.8157213107</v>
      </c>
      <c r="AB60" s="52">
        <f>SUM(AR:SM!AB60)</f>
        <v>0</v>
      </c>
      <c r="AC60" s="52">
        <f>SUM(AR:SM!AC60)</f>
        <v>0</v>
      </c>
      <c r="AD60" s="52">
        <f>SUM(AR:SM!AD60)</f>
        <v>7963108.5079999985</v>
      </c>
      <c r="AE60" s="52">
        <f>SUM(AR:SM!AE60)</f>
        <v>147372.89000000001</v>
      </c>
      <c r="AF60" s="52">
        <f>SUM(AR:SM!AF60)</f>
        <v>830597.13999999978</v>
      </c>
      <c r="AG60" s="52">
        <f>SUM(AR:SM!AG60)</f>
        <v>0</v>
      </c>
      <c r="AH60" s="52">
        <f>SUM(AR:SM!AH60)</f>
        <v>0</v>
      </c>
      <c r="AI60" s="52">
        <f>SUM(AR:SM!AI60)</f>
        <v>7344860.6179999998</v>
      </c>
      <c r="AJ60" s="52">
        <f>SUM(AR:SM!AJ60)</f>
        <v>0</v>
      </c>
      <c r="AK60" s="52">
        <f>SUM(AR:SM!AK60)</f>
        <v>668976.08999999985</v>
      </c>
      <c r="AL60" s="52">
        <f>SUM(AR:SM!AL60)</f>
        <v>0</v>
      </c>
      <c r="AM60" s="52">
        <f>SUM(AR:SM!AM60)</f>
        <v>50000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3"/>
        <v>0</v>
      </c>
      <c r="M61" s="1"/>
      <c r="N61" s="1"/>
      <c r="O61" s="54">
        <f>SUM(AR:SM!O61)</f>
        <v>0</v>
      </c>
      <c r="P61" s="54">
        <f>SUM(AR:SM!P61)</f>
        <v>0</v>
      </c>
      <c r="Q61" s="54">
        <f>SUM(AR:SM!Q61)</f>
        <v>0</v>
      </c>
      <c r="R61" s="54">
        <f>SUM(AR:SM!R61)</f>
        <v>0</v>
      </c>
      <c r="S61" s="54">
        <f>SUM(AR:SM!S61)</f>
        <v>0</v>
      </c>
      <c r="T61" s="54">
        <f>SUM(AR:SM!T61)</f>
        <v>0</v>
      </c>
      <c r="U61" s="54">
        <f>SUM(AR:SM!U61)</f>
        <v>0</v>
      </c>
      <c r="V61" s="54">
        <f>SUM(AR:SM!V61)</f>
        <v>0</v>
      </c>
      <c r="W61" s="54">
        <f>SUM(AR:SM!W61)</f>
        <v>0</v>
      </c>
      <c r="X61" s="54">
        <f>SUM(AR:SM!X61)</f>
        <v>0</v>
      </c>
      <c r="Y61" s="54">
        <f>SUM(AR:SM!Y61)</f>
        <v>0</v>
      </c>
      <c r="Z61" s="54">
        <f>SUM(AR:SM!Z61)</f>
        <v>0</v>
      </c>
      <c r="AA61" s="54">
        <f>SUM(AR:SM!AA61)</f>
        <v>0</v>
      </c>
      <c r="AB61" s="54">
        <f>SUM(AR:SM!AB61)</f>
        <v>0</v>
      </c>
      <c r="AC61" s="54">
        <f>SUM(AR:SM!AC61)</f>
        <v>0</v>
      </c>
      <c r="AD61" s="54">
        <f>SUM(AR:SM!AD61)</f>
        <v>0</v>
      </c>
      <c r="AE61" s="54">
        <f>SUM(AR:SM!AE61)</f>
        <v>0</v>
      </c>
      <c r="AF61" s="54">
        <f>SUM(AR:SM!AF61)</f>
        <v>0</v>
      </c>
      <c r="AG61" s="54">
        <f>SUM(AR:SM!AG61)</f>
        <v>0</v>
      </c>
      <c r="AH61" s="54">
        <f>SUM(AR:SM!AH61)</f>
        <v>0</v>
      </c>
      <c r="AI61" s="54">
        <f>SUM(AR:SM!AI61)</f>
        <v>0</v>
      </c>
      <c r="AJ61" s="54">
        <f>SUM(AR:SM!AJ61)</f>
        <v>0</v>
      </c>
      <c r="AK61" s="54">
        <f>SUM(AR:SM!AK61)</f>
        <v>0</v>
      </c>
      <c r="AL61" s="54">
        <f>SUM(AR:SM!AL61)</f>
        <v>0</v>
      </c>
      <c r="AM61" s="54">
        <f>SUM(AR:SM!AM61)</f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3"/>
        <v>207615812.5677672</v>
      </c>
      <c r="M62" s="1"/>
      <c r="N62" s="1"/>
      <c r="O62" s="54">
        <f>SUM(AR:SM!O62)</f>
        <v>2844052.2269557137</v>
      </c>
      <c r="P62" s="54">
        <f>SUM(AR:SM!P62)</f>
        <v>8532156.6808671486</v>
      </c>
      <c r="Q62" s="54">
        <f>SUM(AR:SM!Q62)</f>
        <v>8532156.6808671486</v>
      </c>
      <c r="R62" s="54">
        <f>SUM(AR:SM!R62)</f>
        <v>8532156.6808671486</v>
      </c>
      <c r="S62" s="54">
        <f>SUM(AR:SM!S62)</f>
        <v>8532156.6808671486</v>
      </c>
      <c r="T62" s="54">
        <f>SUM(AR:SM!T62)</f>
        <v>8532156.6808671486</v>
      </c>
      <c r="U62" s="54">
        <f>SUM(AR:SM!U62)</f>
        <v>8532156.6808671486</v>
      </c>
      <c r="V62" s="54">
        <f>SUM(AR:SM!V62)</f>
        <v>8532156.6808671486</v>
      </c>
      <c r="W62" s="54">
        <f>SUM(AR:SM!W62)</f>
        <v>8532156.6808671486</v>
      </c>
      <c r="X62" s="54">
        <f>SUM(AR:SM!X62)</f>
        <v>8532156.6808671486</v>
      </c>
      <c r="Y62" s="54">
        <f>SUM(AR:SM!Y62)</f>
        <v>8532156.6808671486</v>
      </c>
      <c r="Z62" s="54">
        <f>SUM(AR:SM!Z62)</f>
        <v>8532156.6808671486</v>
      </c>
      <c r="AA62" s="54">
        <f>SUM(AR:SM!AA62)</f>
        <v>8532156.6808671486</v>
      </c>
      <c r="AB62" s="54">
        <f>SUM(AR:SM!AB62)</f>
        <v>8532156.6808671486</v>
      </c>
      <c r="AC62" s="54">
        <f>SUM(AR:SM!AC62)</f>
        <v>8532156.6808671486</v>
      </c>
      <c r="AD62" s="54">
        <f>SUM(AR:SM!AD62)</f>
        <v>8532156.6808671486</v>
      </c>
      <c r="AE62" s="54">
        <f>SUM(AR:SM!AE62)</f>
        <v>8532156.6808671486</v>
      </c>
      <c r="AF62" s="54">
        <f>SUM(AR:SM!AF62)</f>
        <v>8532156.6808671486</v>
      </c>
      <c r="AG62" s="54">
        <f>SUM(AR:SM!AG62)</f>
        <v>8532156.6808671486</v>
      </c>
      <c r="AH62" s="54">
        <f>SUM(AR:SM!AH62)</f>
        <v>8532156.6808671486</v>
      </c>
      <c r="AI62" s="54">
        <f>SUM(AR:SM!AI62)</f>
        <v>8532156.6808671486</v>
      </c>
      <c r="AJ62" s="54">
        <f>SUM(AR:SM!AJ62)</f>
        <v>8532156.6808671486</v>
      </c>
      <c r="AK62" s="54">
        <f>SUM(AR:SM!AK62)</f>
        <v>8532156.6808671486</v>
      </c>
      <c r="AL62" s="54">
        <f>SUM(AR:SM!AL62)</f>
        <v>8532156.6808671486</v>
      </c>
      <c r="AM62" s="54">
        <f>SUM(AR:SM!AM62)</f>
        <v>8532156.6808671486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/>
      <c r="H63" s="55"/>
      <c r="I63" s="55"/>
      <c r="J63" s="55"/>
      <c r="K63" s="58"/>
      <c r="L63" s="59">
        <f>SUM(O63:AV63)</f>
        <v>67639035.159281582</v>
      </c>
      <c r="M63" s="1"/>
      <c r="N63" s="1"/>
      <c r="O63" s="59">
        <f>SUM(AR:SM!O63)</f>
        <v>926562.12546961033</v>
      </c>
      <c r="P63" s="59">
        <f>SUM(AR:SM!P63)</f>
        <v>2779686.3764088335</v>
      </c>
      <c r="Q63" s="59">
        <f>SUM(AR:SM!Q63)</f>
        <v>2779686.3764088335</v>
      </c>
      <c r="R63" s="59">
        <f>SUM(AR:SM!R63)</f>
        <v>2779686.3764088335</v>
      </c>
      <c r="S63" s="59">
        <f>SUM(AR:SM!S63)</f>
        <v>2779686.3764088335</v>
      </c>
      <c r="T63" s="59">
        <f>SUM(AR:SM!T63)</f>
        <v>2779686.3764088335</v>
      </c>
      <c r="U63" s="59">
        <f>SUM(AR:SM!U63)</f>
        <v>2779686.3764088335</v>
      </c>
      <c r="V63" s="59">
        <f>SUM(AR:SM!V63)</f>
        <v>2779686.3764088335</v>
      </c>
      <c r="W63" s="59">
        <f>SUM(AR:SM!W63)</f>
        <v>2779686.3764088335</v>
      </c>
      <c r="X63" s="59">
        <f>SUM(AR:SM!X63)</f>
        <v>2779686.3764088335</v>
      </c>
      <c r="Y63" s="59">
        <f>SUM(AR:SM!Y63)</f>
        <v>2779686.3764088335</v>
      </c>
      <c r="Z63" s="59">
        <f>SUM(AR:SM!Z63)</f>
        <v>2779686.3764088335</v>
      </c>
      <c r="AA63" s="59">
        <f>SUM(AR:SM!AA63)</f>
        <v>2779686.3764088335</v>
      </c>
      <c r="AB63" s="59">
        <f>SUM(AR:SM!AB63)</f>
        <v>2779686.3764088335</v>
      </c>
      <c r="AC63" s="59">
        <f>SUM(AR:SM!AC63)</f>
        <v>2779686.3764088335</v>
      </c>
      <c r="AD63" s="59">
        <f>SUM(AR:SM!AD63)</f>
        <v>2779686.3764088335</v>
      </c>
      <c r="AE63" s="59">
        <f>SUM(AR:SM!AE63)</f>
        <v>2779686.3764088335</v>
      </c>
      <c r="AF63" s="59">
        <f>SUM(AR:SM!AF63)</f>
        <v>2779686.3764088335</v>
      </c>
      <c r="AG63" s="59">
        <f>SUM(AR:SM!AG63)</f>
        <v>2779686.3764088335</v>
      </c>
      <c r="AH63" s="59">
        <f>SUM(AR:SM!AH63)</f>
        <v>2779686.3764088335</v>
      </c>
      <c r="AI63" s="59">
        <f>SUM(AR:SM!AI63)</f>
        <v>2779686.3764088335</v>
      </c>
      <c r="AJ63" s="59">
        <f>SUM(AR:SM!AJ63)</f>
        <v>2779686.3764088335</v>
      </c>
      <c r="AK63" s="59">
        <f>SUM(AR:SM!AK63)</f>
        <v>2779686.3764088335</v>
      </c>
      <c r="AL63" s="59">
        <f>SUM(AR:SM!AL63)</f>
        <v>2779686.3764088335</v>
      </c>
      <c r="AM63" s="59">
        <f>SUM(AR:SM!AM63)</f>
        <v>2779686.3764088335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61"/>
      <c r="I64" s="61"/>
      <c r="J64" s="61"/>
      <c r="K64" s="61"/>
      <c r="L64" s="62">
        <v>0</v>
      </c>
      <c r="M64" s="1"/>
      <c r="N64" s="1"/>
      <c r="O64" s="62">
        <f>SUM(AR:SM!O64)</f>
        <v>0</v>
      </c>
      <c r="P64" s="62">
        <f>SUM(AR:SM!P64)</f>
        <v>-15849911.349130835</v>
      </c>
      <c r="Q64" s="62">
        <f>SUM(AR:SM!Q64)</f>
        <v>-4538068.2918548528</v>
      </c>
      <c r="R64" s="62">
        <f>SUM(AR:SM!R64)</f>
        <v>-2209106.8698578998</v>
      </c>
      <c r="S64" s="62">
        <f>SUM(AR:SM!S64)</f>
        <v>351169.05938009603</v>
      </c>
      <c r="T64" s="62">
        <f>SUM(AR:SM!T64)</f>
        <v>-4179854.9607990235</v>
      </c>
      <c r="U64" s="62">
        <f>SUM(AR:SM!U64)</f>
        <v>-1815315.4741000361</v>
      </c>
      <c r="V64" s="62">
        <f>SUM(AR:SM!V64)</f>
        <v>784072.16467730794</v>
      </c>
      <c r="W64" s="62">
        <f>SUM(AR:SM!W64)</f>
        <v>2972657.1916038422</v>
      </c>
      <c r="X64" s="62">
        <f>SUM(AR:SM!X64)</f>
        <v>5070348.6781199072</v>
      </c>
      <c r="Y64" s="62">
        <f>SUM(AR:SM!Y64)</f>
        <v>8353626.5674417932</v>
      </c>
      <c r="Z64" s="62">
        <f>SUM(AR:SM!Z64)</f>
        <v>4668141.9011578169</v>
      </c>
      <c r="AA64" s="62">
        <f>SUM(AR:SM!AA64)</f>
        <v>7911472.2578399293</v>
      </c>
      <c r="AB64" s="62">
        <f>SUM(AR:SM!AB64)</f>
        <v>8431223.2369393595</v>
      </c>
      <c r="AC64" s="62">
        <f>SUM(AR:SM!AC64)</f>
        <v>12048306.158465549</v>
      </c>
      <c r="AD64" s="62">
        <f>SUM(AR:SM!AD64)</f>
        <v>16024640.953268979</v>
      </c>
      <c r="AE64" s="62">
        <f>SUM(AR:SM!AE64)</f>
        <v>12432800.326983184</v>
      </c>
      <c r="AF64" s="62">
        <f>SUM(AR:SM!AF64)</f>
        <v>16299950.532497687</v>
      </c>
      <c r="AG64" s="62">
        <f>SUM(AR:SM!AG64)</f>
        <v>19867965.26499531</v>
      </c>
      <c r="AH64" s="62">
        <f>SUM(AR:SM!AH64)</f>
        <v>24620955.514859438</v>
      </c>
      <c r="AI64" s="62">
        <f>SUM(AR:SM!AI64)</f>
        <v>29846016.957996536</v>
      </c>
      <c r="AJ64" s="62">
        <f>SUM(AR:SM!AJ64)</f>
        <v>28245175.504634693</v>
      </c>
      <c r="AK64" s="62">
        <f>SUM(AR:SM!AK64)</f>
        <v>33830197.680976711</v>
      </c>
      <c r="AL64" s="62">
        <f>SUM(AR:SM!AL64)</f>
        <v>39300953.107047983</v>
      </c>
      <c r="AM64" s="62">
        <f>SUM(AR:SM!AM64)</f>
        <v>45984044.888199501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14">SUM(O65:AV65)</f>
        <v>-53113765.892321751</v>
      </c>
      <c r="M65" s="1"/>
      <c r="N65" s="1"/>
      <c r="O65" s="54">
        <f>SUM(AR:SM!O65)</f>
        <v>-16776473.474600445</v>
      </c>
      <c r="P65" s="54">
        <f>SUM(AR:SM!P65)</f>
        <v>0</v>
      </c>
      <c r="Q65" s="54">
        <f>SUM(AR:SM!Q65)</f>
        <v>0</v>
      </c>
      <c r="R65" s="54">
        <f>SUM(AR:SM!R65)</f>
        <v>0</v>
      </c>
      <c r="S65" s="54">
        <f>SUM(AR:SM!S65)</f>
        <v>-7345588.818</v>
      </c>
      <c r="T65" s="54">
        <f>SUM(AR:SM!T65)</f>
        <v>0</v>
      </c>
      <c r="U65" s="54">
        <f>SUM(AR:SM!U65)</f>
        <v>0</v>
      </c>
      <c r="V65" s="54">
        <f>SUM(AR:SM!V65)</f>
        <v>-668976.08999999985</v>
      </c>
      <c r="W65" s="54">
        <f>SUM(AR:SM!W65)</f>
        <v>-977241.82999999984</v>
      </c>
      <c r="X65" s="54">
        <f>SUM(AR:SM!X65)</f>
        <v>0</v>
      </c>
      <c r="Y65" s="54">
        <f>SUM(AR:SM!Y65)</f>
        <v>-7294860.6179999989</v>
      </c>
      <c r="Z65" s="54">
        <f>SUM(AR:SM!Z65)</f>
        <v>0</v>
      </c>
      <c r="AA65" s="54">
        <f>SUM(AR:SM!AA65)</f>
        <v>-3045709.8157213107</v>
      </c>
      <c r="AB65" s="54">
        <f>SUM(AR:SM!AB65)</f>
        <v>0</v>
      </c>
      <c r="AC65" s="54">
        <f>SUM(AR:SM!AC65)</f>
        <v>0</v>
      </c>
      <c r="AD65" s="54">
        <f>SUM(AR:SM!AD65)</f>
        <v>-7963108.5079999985</v>
      </c>
      <c r="AE65" s="54">
        <f>SUM(AR:SM!AE65)</f>
        <v>-147372.89000000001</v>
      </c>
      <c r="AF65" s="54">
        <f>SUM(AR:SM!AF65)</f>
        <v>-830597.13999999978</v>
      </c>
      <c r="AG65" s="54">
        <f>SUM(AR:SM!AG65)</f>
        <v>0</v>
      </c>
      <c r="AH65" s="54">
        <f>SUM(AR:SM!AH65)</f>
        <v>0</v>
      </c>
      <c r="AI65" s="54">
        <f>SUM(AR:SM!AI65)</f>
        <v>-7344860.6179999998</v>
      </c>
      <c r="AJ65" s="54">
        <f>SUM(AR:SM!AJ65)</f>
        <v>0</v>
      </c>
      <c r="AK65" s="54">
        <f>SUM(AR:SM!AK65)</f>
        <v>-668976.08999999985</v>
      </c>
      <c r="AL65" s="54">
        <f>SUM(AR:SM!AL65)</f>
        <v>0</v>
      </c>
      <c r="AM65" s="54">
        <f>SUM(AR:SM!AM65)</f>
        <v>-50000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14"/>
        <v>0</v>
      </c>
      <c r="M66" s="1"/>
      <c r="N66" s="1"/>
      <c r="O66" s="54">
        <f>SUM(AR:SM!O66)</f>
        <v>0</v>
      </c>
      <c r="P66" s="54">
        <f>SUM(AR:SM!P66)</f>
        <v>0</v>
      </c>
      <c r="Q66" s="54">
        <f>SUM(AR:SM!Q66)</f>
        <v>0</v>
      </c>
      <c r="R66" s="54">
        <f>SUM(AR:SM!R66)</f>
        <v>0</v>
      </c>
      <c r="S66" s="54">
        <f>SUM(AR:SM!S66)</f>
        <v>0</v>
      </c>
      <c r="T66" s="54">
        <f>SUM(AR:SM!T66)</f>
        <v>0</v>
      </c>
      <c r="U66" s="54">
        <f>SUM(AR:SM!U66)</f>
        <v>0</v>
      </c>
      <c r="V66" s="54">
        <f>SUM(AR:SM!V66)</f>
        <v>0</v>
      </c>
      <c r="W66" s="54">
        <f>SUM(AR:SM!W66)</f>
        <v>0</v>
      </c>
      <c r="X66" s="54">
        <f>SUM(AR:SM!X66)</f>
        <v>0</v>
      </c>
      <c r="Y66" s="54">
        <f>SUM(AR:SM!Y66)</f>
        <v>0</v>
      </c>
      <c r="Z66" s="54">
        <f>SUM(AR:SM!Z66)</f>
        <v>0</v>
      </c>
      <c r="AA66" s="54">
        <f>SUM(AR:SM!AA66)</f>
        <v>0</v>
      </c>
      <c r="AB66" s="54">
        <f>SUM(AR:SM!AB66)</f>
        <v>0</v>
      </c>
      <c r="AC66" s="54">
        <f>SUM(AR:SM!AC66)</f>
        <v>0</v>
      </c>
      <c r="AD66" s="54">
        <f>SUM(AR:SM!AD66)</f>
        <v>0</v>
      </c>
      <c r="AE66" s="54">
        <f>SUM(AR:SM!AE66)</f>
        <v>0</v>
      </c>
      <c r="AF66" s="54">
        <f>SUM(AR:SM!AF66)</f>
        <v>0</v>
      </c>
      <c r="AG66" s="54">
        <f>SUM(AR:SM!AG66)</f>
        <v>0</v>
      </c>
      <c r="AH66" s="54">
        <f>SUM(AR:SM!AH66)</f>
        <v>0</v>
      </c>
      <c r="AI66" s="54">
        <f>SUM(AR:SM!AI66)</f>
        <v>0</v>
      </c>
      <c r="AJ66" s="54">
        <f>SUM(AR:SM!AJ66)</f>
        <v>0</v>
      </c>
      <c r="AK66" s="54">
        <f>SUM(AR:SM!AK66)</f>
        <v>0</v>
      </c>
      <c r="AL66" s="54">
        <f>SUM(AR:SM!AL66)</f>
        <v>0</v>
      </c>
      <c r="AM66" s="54">
        <f>SUM(AR:SM!AM66)</f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14"/>
        <v>38755637.98596666</v>
      </c>
      <c r="M67" s="1"/>
      <c r="N67" s="1"/>
      <c r="O67" s="54">
        <f>SUM(AR:SM!O67)</f>
        <v>0</v>
      </c>
      <c r="P67" s="54">
        <f>SUM(AR:SM!P67)</f>
        <v>8532156.6808671486</v>
      </c>
      <c r="Q67" s="54">
        <f>SUM(AR:SM!Q67)</f>
        <v>-450724.95441188058</v>
      </c>
      <c r="R67" s="54">
        <f>SUM(AR:SM!R67)</f>
        <v>-219410.44717083796</v>
      </c>
      <c r="S67" s="54">
        <f>SUM(AR:SM!S67)</f>
        <v>34878.421412045878</v>
      </c>
      <c r="T67" s="54">
        <f>SUM(AR:SM!T67)</f>
        <v>-415146.8897098453</v>
      </c>
      <c r="U67" s="54">
        <f>SUM(AR:SM!U67)</f>
        <v>-180298.73763148955</v>
      </c>
      <c r="V67" s="54">
        <f>SUM(AR:SM!V67)</f>
        <v>77874.740517701182</v>
      </c>
      <c r="W67" s="54">
        <f>SUM(AR:SM!W67)</f>
        <v>295246.94010723033</v>
      </c>
      <c r="X67" s="54">
        <f>SUM(AR:SM!X67)</f>
        <v>503591.51291305182</v>
      </c>
      <c r="Y67" s="54">
        <f>SUM(AR:SM!Y67)</f>
        <v>829689.57530718949</v>
      </c>
      <c r="Z67" s="54">
        <f>SUM(AR:SM!Z67)</f>
        <v>463643.98027327942</v>
      </c>
      <c r="AA67" s="54">
        <f>SUM(AR:SM!AA67)</f>
        <v>785774.41841190634</v>
      </c>
      <c r="AB67" s="54">
        <f>SUM(AR:SM!AB67)</f>
        <v>837396.54511735716</v>
      </c>
      <c r="AC67" s="54">
        <f>SUM(AR:SM!AC67)</f>
        <v>1196648.4183945938</v>
      </c>
      <c r="AD67" s="54">
        <f>SUM(AR:SM!AD67)</f>
        <v>1591581.5053053696</v>
      </c>
      <c r="AE67" s="54">
        <f>SUM(AR:SM!AE67)</f>
        <v>1234836.7191056679</v>
      </c>
      <c r="AF67" s="54">
        <f>SUM(AR:SM!AF67)</f>
        <v>1618925.4960887905</v>
      </c>
      <c r="AG67" s="54">
        <f>SUM(AR:SM!AG67)</f>
        <v>1973303.8734552953</v>
      </c>
      <c r="AH67" s="54">
        <f>SUM(AR:SM!AH67)</f>
        <v>2445375.0667282594</v>
      </c>
      <c r="AI67" s="54">
        <f>SUM(AR:SM!AI67)</f>
        <v>2964332.7882293281</v>
      </c>
      <c r="AJ67" s="54">
        <f>SUM(AR:SM!AJ67)</f>
        <v>2805335.7999331811</v>
      </c>
      <c r="AK67" s="54">
        <f>SUM(AR:SM!AK67)</f>
        <v>3360045.1396624404</v>
      </c>
      <c r="AL67" s="54">
        <f>SUM(AR:SM!AL67)</f>
        <v>3903405.4047426889</v>
      </c>
      <c r="AM67" s="54">
        <f>SUM(AR:SM!AM67)</f>
        <v>4567175.9883181816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14"/>
        <v>67639035.159281582</v>
      </c>
      <c r="M68" s="1"/>
      <c r="N68" s="1"/>
      <c r="O68" s="54">
        <f>SUM(AR:SM!O68)</f>
        <v>926562.12546961033</v>
      </c>
      <c r="P68" s="54">
        <f>SUM(AR:SM!P68)</f>
        <v>2779686.3764088335</v>
      </c>
      <c r="Q68" s="54">
        <f>SUM(AR:SM!Q68)</f>
        <v>2779686.3764088335</v>
      </c>
      <c r="R68" s="54">
        <f>SUM(AR:SM!R68)</f>
        <v>2779686.3764088335</v>
      </c>
      <c r="S68" s="54">
        <f>SUM(AR:SM!S68)</f>
        <v>2779686.3764088335</v>
      </c>
      <c r="T68" s="54">
        <f>SUM(AR:SM!T68)</f>
        <v>2779686.3764088335</v>
      </c>
      <c r="U68" s="54">
        <f>SUM(AR:SM!U68)</f>
        <v>2779686.3764088335</v>
      </c>
      <c r="V68" s="54">
        <f>SUM(AR:SM!V68)</f>
        <v>2779686.3764088335</v>
      </c>
      <c r="W68" s="54">
        <f>SUM(AR:SM!W68)</f>
        <v>2779686.3764088335</v>
      </c>
      <c r="X68" s="54">
        <f>SUM(AR:SM!X68)</f>
        <v>2779686.3764088335</v>
      </c>
      <c r="Y68" s="54">
        <f>SUM(AR:SM!Y68)</f>
        <v>2779686.3764088335</v>
      </c>
      <c r="Z68" s="54">
        <f>SUM(AR:SM!Z68)</f>
        <v>2779686.3764088335</v>
      </c>
      <c r="AA68" s="54">
        <f>SUM(AR:SM!AA68)</f>
        <v>2779686.3764088335</v>
      </c>
      <c r="AB68" s="54">
        <f>SUM(AR:SM!AB68)</f>
        <v>2779686.3764088335</v>
      </c>
      <c r="AC68" s="54">
        <f>SUM(AR:SM!AC68)</f>
        <v>2779686.3764088335</v>
      </c>
      <c r="AD68" s="54">
        <f>SUM(AR:SM!AD68)</f>
        <v>2779686.3764088335</v>
      </c>
      <c r="AE68" s="54">
        <f>SUM(AR:SM!AE68)</f>
        <v>2779686.3764088335</v>
      </c>
      <c r="AF68" s="54">
        <f>SUM(AR:SM!AF68)</f>
        <v>2779686.3764088335</v>
      </c>
      <c r="AG68" s="54">
        <f>SUM(AR:SM!AG68)</f>
        <v>2779686.3764088335</v>
      </c>
      <c r="AH68" s="54">
        <f>SUM(AR:SM!AH68)</f>
        <v>2779686.3764088335</v>
      </c>
      <c r="AI68" s="54">
        <f>SUM(AR:SM!AI68)</f>
        <v>2779686.3764088335</v>
      </c>
      <c r="AJ68" s="54">
        <f>SUM(AR:SM!AJ68)</f>
        <v>2779686.3764088335</v>
      </c>
      <c r="AK68" s="54">
        <f>SUM(AR:SM!AK68)</f>
        <v>2779686.3764088335</v>
      </c>
      <c r="AL68" s="54">
        <f>SUM(AR:SM!AL68)</f>
        <v>2779686.3764088335</v>
      </c>
      <c r="AM68" s="54">
        <f>SUM(AR:SM!AM68)</f>
        <v>2779686.3764088335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53280907.252926491</v>
      </c>
      <c r="M69" s="1"/>
      <c r="N69" s="1"/>
      <c r="O69" s="67">
        <f>SUM(AR:SM!O69)</f>
        <v>-15849911.349130835</v>
      </c>
      <c r="P69" s="67">
        <f>SUM(AR:SM!P69)</f>
        <v>-4538068.2918548528</v>
      </c>
      <c r="Q69" s="67">
        <f>SUM(AR:SM!Q69)</f>
        <v>-2209106.8698578998</v>
      </c>
      <c r="R69" s="67">
        <f>SUM(AR:SM!R69)</f>
        <v>351169.05938009603</v>
      </c>
      <c r="S69" s="67">
        <f>SUM(AR:SM!S69)</f>
        <v>-4179854.9607990235</v>
      </c>
      <c r="T69" s="67">
        <f>SUM(AR:SM!T69)</f>
        <v>-1815315.4741000361</v>
      </c>
      <c r="U69" s="67">
        <f>SUM(AR:SM!U69)</f>
        <v>784072.16467730794</v>
      </c>
      <c r="V69" s="67">
        <f>SUM(AR:SM!V69)</f>
        <v>2972657.1916038422</v>
      </c>
      <c r="W69" s="67">
        <f>SUM(AR:SM!W69)</f>
        <v>5070348.6781199072</v>
      </c>
      <c r="X69" s="67">
        <f>SUM(AR:SM!X69)</f>
        <v>8353626.5674417932</v>
      </c>
      <c r="Y69" s="67">
        <f>SUM(AR:SM!Y69)</f>
        <v>4668141.9011578169</v>
      </c>
      <c r="Z69" s="67">
        <f>SUM(AR:SM!Z69)</f>
        <v>7911472.2578399293</v>
      </c>
      <c r="AA69" s="67">
        <f>SUM(AR:SM!AA69)</f>
        <v>8431223.2369393595</v>
      </c>
      <c r="AB69" s="67">
        <f>SUM(AR:SM!AB69)</f>
        <v>12048306.158465549</v>
      </c>
      <c r="AC69" s="67">
        <f>SUM(AR:SM!AC69)</f>
        <v>16024640.953268979</v>
      </c>
      <c r="AD69" s="67">
        <f>SUM(AR:SM!AD69)</f>
        <v>12432800.326983184</v>
      </c>
      <c r="AE69" s="67">
        <f>SUM(AR:SM!AE69)</f>
        <v>16299950.532497687</v>
      </c>
      <c r="AF69" s="67">
        <f>SUM(AR:SM!AF69)</f>
        <v>19867965.26499531</v>
      </c>
      <c r="AG69" s="67">
        <f>SUM(AR:SM!AG69)</f>
        <v>24620955.514859438</v>
      </c>
      <c r="AH69" s="67">
        <f>SUM(AR:SM!AH69)</f>
        <v>29846016.957996536</v>
      </c>
      <c r="AI69" s="67">
        <f>SUM(AR:SM!AI69)</f>
        <v>28245175.504634693</v>
      </c>
      <c r="AJ69" s="67">
        <f>SUM(AR:SM!AJ69)</f>
        <v>33830197.680976711</v>
      </c>
      <c r="AK69" s="67">
        <f>SUM(AR:SM!AK69)</f>
        <v>39300953.107047983</v>
      </c>
      <c r="AL69" s="67">
        <f>SUM(AR:SM!AL69)</f>
        <v>45984044.888199501</v>
      </c>
      <c r="AM69" s="67">
        <f>SUM(AR:SM!AM69)</f>
        <v>53280907.252926521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106394673.14524826</v>
      </c>
      <c r="M70" s="1"/>
      <c r="N70" s="1"/>
      <c r="O70" s="69">
        <f>SUM(AR:SM!O70)</f>
        <v>926562.12546961033</v>
      </c>
      <c r="P70" s="69">
        <f>SUM(AR:SM!P70)</f>
        <v>11311843.057275983</v>
      </c>
      <c r="Q70" s="69">
        <f>SUM(AR:SM!Q70)</f>
        <v>2328961.421996953</v>
      </c>
      <c r="R70" s="69">
        <f>SUM(AR:SM!R70)</f>
        <v>2560275.9292379958</v>
      </c>
      <c r="S70" s="69">
        <f>SUM(AR:SM!S70)</f>
        <v>2814564.7978208791</v>
      </c>
      <c r="T70" s="69">
        <f>SUM(AR:SM!T70)</f>
        <v>2364539.4866989884</v>
      </c>
      <c r="U70" s="69">
        <f>SUM(AR:SM!U70)</f>
        <v>2599387.638777344</v>
      </c>
      <c r="V70" s="69">
        <f>SUM(AR:SM!V70)</f>
        <v>2857561.116926535</v>
      </c>
      <c r="W70" s="69">
        <f>SUM(AR:SM!W70)</f>
        <v>3074933.3165160641</v>
      </c>
      <c r="X70" s="69">
        <f>SUM(AR:SM!X70)</f>
        <v>3283277.8893218851</v>
      </c>
      <c r="Y70" s="69">
        <f>SUM(AR:SM!Y70)</f>
        <v>3609375.9517160235</v>
      </c>
      <c r="Z70" s="69">
        <f>SUM(AR:SM!Z70)</f>
        <v>3243330.3566821129</v>
      </c>
      <c r="AA70" s="69">
        <f>SUM(AR:SM!AA70)</f>
        <v>3565460.7948207399</v>
      </c>
      <c r="AB70" s="69">
        <f>SUM(AR:SM!AB70)</f>
        <v>3617082.9215261904</v>
      </c>
      <c r="AC70" s="69">
        <f>SUM(AR:SM!AC70)</f>
        <v>3976334.7948034271</v>
      </c>
      <c r="AD70" s="69">
        <f>SUM(AR:SM!AD70)</f>
        <v>4371267.8817142034</v>
      </c>
      <c r="AE70" s="69">
        <f>SUM(AR:SM!AE70)</f>
        <v>4014523.0955145014</v>
      </c>
      <c r="AF70" s="69">
        <f>SUM(AR:SM!AF70)</f>
        <v>4398611.8724976247</v>
      </c>
      <c r="AG70" s="69">
        <f>SUM(AR:SM!AG70)</f>
        <v>4752990.2498641293</v>
      </c>
      <c r="AH70" s="69">
        <f>SUM(AR:SM!AH70)</f>
        <v>5225061.4431370925</v>
      </c>
      <c r="AI70" s="69">
        <f>SUM(AR:SM!AI70)</f>
        <v>5744019.1646381607</v>
      </c>
      <c r="AJ70" s="69">
        <f>SUM(AR:SM!AJ70)</f>
        <v>5585022.1763420142</v>
      </c>
      <c r="AK70" s="69">
        <f>SUM(AR:SM!AK70)</f>
        <v>6139731.5160712739</v>
      </c>
      <c r="AL70" s="69">
        <f>SUM(AR:SM!AL70)</f>
        <v>6683091.781151522</v>
      </c>
      <c r="AM70" s="69">
        <f>SUM(AR:SM!AM70)</f>
        <v>7346862.3647270147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f>SUM(AR:SM!G75)</f>
        <v>711013.05673892912</v>
      </c>
      <c r="H75" s="71">
        <v>0</v>
      </c>
      <c r="I75" s="174">
        <f>G75*(1+H75)</f>
        <v>711013.05673892912</v>
      </c>
      <c r="J75" s="232">
        <f>I75*12</f>
        <v>8532156.6808671504</v>
      </c>
      <c r="K75" s="61"/>
      <c r="L75" s="232">
        <f t="shared" ref="L75:L78" si="15">SUM(O75:AV75)</f>
        <v>207615812.5677672</v>
      </c>
      <c r="M75" s="1"/>
      <c r="N75" s="1"/>
      <c r="O75" s="222">
        <f>SUM(AR:SM!O75)</f>
        <v>2844052.2269557137</v>
      </c>
      <c r="P75" s="222">
        <f>SUM(AR:SM!P75)</f>
        <v>8532156.6808671486</v>
      </c>
      <c r="Q75" s="222">
        <f>SUM(AR:SM!Q75)</f>
        <v>8532156.6808671486</v>
      </c>
      <c r="R75" s="222">
        <f>SUM(AR:SM!R75)</f>
        <v>8532156.6808671486</v>
      </c>
      <c r="S75" s="222">
        <f>SUM(AR:SM!S75)</f>
        <v>8532156.6808671486</v>
      </c>
      <c r="T75" s="222">
        <f>SUM(AR:SM!T75)</f>
        <v>8532156.6808671486</v>
      </c>
      <c r="U75" s="222">
        <f>SUM(AR:SM!U75)</f>
        <v>8532156.6808671486</v>
      </c>
      <c r="V75" s="222">
        <f>SUM(AR:SM!V75)</f>
        <v>8532156.6808671486</v>
      </c>
      <c r="W75" s="222">
        <f>SUM(AR:SM!W75)</f>
        <v>8532156.6808671486</v>
      </c>
      <c r="X75" s="222">
        <f>SUM(AR:SM!X75)</f>
        <v>8532156.6808671486</v>
      </c>
      <c r="Y75" s="222">
        <f>SUM(AR:SM!Y75)</f>
        <v>8532156.6808671486</v>
      </c>
      <c r="Z75" s="222">
        <f>SUM(AR:SM!Z75)</f>
        <v>8532156.6808671486</v>
      </c>
      <c r="AA75" s="222">
        <f>SUM(AR:SM!AA75)</f>
        <v>8532156.6808671486</v>
      </c>
      <c r="AB75" s="222">
        <f>SUM(AR:SM!AB75)</f>
        <v>8532156.6808671486</v>
      </c>
      <c r="AC75" s="222">
        <f>SUM(AR:SM!AC75)</f>
        <v>8532156.6808671486</v>
      </c>
      <c r="AD75" s="222">
        <f>SUM(AR:SM!AD75)</f>
        <v>8532156.6808671486</v>
      </c>
      <c r="AE75" s="222">
        <f>SUM(AR:SM!AE75)</f>
        <v>8532156.6808671486</v>
      </c>
      <c r="AF75" s="222">
        <f>SUM(AR:SM!AF75)</f>
        <v>8532156.6808671486</v>
      </c>
      <c r="AG75" s="222">
        <f>SUM(AR:SM!AG75)</f>
        <v>8532156.6808671486</v>
      </c>
      <c r="AH75" s="222">
        <f>SUM(AR:SM!AH75)</f>
        <v>8532156.6808671486</v>
      </c>
      <c r="AI75" s="222">
        <f>SUM(AR:SM!AI75)</f>
        <v>8532156.6808671486</v>
      </c>
      <c r="AJ75" s="222">
        <f>SUM(AR:SM!AJ75)</f>
        <v>8532156.6808671486</v>
      </c>
      <c r="AK75" s="222">
        <f>SUM(AR:SM!AK75)</f>
        <v>8532156.6808671486</v>
      </c>
      <c r="AL75" s="222">
        <f>SUM(AR:SM!AL75)</f>
        <v>8532156.6808671486</v>
      </c>
      <c r="AM75" s="222">
        <f>SUM(AR:SM!AM75)</f>
        <v>8532156.6808671486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711013.05673892912</v>
      </c>
      <c r="J76" s="51"/>
      <c r="K76" s="51"/>
      <c r="L76" s="227">
        <f t="shared" si="15"/>
        <v>207615812.5677672</v>
      </c>
      <c r="M76" s="1"/>
      <c r="N76" s="1"/>
      <c r="O76" s="52">
        <f>SUM(AR:SM!O76)</f>
        <v>2844052.2269557137</v>
      </c>
      <c r="P76" s="52">
        <f>SUM(AR:SM!P76)</f>
        <v>8532156.6808671486</v>
      </c>
      <c r="Q76" s="52">
        <f>SUM(AR:SM!Q76)</f>
        <v>8532156.6808671486</v>
      </c>
      <c r="R76" s="52">
        <f>SUM(AR:SM!R76)</f>
        <v>8532156.6808671486</v>
      </c>
      <c r="S76" s="52">
        <f>SUM(AR:SM!S76)</f>
        <v>8532156.6808671486</v>
      </c>
      <c r="T76" s="52">
        <f>SUM(AR:SM!T76)</f>
        <v>8532156.6808671486</v>
      </c>
      <c r="U76" s="52">
        <f>SUM(AR:SM!U76)</f>
        <v>8532156.6808671486</v>
      </c>
      <c r="V76" s="52">
        <f>SUM(AR:SM!V76)</f>
        <v>8532156.6808671486</v>
      </c>
      <c r="W76" s="52">
        <f>SUM(AR:SM!W76)</f>
        <v>8532156.6808671486</v>
      </c>
      <c r="X76" s="52">
        <f>SUM(AR:SM!X76)</f>
        <v>8532156.6808671486</v>
      </c>
      <c r="Y76" s="52">
        <f>SUM(AR:SM!Y76)</f>
        <v>8532156.6808671486</v>
      </c>
      <c r="Z76" s="52">
        <f>SUM(AR:SM!Z76)</f>
        <v>8532156.6808671486</v>
      </c>
      <c r="AA76" s="52">
        <f>SUM(AR:SM!AA76)</f>
        <v>8532156.6808671486</v>
      </c>
      <c r="AB76" s="52">
        <f>SUM(AR:SM!AB76)</f>
        <v>8532156.6808671486</v>
      </c>
      <c r="AC76" s="52">
        <f>SUM(AR:SM!AC76)</f>
        <v>8532156.6808671486</v>
      </c>
      <c r="AD76" s="52">
        <f>SUM(AR:SM!AD76)</f>
        <v>8532156.6808671486</v>
      </c>
      <c r="AE76" s="52">
        <f>SUM(AR:SM!AE76)</f>
        <v>8532156.6808671486</v>
      </c>
      <c r="AF76" s="52">
        <f>SUM(AR:SM!AF76)</f>
        <v>8532156.6808671486</v>
      </c>
      <c r="AG76" s="52">
        <f>SUM(AR:SM!AG76)</f>
        <v>8532156.6808671486</v>
      </c>
      <c r="AH76" s="52">
        <f>SUM(AR:SM!AH76)</f>
        <v>8532156.6808671486</v>
      </c>
      <c r="AI76" s="52">
        <f>SUM(AR:SM!AI76)</f>
        <v>8532156.6808671486</v>
      </c>
      <c r="AJ76" s="52">
        <f>SUM(AR:SM!AJ76)</f>
        <v>8532156.6808671486</v>
      </c>
      <c r="AK76" s="52">
        <f>SUM(AR:SM!AK76)</f>
        <v>8532156.6808671486</v>
      </c>
      <c r="AL76" s="52">
        <f>SUM(AR:SM!AL76)</f>
        <v>8532156.6808671486</v>
      </c>
      <c r="AM76" s="52">
        <f>SUM(AR:SM!AM76)</f>
        <v>8532156.6808671486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517"/>
      <c r="L77" s="75">
        <f t="shared" si="15"/>
        <v>24.333333333333332</v>
      </c>
      <c r="M77" s="1"/>
      <c r="N77" s="1"/>
      <c r="O77" s="75">
        <f t="shared" ref="O77:AM77" si="16">SUM(O78)</f>
        <v>0.33333333333333298</v>
      </c>
      <c r="P77" s="75">
        <f t="shared" si="16"/>
        <v>1</v>
      </c>
      <c r="Q77" s="75">
        <f t="shared" si="16"/>
        <v>1</v>
      </c>
      <c r="R77" s="75">
        <f t="shared" si="16"/>
        <v>1</v>
      </c>
      <c r="S77" s="75">
        <f t="shared" si="16"/>
        <v>1</v>
      </c>
      <c r="T77" s="75">
        <f t="shared" si="16"/>
        <v>1</v>
      </c>
      <c r="U77" s="75">
        <f t="shared" si="16"/>
        <v>1</v>
      </c>
      <c r="V77" s="75">
        <f t="shared" si="16"/>
        <v>1</v>
      </c>
      <c r="W77" s="75">
        <f t="shared" si="16"/>
        <v>1</v>
      </c>
      <c r="X77" s="75">
        <f t="shared" si="16"/>
        <v>1</v>
      </c>
      <c r="Y77" s="75">
        <f t="shared" si="16"/>
        <v>1</v>
      </c>
      <c r="Z77" s="75">
        <f t="shared" si="16"/>
        <v>1</v>
      </c>
      <c r="AA77" s="75">
        <f t="shared" si="16"/>
        <v>1</v>
      </c>
      <c r="AB77" s="75">
        <f t="shared" si="16"/>
        <v>1</v>
      </c>
      <c r="AC77" s="75">
        <f t="shared" si="16"/>
        <v>1</v>
      </c>
      <c r="AD77" s="75">
        <f t="shared" si="16"/>
        <v>1</v>
      </c>
      <c r="AE77" s="75">
        <f t="shared" si="16"/>
        <v>1</v>
      </c>
      <c r="AF77" s="75">
        <f t="shared" si="16"/>
        <v>1</v>
      </c>
      <c r="AG77" s="75">
        <f t="shared" si="16"/>
        <v>1</v>
      </c>
      <c r="AH77" s="75">
        <f t="shared" si="16"/>
        <v>1</v>
      </c>
      <c r="AI77" s="75">
        <f t="shared" si="16"/>
        <v>1</v>
      </c>
      <c r="AJ77" s="75">
        <f t="shared" si="16"/>
        <v>1</v>
      </c>
      <c r="AK77" s="75">
        <f t="shared" si="16"/>
        <v>1</v>
      </c>
      <c r="AL77" s="75">
        <f t="shared" si="16"/>
        <v>1</v>
      </c>
      <c r="AM77" s="75">
        <f t="shared" si="16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15"/>
        <v>24.333333333333332</v>
      </c>
      <c r="M78" s="1"/>
      <c r="N78" s="1"/>
      <c r="O78" s="170">
        <v>0.33333333333333298</v>
      </c>
      <c r="P78" s="78">
        <f t="shared" ref="P78:AM78" si="17">IF(AND( $G78&lt;=P$3,P$3&lt;=$H78),1,0)</f>
        <v>1</v>
      </c>
      <c r="Q78" s="78">
        <f t="shared" si="17"/>
        <v>1</v>
      </c>
      <c r="R78" s="78">
        <f t="shared" si="17"/>
        <v>1</v>
      </c>
      <c r="S78" s="78">
        <f t="shared" si="17"/>
        <v>1</v>
      </c>
      <c r="T78" s="78">
        <f t="shared" si="17"/>
        <v>1</v>
      </c>
      <c r="U78" s="78">
        <f t="shared" si="17"/>
        <v>1</v>
      </c>
      <c r="V78" s="78">
        <f t="shared" si="17"/>
        <v>1</v>
      </c>
      <c r="W78" s="78">
        <f t="shared" si="17"/>
        <v>1</v>
      </c>
      <c r="X78" s="78">
        <f t="shared" si="17"/>
        <v>1</v>
      </c>
      <c r="Y78" s="78">
        <f t="shared" si="17"/>
        <v>1</v>
      </c>
      <c r="Z78" s="78">
        <f t="shared" si="17"/>
        <v>1</v>
      </c>
      <c r="AA78" s="78">
        <f t="shared" si="17"/>
        <v>1</v>
      </c>
      <c r="AB78" s="78">
        <f t="shared" si="17"/>
        <v>1</v>
      </c>
      <c r="AC78" s="78">
        <f t="shared" si="17"/>
        <v>1</v>
      </c>
      <c r="AD78" s="78">
        <f t="shared" si="17"/>
        <v>1</v>
      </c>
      <c r="AE78" s="78">
        <f t="shared" si="17"/>
        <v>1</v>
      </c>
      <c r="AF78" s="78">
        <f t="shared" si="17"/>
        <v>1</v>
      </c>
      <c r="AG78" s="78">
        <f t="shared" si="17"/>
        <v>1</v>
      </c>
      <c r="AH78" s="78">
        <f t="shared" si="17"/>
        <v>1</v>
      </c>
      <c r="AI78" s="78">
        <f t="shared" si="17"/>
        <v>1</v>
      </c>
      <c r="AJ78" s="78">
        <f t="shared" si="17"/>
        <v>1</v>
      </c>
      <c r="AK78" s="78">
        <f t="shared" si="17"/>
        <v>1</v>
      </c>
      <c r="AL78" s="78">
        <f t="shared" si="17"/>
        <v>1</v>
      </c>
      <c r="AM78" s="78">
        <f t="shared" si="17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18">O$3</f>
        <v>1</v>
      </c>
      <c r="P82" s="80">
        <f t="shared" si="18"/>
        <v>2</v>
      </c>
      <c r="Q82" s="80">
        <f t="shared" si="18"/>
        <v>3</v>
      </c>
      <c r="R82" s="80">
        <f t="shared" si="18"/>
        <v>4</v>
      </c>
      <c r="S82" s="80">
        <f t="shared" si="18"/>
        <v>5</v>
      </c>
      <c r="T82" s="80">
        <f t="shared" si="18"/>
        <v>6</v>
      </c>
      <c r="U82" s="80">
        <f t="shared" si="18"/>
        <v>7</v>
      </c>
      <c r="V82" s="80">
        <f t="shared" si="18"/>
        <v>8</v>
      </c>
      <c r="W82" s="80">
        <f t="shared" si="18"/>
        <v>9</v>
      </c>
      <c r="X82" s="80">
        <f t="shared" si="18"/>
        <v>10</v>
      </c>
      <c r="Y82" s="80">
        <f t="shared" si="18"/>
        <v>11</v>
      </c>
      <c r="Z82" s="80">
        <f t="shared" si="18"/>
        <v>12</v>
      </c>
      <c r="AA82" s="80">
        <f t="shared" si="18"/>
        <v>13</v>
      </c>
      <c r="AB82" s="80">
        <f t="shared" si="18"/>
        <v>14</v>
      </c>
      <c r="AC82" s="80">
        <f t="shared" si="18"/>
        <v>15</v>
      </c>
      <c r="AD82" s="80">
        <f t="shared" si="18"/>
        <v>16</v>
      </c>
      <c r="AE82" s="80">
        <f t="shared" si="18"/>
        <v>17</v>
      </c>
      <c r="AF82" s="80">
        <f t="shared" si="18"/>
        <v>18</v>
      </c>
      <c r="AG82" s="80">
        <f t="shared" si="18"/>
        <v>19</v>
      </c>
      <c r="AH82" s="80">
        <f t="shared" si="18"/>
        <v>20</v>
      </c>
      <c r="AI82" s="80">
        <f t="shared" si="18"/>
        <v>21</v>
      </c>
      <c r="AJ82" s="80">
        <f t="shared" si="18"/>
        <v>22</v>
      </c>
      <c r="AK82" s="80">
        <f t="shared" si="18"/>
        <v>23</v>
      </c>
      <c r="AL82" s="80">
        <f t="shared" si="18"/>
        <v>24</v>
      </c>
      <c r="AM82" s="80">
        <f t="shared" si="18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19">O$2</f>
        <v>46023</v>
      </c>
      <c r="P83" s="84">
        <f t="shared" si="19"/>
        <v>46388</v>
      </c>
      <c r="Q83" s="84">
        <f t="shared" si="19"/>
        <v>46753</v>
      </c>
      <c r="R83" s="84">
        <f t="shared" si="19"/>
        <v>47119</v>
      </c>
      <c r="S83" s="84">
        <f t="shared" si="19"/>
        <v>47484</v>
      </c>
      <c r="T83" s="84">
        <f t="shared" si="19"/>
        <v>47849</v>
      </c>
      <c r="U83" s="84">
        <f t="shared" si="19"/>
        <v>48214</v>
      </c>
      <c r="V83" s="84">
        <f t="shared" si="19"/>
        <v>48580</v>
      </c>
      <c r="W83" s="84">
        <f t="shared" si="19"/>
        <v>48945</v>
      </c>
      <c r="X83" s="84">
        <f t="shared" si="19"/>
        <v>49310</v>
      </c>
      <c r="Y83" s="84">
        <f t="shared" si="19"/>
        <v>49675</v>
      </c>
      <c r="Z83" s="84">
        <f t="shared" si="19"/>
        <v>50041</v>
      </c>
      <c r="AA83" s="84">
        <f t="shared" si="19"/>
        <v>50406</v>
      </c>
      <c r="AB83" s="84">
        <f t="shared" si="19"/>
        <v>50771</v>
      </c>
      <c r="AC83" s="84">
        <f t="shared" si="19"/>
        <v>51136</v>
      </c>
      <c r="AD83" s="84">
        <f t="shared" si="19"/>
        <v>51502</v>
      </c>
      <c r="AE83" s="84">
        <f t="shared" si="19"/>
        <v>51867</v>
      </c>
      <c r="AF83" s="84">
        <f t="shared" si="19"/>
        <v>52232</v>
      </c>
      <c r="AG83" s="84">
        <f t="shared" si="19"/>
        <v>52597</v>
      </c>
      <c r="AH83" s="84">
        <f t="shared" si="19"/>
        <v>52963</v>
      </c>
      <c r="AI83" s="84">
        <f t="shared" si="19"/>
        <v>53328</v>
      </c>
      <c r="AJ83" s="84">
        <f t="shared" si="19"/>
        <v>53693</v>
      </c>
      <c r="AK83" s="84">
        <f t="shared" si="19"/>
        <v>54058</v>
      </c>
      <c r="AL83" s="84">
        <f t="shared" si="19"/>
        <v>54424</v>
      </c>
      <c r="AM83" s="84">
        <f t="shared" si="19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20">S84</f>
        <v>3.5000000000000003E-2</v>
      </c>
      <c r="U84" s="85">
        <f t="shared" si="20"/>
        <v>3.5000000000000003E-2</v>
      </c>
      <c r="V84" s="85">
        <f t="shared" si="20"/>
        <v>3.5000000000000003E-2</v>
      </c>
      <c r="W84" s="85">
        <f t="shared" si="20"/>
        <v>3.5000000000000003E-2</v>
      </c>
      <c r="X84" s="85">
        <f t="shared" si="20"/>
        <v>3.5000000000000003E-2</v>
      </c>
      <c r="Y84" s="85">
        <f t="shared" si="20"/>
        <v>3.5000000000000003E-2</v>
      </c>
      <c r="Z84" s="85">
        <f t="shared" si="20"/>
        <v>3.5000000000000003E-2</v>
      </c>
      <c r="AA84" s="85">
        <f t="shared" si="20"/>
        <v>3.5000000000000003E-2</v>
      </c>
      <c r="AB84" s="85">
        <f t="shared" si="20"/>
        <v>3.5000000000000003E-2</v>
      </c>
      <c r="AC84" s="85">
        <f t="shared" si="20"/>
        <v>3.5000000000000003E-2</v>
      </c>
      <c r="AD84" s="85">
        <f t="shared" si="20"/>
        <v>3.5000000000000003E-2</v>
      </c>
      <c r="AE84" s="85">
        <f t="shared" si="20"/>
        <v>3.5000000000000003E-2</v>
      </c>
      <c r="AF84" s="85">
        <f t="shared" si="20"/>
        <v>3.5000000000000003E-2</v>
      </c>
      <c r="AG84" s="85">
        <f t="shared" si="20"/>
        <v>3.5000000000000003E-2</v>
      </c>
      <c r="AH84" s="85">
        <f t="shared" si="20"/>
        <v>3.5000000000000003E-2</v>
      </c>
      <c r="AI84" s="85">
        <f t="shared" si="20"/>
        <v>3.5000000000000003E-2</v>
      </c>
      <c r="AJ84" s="85">
        <f t="shared" si="20"/>
        <v>3.5000000000000003E-2</v>
      </c>
      <c r="AK84" s="85">
        <f t="shared" si="20"/>
        <v>3.5000000000000003E-2</v>
      </c>
      <c r="AL84" s="85">
        <f t="shared" si="20"/>
        <v>3.5000000000000003E-2</v>
      </c>
      <c r="AM84" s="85">
        <f t="shared" si="20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21">O85*(1+O84)</f>
        <v>1.0390999999999999</v>
      </c>
      <c r="Q85" s="88">
        <f t="shared" si="21"/>
        <v>1.0784818899999999</v>
      </c>
      <c r="R85" s="88">
        <f t="shared" si="21"/>
        <v>1.1162287561499999</v>
      </c>
      <c r="S85" s="88">
        <f t="shared" si="21"/>
        <v>1.1552967626152499</v>
      </c>
      <c r="T85" s="88">
        <f t="shared" si="21"/>
        <v>1.1957321493067836</v>
      </c>
      <c r="U85" s="88">
        <f t="shared" si="21"/>
        <v>1.237582774532521</v>
      </c>
      <c r="V85" s="88">
        <f t="shared" si="21"/>
        <v>1.2808981716411592</v>
      </c>
      <c r="W85" s="88">
        <f t="shared" si="21"/>
        <v>1.3257296076485996</v>
      </c>
      <c r="X85" s="88">
        <f t="shared" si="21"/>
        <v>1.3721301439163005</v>
      </c>
      <c r="Y85" s="88">
        <f t="shared" si="21"/>
        <v>1.4201546989533709</v>
      </c>
      <c r="Z85" s="88">
        <f t="shared" si="21"/>
        <v>1.4698601134167388</v>
      </c>
      <c r="AA85" s="88">
        <f t="shared" si="21"/>
        <v>1.5213052173863246</v>
      </c>
      <c r="AB85" s="88">
        <f t="shared" si="21"/>
        <v>1.5745508999948459</v>
      </c>
      <c r="AC85" s="88">
        <f t="shared" si="21"/>
        <v>1.6296601814946654</v>
      </c>
      <c r="AD85" s="88">
        <f t="shared" si="21"/>
        <v>1.6866982878469785</v>
      </c>
      <c r="AE85" s="88">
        <f t="shared" si="21"/>
        <v>1.7457327279216226</v>
      </c>
      <c r="AF85" s="88">
        <f t="shared" si="21"/>
        <v>1.8068333733988793</v>
      </c>
      <c r="AG85" s="88">
        <f t="shared" si="21"/>
        <v>1.8700725414678399</v>
      </c>
      <c r="AH85" s="88">
        <f t="shared" si="21"/>
        <v>1.9355250804192141</v>
      </c>
      <c r="AI85" s="88">
        <f t="shared" si="21"/>
        <v>2.0032684582338867</v>
      </c>
      <c r="AJ85" s="88">
        <f t="shared" si="21"/>
        <v>2.0733828542720727</v>
      </c>
      <c r="AK85" s="88">
        <f t="shared" si="21"/>
        <v>2.145951254171595</v>
      </c>
      <c r="AL85" s="88">
        <f t="shared" si="21"/>
        <v>2.2210595480676005</v>
      </c>
      <c r="AM85" s="88">
        <f t="shared" si="21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22">R86</f>
        <v>0.05</v>
      </c>
      <c r="T86" s="85">
        <f t="shared" si="22"/>
        <v>0.05</v>
      </c>
      <c r="U86" s="85">
        <f t="shared" si="22"/>
        <v>0.05</v>
      </c>
      <c r="V86" s="85">
        <f t="shared" si="22"/>
        <v>0.05</v>
      </c>
      <c r="W86" s="85">
        <f t="shared" si="22"/>
        <v>0.05</v>
      </c>
      <c r="X86" s="85">
        <f t="shared" si="22"/>
        <v>0.05</v>
      </c>
      <c r="Y86" s="85">
        <f t="shared" si="22"/>
        <v>0.05</v>
      </c>
      <c r="Z86" s="85">
        <f t="shared" si="22"/>
        <v>0.05</v>
      </c>
      <c r="AA86" s="85">
        <f t="shared" si="22"/>
        <v>0.05</v>
      </c>
      <c r="AB86" s="85">
        <f t="shared" si="22"/>
        <v>0.05</v>
      </c>
      <c r="AC86" s="85">
        <f t="shared" si="22"/>
        <v>0.05</v>
      </c>
      <c r="AD86" s="85">
        <f t="shared" si="22"/>
        <v>0.05</v>
      </c>
      <c r="AE86" s="85">
        <f t="shared" si="22"/>
        <v>0.05</v>
      </c>
      <c r="AF86" s="85">
        <f t="shared" si="22"/>
        <v>0.05</v>
      </c>
      <c r="AG86" s="85">
        <f t="shared" si="22"/>
        <v>0.05</v>
      </c>
      <c r="AH86" s="85">
        <f t="shared" si="22"/>
        <v>0.05</v>
      </c>
      <c r="AI86" s="85">
        <f t="shared" si="22"/>
        <v>0.05</v>
      </c>
      <c r="AJ86" s="85">
        <f t="shared" si="22"/>
        <v>0.05</v>
      </c>
      <c r="AK86" s="85">
        <f t="shared" si="22"/>
        <v>0.05</v>
      </c>
      <c r="AL86" s="85">
        <f t="shared" si="22"/>
        <v>0.05</v>
      </c>
      <c r="AM86" s="85">
        <f t="shared" si="22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23">O87*(1+O86)</f>
        <v>1.0583</v>
      </c>
      <c r="Q87" s="88">
        <f t="shared" si="23"/>
        <v>1.1090984000000002</v>
      </c>
      <c r="R87" s="88">
        <f t="shared" si="23"/>
        <v>1.1566787213600001</v>
      </c>
      <c r="S87" s="88">
        <f t="shared" si="23"/>
        <v>1.2145126574280001</v>
      </c>
      <c r="T87" s="88">
        <f t="shared" si="23"/>
        <v>1.2752382902994002</v>
      </c>
      <c r="U87" s="88">
        <f t="shared" si="23"/>
        <v>1.3390002048143703</v>
      </c>
      <c r="V87" s="88">
        <f t="shared" si="23"/>
        <v>1.4059502150550889</v>
      </c>
      <c r="W87" s="88">
        <f t="shared" si="23"/>
        <v>1.4762477258078435</v>
      </c>
      <c r="X87" s="88">
        <f t="shared" si="23"/>
        <v>1.5500601120982358</v>
      </c>
      <c r="Y87" s="88">
        <f t="shared" si="23"/>
        <v>1.6275631177031478</v>
      </c>
      <c r="Z87" s="88">
        <f t="shared" si="23"/>
        <v>1.7089412735883052</v>
      </c>
      <c r="AA87" s="88">
        <f t="shared" si="23"/>
        <v>1.7943883372677205</v>
      </c>
      <c r="AB87" s="88">
        <f t="shared" si="23"/>
        <v>1.8841077541311066</v>
      </c>
      <c r="AC87" s="88">
        <f t="shared" si="23"/>
        <v>1.978313141837662</v>
      </c>
      <c r="AD87" s="88">
        <f t="shared" si="23"/>
        <v>2.077228798929545</v>
      </c>
      <c r="AE87" s="88">
        <f t="shared" si="23"/>
        <v>2.1810902388760223</v>
      </c>
      <c r="AF87" s="88">
        <f t="shared" si="23"/>
        <v>2.2901447508198234</v>
      </c>
      <c r="AG87" s="88">
        <f t="shared" si="23"/>
        <v>2.4046519883608148</v>
      </c>
      <c r="AH87" s="88">
        <f t="shared" si="23"/>
        <v>2.5248845877788555</v>
      </c>
      <c r="AI87" s="88">
        <f t="shared" si="23"/>
        <v>2.6511288171677982</v>
      </c>
      <c r="AJ87" s="88">
        <f t="shared" si="23"/>
        <v>2.7836852580261882</v>
      </c>
      <c r="AK87" s="88">
        <f t="shared" si="23"/>
        <v>2.9228695209274975</v>
      </c>
      <c r="AL87" s="88">
        <f t="shared" si="23"/>
        <v>3.0690129969738726</v>
      </c>
      <c r="AM87" s="88">
        <f t="shared" si="23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24">R88</f>
        <v>3.73E-2</v>
      </c>
      <c r="T88" s="85">
        <f t="shared" si="24"/>
        <v>3.73E-2</v>
      </c>
      <c r="U88" s="85">
        <f t="shared" si="24"/>
        <v>3.73E-2</v>
      </c>
      <c r="V88" s="85">
        <f t="shared" si="24"/>
        <v>3.73E-2</v>
      </c>
      <c r="W88" s="85">
        <f t="shared" si="24"/>
        <v>3.73E-2</v>
      </c>
      <c r="X88" s="85">
        <f t="shared" si="24"/>
        <v>3.73E-2</v>
      </c>
      <c r="Y88" s="85">
        <f t="shared" si="24"/>
        <v>3.73E-2</v>
      </c>
      <c r="Z88" s="85">
        <f t="shared" si="24"/>
        <v>3.73E-2</v>
      </c>
      <c r="AA88" s="85">
        <f t="shared" si="24"/>
        <v>3.73E-2</v>
      </c>
      <c r="AB88" s="85">
        <f t="shared" si="24"/>
        <v>3.73E-2</v>
      </c>
      <c r="AC88" s="85">
        <f t="shared" si="24"/>
        <v>3.73E-2</v>
      </c>
      <c r="AD88" s="85">
        <f t="shared" si="24"/>
        <v>3.73E-2</v>
      </c>
      <c r="AE88" s="85">
        <f t="shared" si="24"/>
        <v>3.73E-2</v>
      </c>
      <c r="AF88" s="85">
        <f t="shared" si="24"/>
        <v>3.73E-2</v>
      </c>
      <c r="AG88" s="85">
        <f t="shared" si="24"/>
        <v>3.73E-2</v>
      </c>
      <c r="AH88" s="85">
        <f t="shared" si="24"/>
        <v>3.73E-2</v>
      </c>
      <c r="AI88" s="85">
        <f t="shared" si="24"/>
        <v>3.73E-2</v>
      </c>
      <c r="AJ88" s="85">
        <f t="shared" si="24"/>
        <v>3.73E-2</v>
      </c>
      <c r="AK88" s="85">
        <f t="shared" si="24"/>
        <v>3.73E-2</v>
      </c>
      <c r="AL88" s="85">
        <f t="shared" si="24"/>
        <v>3.73E-2</v>
      </c>
      <c r="AM88" s="85">
        <f t="shared" si="24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25">O89*(1+O88)</f>
        <v>1.0318000000000001</v>
      </c>
      <c r="Q89" s="88">
        <f t="shared" si="25"/>
        <v>1.073072</v>
      </c>
      <c r="R89" s="88">
        <f t="shared" si="25"/>
        <v>1.113848736</v>
      </c>
      <c r="S89" s="88">
        <f t="shared" si="25"/>
        <v>1.1553952938528</v>
      </c>
      <c r="T89" s="88">
        <f t="shared" si="25"/>
        <v>1.1984915383135095</v>
      </c>
      <c r="U89" s="88">
        <f t="shared" si="25"/>
        <v>1.2431952726926037</v>
      </c>
      <c r="V89" s="88">
        <f t="shared" si="25"/>
        <v>1.2895664563640379</v>
      </c>
      <c r="W89" s="88">
        <f t="shared" si="25"/>
        <v>1.3376672851864166</v>
      </c>
      <c r="X89" s="88">
        <f t="shared" si="25"/>
        <v>1.3875622749238701</v>
      </c>
      <c r="Y89" s="88">
        <f t="shared" si="25"/>
        <v>1.4393183477785305</v>
      </c>
      <c r="Z89" s="88">
        <f t="shared" si="25"/>
        <v>1.4930049221506698</v>
      </c>
      <c r="AA89" s="88">
        <f t="shared" si="25"/>
        <v>1.5486940057468899</v>
      </c>
      <c r="AB89" s="88">
        <f t="shared" si="25"/>
        <v>1.606460292161249</v>
      </c>
      <c r="AC89" s="88">
        <f t="shared" si="25"/>
        <v>1.6663812610588637</v>
      </c>
      <c r="AD89" s="88">
        <f t="shared" si="25"/>
        <v>1.7285372820963596</v>
      </c>
      <c r="AE89" s="88">
        <f t="shared" si="25"/>
        <v>1.793011722718554</v>
      </c>
      <c r="AF89" s="88">
        <f t="shared" si="25"/>
        <v>1.8598910599759564</v>
      </c>
      <c r="AG89" s="88">
        <f t="shared" si="25"/>
        <v>1.9292649965130597</v>
      </c>
      <c r="AH89" s="88">
        <f t="shared" si="25"/>
        <v>2.0012265808829972</v>
      </c>
      <c r="AI89" s="88">
        <f t="shared" si="25"/>
        <v>2.0758723323499333</v>
      </c>
      <c r="AJ89" s="88">
        <f t="shared" si="25"/>
        <v>2.1533023703465859</v>
      </c>
      <c r="AK89" s="88">
        <f t="shared" si="25"/>
        <v>2.2336205487605136</v>
      </c>
      <c r="AL89" s="88">
        <f t="shared" si="25"/>
        <v>2.3169345952292812</v>
      </c>
      <c r="AM89" s="88">
        <f t="shared" si="25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26">R90</f>
        <v>9.5000000000000001E-2</v>
      </c>
      <c r="T90" s="85">
        <f t="shared" si="26"/>
        <v>9.5000000000000001E-2</v>
      </c>
      <c r="U90" s="85">
        <f t="shared" si="26"/>
        <v>9.5000000000000001E-2</v>
      </c>
      <c r="V90" s="85">
        <f t="shared" si="26"/>
        <v>9.5000000000000001E-2</v>
      </c>
      <c r="W90" s="85">
        <f t="shared" si="26"/>
        <v>9.5000000000000001E-2</v>
      </c>
      <c r="X90" s="85">
        <f t="shared" si="26"/>
        <v>9.5000000000000001E-2</v>
      </c>
      <c r="Y90" s="85">
        <f t="shared" si="26"/>
        <v>9.5000000000000001E-2</v>
      </c>
      <c r="Z90" s="85">
        <f t="shared" si="26"/>
        <v>9.5000000000000001E-2</v>
      </c>
      <c r="AA90" s="85">
        <f t="shared" si="26"/>
        <v>9.5000000000000001E-2</v>
      </c>
      <c r="AB90" s="85">
        <f t="shared" si="26"/>
        <v>9.5000000000000001E-2</v>
      </c>
      <c r="AC90" s="85">
        <f t="shared" si="26"/>
        <v>9.5000000000000001E-2</v>
      </c>
      <c r="AD90" s="85">
        <f t="shared" si="26"/>
        <v>9.5000000000000001E-2</v>
      </c>
      <c r="AE90" s="85">
        <f t="shared" si="26"/>
        <v>9.5000000000000001E-2</v>
      </c>
      <c r="AF90" s="85">
        <f t="shared" si="26"/>
        <v>9.5000000000000001E-2</v>
      </c>
      <c r="AG90" s="85">
        <f t="shared" si="26"/>
        <v>9.5000000000000001E-2</v>
      </c>
      <c r="AH90" s="85">
        <f t="shared" si="26"/>
        <v>9.5000000000000001E-2</v>
      </c>
      <c r="AI90" s="85">
        <f t="shared" si="26"/>
        <v>9.5000000000000001E-2</v>
      </c>
      <c r="AJ90" s="85">
        <f t="shared" si="26"/>
        <v>9.5000000000000001E-2</v>
      </c>
      <c r="AK90" s="85">
        <f t="shared" si="26"/>
        <v>9.5000000000000001E-2</v>
      </c>
      <c r="AL90" s="85">
        <f t="shared" si="26"/>
        <v>9.5000000000000001E-2</v>
      </c>
      <c r="AM90" s="85">
        <f t="shared" si="26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27">O91*(1+O90)</f>
        <v>1.1200000000000001</v>
      </c>
      <c r="Q91" s="88">
        <f t="shared" si="27"/>
        <v>1.2376</v>
      </c>
      <c r="R91" s="88">
        <f t="shared" si="27"/>
        <v>1.3613600000000001</v>
      </c>
      <c r="S91" s="88">
        <f t="shared" si="27"/>
        <v>1.4906892</v>
      </c>
      <c r="T91" s="88">
        <f t="shared" si="27"/>
        <v>1.632304674</v>
      </c>
      <c r="U91" s="88">
        <f t="shared" si="27"/>
        <v>1.7873736180299999</v>
      </c>
      <c r="V91" s="88">
        <f t="shared" si="27"/>
        <v>1.9571741117428498</v>
      </c>
      <c r="W91" s="88">
        <f t="shared" si="27"/>
        <v>2.1431056523584204</v>
      </c>
      <c r="X91" s="88">
        <f t="shared" si="27"/>
        <v>2.3467006893324704</v>
      </c>
      <c r="Y91" s="88">
        <f t="shared" si="27"/>
        <v>2.5696372548190549</v>
      </c>
      <c r="Z91" s="88">
        <f t="shared" si="27"/>
        <v>2.8137527940268652</v>
      </c>
      <c r="AA91" s="88">
        <f t="shared" si="27"/>
        <v>3.0810593094594174</v>
      </c>
      <c r="AB91" s="88">
        <f t="shared" si="27"/>
        <v>3.3737599438580621</v>
      </c>
      <c r="AC91" s="88">
        <f t="shared" si="27"/>
        <v>3.694267138524578</v>
      </c>
      <c r="AD91" s="88">
        <f t="shared" si="27"/>
        <v>4.0452225166844125</v>
      </c>
      <c r="AE91" s="88">
        <f t="shared" si="27"/>
        <v>4.4295186557694315</v>
      </c>
      <c r="AF91" s="88">
        <f t="shared" si="27"/>
        <v>4.8503229280675271</v>
      </c>
      <c r="AG91" s="88">
        <f t="shared" si="27"/>
        <v>5.3111036062339423</v>
      </c>
      <c r="AH91" s="88">
        <f t="shared" si="27"/>
        <v>5.8156584488261664</v>
      </c>
      <c r="AI91" s="88">
        <f t="shared" si="27"/>
        <v>6.3681460014646518</v>
      </c>
      <c r="AJ91" s="88">
        <f t="shared" si="27"/>
        <v>6.9731198716037932</v>
      </c>
      <c r="AK91" s="88">
        <f t="shared" si="27"/>
        <v>7.6355662594061533</v>
      </c>
      <c r="AL91" s="88">
        <f t="shared" si="27"/>
        <v>8.3609450540497381</v>
      </c>
      <c r="AM91" s="88">
        <f t="shared" si="27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28">O84</f>
        <v>3.9100000000000003E-2</v>
      </c>
      <c r="P92" s="85">
        <f t="shared" si="28"/>
        <v>3.7900000000000003E-2</v>
      </c>
      <c r="Q92" s="85">
        <f t="shared" si="28"/>
        <v>3.5000000000000003E-2</v>
      </c>
      <c r="R92" s="85">
        <f t="shared" si="28"/>
        <v>3.5000000000000003E-2</v>
      </c>
      <c r="S92" s="85">
        <f t="shared" si="28"/>
        <v>3.5000000000000003E-2</v>
      </c>
      <c r="T92" s="85">
        <f t="shared" si="28"/>
        <v>3.5000000000000003E-2</v>
      </c>
      <c r="U92" s="85">
        <f t="shared" si="28"/>
        <v>3.5000000000000003E-2</v>
      </c>
      <c r="V92" s="85">
        <f t="shared" si="28"/>
        <v>3.5000000000000003E-2</v>
      </c>
      <c r="W92" s="85">
        <f t="shared" si="28"/>
        <v>3.5000000000000003E-2</v>
      </c>
      <c r="X92" s="85">
        <f t="shared" si="28"/>
        <v>3.5000000000000003E-2</v>
      </c>
      <c r="Y92" s="85">
        <f t="shared" si="28"/>
        <v>3.5000000000000003E-2</v>
      </c>
      <c r="Z92" s="85">
        <f t="shared" si="28"/>
        <v>3.5000000000000003E-2</v>
      </c>
      <c r="AA92" s="85">
        <f t="shared" si="28"/>
        <v>3.5000000000000003E-2</v>
      </c>
      <c r="AB92" s="85">
        <f t="shared" si="28"/>
        <v>3.5000000000000003E-2</v>
      </c>
      <c r="AC92" s="85">
        <f t="shared" si="28"/>
        <v>3.5000000000000003E-2</v>
      </c>
      <c r="AD92" s="85">
        <f t="shared" si="28"/>
        <v>3.5000000000000003E-2</v>
      </c>
      <c r="AE92" s="85">
        <f t="shared" si="28"/>
        <v>3.5000000000000003E-2</v>
      </c>
      <c r="AF92" s="85">
        <f t="shared" si="28"/>
        <v>3.5000000000000003E-2</v>
      </c>
      <c r="AG92" s="85">
        <f t="shared" si="28"/>
        <v>3.5000000000000003E-2</v>
      </c>
      <c r="AH92" s="85">
        <f t="shared" si="28"/>
        <v>3.5000000000000003E-2</v>
      </c>
      <c r="AI92" s="85">
        <f t="shared" si="28"/>
        <v>3.5000000000000003E-2</v>
      </c>
      <c r="AJ92" s="85">
        <f t="shared" si="28"/>
        <v>3.5000000000000003E-2</v>
      </c>
      <c r="AK92" s="85">
        <f t="shared" si="28"/>
        <v>3.5000000000000003E-2</v>
      </c>
      <c r="AL92" s="85">
        <f t="shared" si="28"/>
        <v>3.5000000000000003E-2</v>
      </c>
      <c r="AM92" s="85">
        <f t="shared" si="28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29">O93*(1+O92)</f>
        <v>1.0390999999999999</v>
      </c>
      <c r="Q93" s="88">
        <f t="shared" si="29"/>
        <v>1.0784818899999999</v>
      </c>
      <c r="R93" s="88">
        <f t="shared" si="29"/>
        <v>1.1162287561499999</v>
      </c>
      <c r="S93" s="88">
        <f t="shared" si="29"/>
        <v>1.1552967626152499</v>
      </c>
      <c r="T93" s="88">
        <f t="shared" si="29"/>
        <v>1.1957321493067836</v>
      </c>
      <c r="U93" s="88">
        <f t="shared" si="29"/>
        <v>1.237582774532521</v>
      </c>
      <c r="V93" s="88">
        <f t="shared" si="29"/>
        <v>1.2808981716411592</v>
      </c>
      <c r="W93" s="88">
        <f t="shared" si="29"/>
        <v>1.3257296076485996</v>
      </c>
      <c r="X93" s="88">
        <f t="shared" si="29"/>
        <v>1.3721301439163005</v>
      </c>
      <c r="Y93" s="88">
        <f t="shared" si="29"/>
        <v>1.4201546989533709</v>
      </c>
      <c r="Z93" s="88">
        <f t="shared" si="29"/>
        <v>1.4698601134167388</v>
      </c>
      <c r="AA93" s="88">
        <f t="shared" si="29"/>
        <v>1.5213052173863246</v>
      </c>
      <c r="AB93" s="88">
        <f t="shared" si="29"/>
        <v>1.5745508999948459</v>
      </c>
      <c r="AC93" s="88">
        <f t="shared" si="29"/>
        <v>1.6296601814946654</v>
      </c>
      <c r="AD93" s="88">
        <f t="shared" si="29"/>
        <v>1.6866982878469785</v>
      </c>
      <c r="AE93" s="88">
        <f t="shared" si="29"/>
        <v>1.7457327279216226</v>
      </c>
      <c r="AF93" s="88">
        <f t="shared" si="29"/>
        <v>1.8068333733988793</v>
      </c>
      <c r="AG93" s="88">
        <f t="shared" si="29"/>
        <v>1.8700725414678399</v>
      </c>
      <c r="AH93" s="88">
        <f t="shared" si="29"/>
        <v>1.9355250804192141</v>
      </c>
      <c r="AI93" s="88">
        <f t="shared" si="29"/>
        <v>2.0032684582338867</v>
      </c>
      <c r="AJ93" s="88">
        <f t="shared" si="29"/>
        <v>2.0733828542720727</v>
      </c>
      <c r="AK93" s="88">
        <f t="shared" si="29"/>
        <v>2.145951254171595</v>
      </c>
      <c r="AL93" s="88">
        <f t="shared" si="29"/>
        <v>2.2210595480676005</v>
      </c>
      <c r="AM93" s="88">
        <f t="shared" si="29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30">O$3</f>
        <v>1</v>
      </c>
      <c r="P95" s="80">
        <f t="shared" si="30"/>
        <v>2</v>
      </c>
      <c r="Q95" s="80">
        <f t="shared" si="30"/>
        <v>3</v>
      </c>
      <c r="R95" s="80">
        <f t="shared" si="30"/>
        <v>4</v>
      </c>
      <c r="S95" s="80">
        <f t="shared" si="30"/>
        <v>5</v>
      </c>
      <c r="T95" s="80">
        <f t="shared" si="30"/>
        <v>6</v>
      </c>
      <c r="U95" s="80">
        <f t="shared" si="30"/>
        <v>7</v>
      </c>
      <c r="V95" s="80">
        <f t="shared" si="30"/>
        <v>8</v>
      </c>
      <c r="W95" s="80">
        <f t="shared" si="30"/>
        <v>9</v>
      </c>
      <c r="X95" s="80">
        <f t="shared" si="30"/>
        <v>10</v>
      </c>
      <c r="Y95" s="80">
        <f t="shared" si="30"/>
        <v>11</v>
      </c>
      <c r="Z95" s="80">
        <f t="shared" si="30"/>
        <v>12</v>
      </c>
      <c r="AA95" s="80">
        <f t="shared" si="30"/>
        <v>13</v>
      </c>
      <c r="AB95" s="80">
        <f t="shared" si="30"/>
        <v>14</v>
      </c>
      <c r="AC95" s="80">
        <f t="shared" si="30"/>
        <v>15</v>
      </c>
      <c r="AD95" s="80">
        <f t="shared" si="30"/>
        <v>16</v>
      </c>
      <c r="AE95" s="80">
        <f t="shared" si="30"/>
        <v>17</v>
      </c>
      <c r="AF95" s="80">
        <f t="shared" si="30"/>
        <v>18</v>
      </c>
      <c r="AG95" s="80">
        <f t="shared" si="30"/>
        <v>19</v>
      </c>
      <c r="AH95" s="80">
        <f t="shared" si="30"/>
        <v>20</v>
      </c>
      <c r="AI95" s="80">
        <f t="shared" si="30"/>
        <v>21</v>
      </c>
      <c r="AJ95" s="80">
        <f t="shared" si="30"/>
        <v>22</v>
      </c>
      <c r="AK95" s="80">
        <f t="shared" si="30"/>
        <v>23</v>
      </c>
      <c r="AL95" s="80">
        <f t="shared" si="30"/>
        <v>24</v>
      </c>
      <c r="AM95" s="80">
        <f t="shared" si="30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31">O$2</f>
        <v>46023</v>
      </c>
      <c r="P96" s="91">
        <f t="shared" si="31"/>
        <v>46388</v>
      </c>
      <c r="Q96" s="91">
        <f t="shared" si="31"/>
        <v>46753</v>
      </c>
      <c r="R96" s="91">
        <f t="shared" si="31"/>
        <v>47119</v>
      </c>
      <c r="S96" s="91">
        <f t="shared" si="31"/>
        <v>47484</v>
      </c>
      <c r="T96" s="91">
        <f t="shared" si="31"/>
        <v>47849</v>
      </c>
      <c r="U96" s="91">
        <f t="shared" si="31"/>
        <v>48214</v>
      </c>
      <c r="V96" s="91">
        <f t="shared" si="31"/>
        <v>48580</v>
      </c>
      <c r="W96" s="91">
        <f t="shared" si="31"/>
        <v>48945</v>
      </c>
      <c r="X96" s="91">
        <f t="shared" si="31"/>
        <v>49310</v>
      </c>
      <c r="Y96" s="91">
        <f t="shared" si="31"/>
        <v>49675</v>
      </c>
      <c r="Z96" s="91">
        <f t="shared" si="31"/>
        <v>50041</v>
      </c>
      <c r="AA96" s="91">
        <f t="shared" si="31"/>
        <v>50406</v>
      </c>
      <c r="AB96" s="91">
        <f t="shared" si="31"/>
        <v>50771</v>
      </c>
      <c r="AC96" s="91">
        <f t="shared" si="31"/>
        <v>51136</v>
      </c>
      <c r="AD96" s="91">
        <f t="shared" si="31"/>
        <v>51502</v>
      </c>
      <c r="AE96" s="91">
        <f t="shared" si="31"/>
        <v>51867</v>
      </c>
      <c r="AF96" s="91">
        <f t="shared" si="31"/>
        <v>52232</v>
      </c>
      <c r="AG96" s="91">
        <f t="shared" si="31"/>
        <v>52597</v>
      </c>
      <c r="AH96" s="91">
        <f t="shared" si="31"/>
        <v>52963</v>
      </c>
      <c r="AI96" s="91">
        <f t="shared" si="31"/>
        <v>53328</v>
      </c>
      <c r="AJ96" s="91">
        <f t="shared" si="31"/>
        <v>53693</v>
      </c>
      <c r="AK96" s="91">
        <f t="shared" si="31"/>
        <v>54058</v>
      </c>
      <c r="AL96" s="91">
        <f t="shared" si="31"/>
        <v>54424</v>
      </c>
      <c r="AM96" s="91">
        <f t="shared" si="31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32">SUM(K99:K101)</f>
        <v>87403526.653771624</v>
      </c>
      <c r="L98" s="69">
        <f t="shared" si="32"/>
        <v>231846181.28677413</v>
      </c>
      <c r="M98" s="1"/>
      <c r="N98" s="1"/>
      <c r="O98" s="69">
        <f>SUM(AR:SM!O98)</f>
        <v>18693963.576086551</v>
      </c>
      <c r="P98" s="69">
        <f>SUM(AR:SM!P98)</f>
        <v>5752470.3044583155</v>
      </c>
      <c r="Q98" s="69">
        <f>SUM(AR:SM!Q98)</f>
        <v>5752470.3044583155</v>
      </c>
      <c r="R98" s="69">
        <f>SUM(AR:SM!R98)</f>
        <v>5752470.3044583155</v>
      </c>
      <c r="S98" s="69">
        <f>SUM(AR:SM!S98)</f>
        <v>13098059.122458316</v>
      </c>
      <c r="T98" s="69">
        <f>SUM(AR:SM!T98)</f>
        <v>5752470.3044583155</v>
      </c>
      <c r="U98" s="69">
        <f>SUM(AR:SM!U98)</f>
        <v>5752470.3044583155</v>
      </c>
      <c r="V98" s="69">
        <f>SUM(AR:SM!V98)</f>
        <v>6421446.3944583163</v>
      </c>
      <c r="W98" s="69">
        <f>SUM(AR:SM!W98)</f>
        <v>6729712.1344583156</v>
      </c>
      <c r="X98" s="69">
        <f>SUM(AR:SM!X98)</f>
        <v>5752470.3044583155</v>
      </c>
      <c r="Y98" s="69">
        <f>SUM(AR:SM!Y98)</f>
        <v>13047330.922458313</v>
      </c>
      <c r="Z98" s="69">
        <f>SUM(AR:SM!Z98)</f>
        <v>5752470.3044583155</v>
      </c>
      <c r="AA98" s="69">
        <f>SUM(AR:SM!AA98)</f>
        <v>8798180.1201796271</v>
      </c>
      <c r="AB98" s="69">
        <f>SUM(AR:SM!AB98)</f>
        <v>5752470.3044583155</v>
      </c>
      <c r="AC98" s="69">
        <f>SUM(AR:SM!AC98)</f>
        <v>5752470.3044583155</v>
      </c>
      <c r="AD98" s="69">
        <f>SUM(AR:SM!AD98)</f>
        <v>13715578.812458314</v>
      </c>
      <c r="AE98" s="69">
        <f>SUM(AR:SM!AE98)</f>
        <v>5899843.1944583151</v>
      </c>
      <c r="AF98" s="69">
        <f>SUM(AR:SM!AF98)</f>
        <v>6583067.4444583161</v>
      </c>
      <c r="AG98" s="69">
        <f>SUM(AR:SM!AG98)</f>
        <v>5752470.3044583155</v>
      </c>
      <c r="AH98" s="69">
        <f>SUM(AR:SM!AH98)</f>
        <v>5752470.3044583155</v>
      </c>
      <c r="AI98" s="69">
        <f>SUM(AR:SM!AI98)</f>
        <v>13097330.922458315</v>
      </c>
      <c r="AJ98" s="69">
        <f>SUM(AR:SM!AJ98)</f>
        <v>5752470.3044583155</v>
      </c>
      <c r="AK98" s="69">
        <f>SUM(AR:SM!AK98)</f>
        <v>6421446.3944583163</v>
      </c>
      <c r="AL98" s="69">
        <f>SUM(AR:SM!AL98)</f>
        <v>5752470.3044583155</v>
      </c>
      <c r="AM98" s="69">
        <f>SUM(AR:SM!AM98)</f>
        <v>5802470.3044583155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/>
      <c r="I99" s="95"/>
      <c r="J99" s="94"/>
      <c r="K99" s="97">
        <f>NPV(WACC!$D$35,O99:AV99)</f>
        <v>49000759.236146264</v>
      </c>
      <c r="L99" s="97">
        <f t="shared" ref="L99:L101" si="33">SUM(O99:AV99)</f>
        <v>139976777.40848571</v>
      </c>
      <c r="M99" s="1"/>
      <c r="N99" s="1"/>
      <c r="O99" s="97">
        <f>SUM(AR:SM!O99)</f>
        <v>1917490.1014861031</v>
      </c>
      <c r="P99" s="97">
        <f>SUM(AR:SM!P99)</f>
        <v>5752470.3044583155</v>
      </c>
      <c r="Q99" s="97">
        <f>SUM(AR:SM!Q99)</f>
        <v>5752470.3044583155</v>
      </c>
      <c r="R99" s="97">
        <f>SUM(AR:SM!R99)</f>
        <v>5752470.3044583155</v>
      </c>
      <c r="S99" s="97">
        <f>SUM(AR:SM!S99)</f>
        <v>5752470.3044583155</v>
      </c>
      <c r="T99" s="97">
        <f>SUM(AR:SM!T99)</f>
        <v>5752470.3044583155</v>
      </c>
      <c r="U99" s="97">
        <f>SUM(AR:SM!U99)</f>
        <v>5752470.3044583155</v>
      </c>
      <c r="V99" s="97">
        <f>SUM(AR:SM!V99)</f>
        <v>5752470.3044583155</v>
      </c>
      <c r="W99" s="97">
        <f>SUM(AR:SM!W99)</f>
        <v>5752470.3044583155</v>
      </c>
      <c r="X99" s="97">
        <f>SUM(AR:SM!X99)</f>
        <v>5752470.3044583155</v>
      </c>
      <c r="Y99" s="97">
        <f>SUM(AR:SM!Y99)</f>
        <v>5752470.3044583155</v>
      </c>
      <c r="Z99" s="97">
        <f>SUM(AR:SM!Z99)</f>
        <v>5752470.3044583155</v>
      </c>
      <c r="AA99" s="97">
        <f>SUM(AR:SM!AA99)</f>
        <v>5752470.3044583155</v>
      </c>
      <c r="AB99" s="97">
        <f>SUM(AR:SM!AB99)</f>
        <v>5752470.3044583155</v>
      </c>
      <c r="AC99" s="97">
        <f>SUM(AR:SM!AC99)</f>
        <v>5752470.3044583155</v>
      </c>
      <c r="AD99" s="97">
        <f>SUM(AR:SM!AD99)</f>
        <v>5752470.3044583155</v>
      </c>
      <c r="AE99" s="97">
        <f>SUM(AR:SM!AE99)</f>
        <v>5752470.3044583155</v>
      </c>
      <c r="AF99" s="97">
        <f>SUM(AR:SM!AF99)</f>
        <v>5752470.3044583155</v>
      </c>
      <c r="AG99" s="97">
        <f>SUM(AR:SM!AG99)</f>
        <v>5752470.3044583155</v>
      </c>
      <c r="AH99" s="97">
        <f>SUM(AR:SM!AH99)</f>
        <v>5752470.3044583155</v>
      </c>
      <c r="AI99" s="97">
        <f>SUM(AR:SM!AI99)</f>
        <v>5752470.3044583155</v>
      </c>
      <c r="AJ99" s="97">
        <f>SUM(AR:SM!AJ99)</f>
        <v>5752470.3044583155</v>
      </c>
      <c r="AK99" s="97">
        <f>SUM(AR:SM!AK99)</f>
        <v>5752470.3044583155</v>
      </c>
      <c r="AL99" s="97">
        <f>SUM(AR:SM!AL99)</f>
        <v>5752470.3044583155</v>
      </c>
      <c r="AM99" s="97">
        <f>SUM(AR:SM!AM99)</f>
        <v>5752470.3044583155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27046535.023378529</v>
      </c>
      <c r="L100" s="97">
        <f t="shared" si="33"/>
        <v>53113765.892321751</v>
      </c>
      <c r="M100" s="1"/>
      <c r="N100" s="1"/>
      <c r="O100" s="97">
        <f>SUM(AR:SM!O100)</f>
        <v>16776473.474600445</v>
      </c>
      <c r="P100" s="97">
        <f>SUM(AR:SM!P100)</f>
        <v>0</v>
      </c>
      <c r="Q100" s="97">
        <f>SUM(AR:SM!Q100)</f>
        <v>0</v>
      </c>
      <c r="R100" s="97">
        <f>SUM(AR:SM!R100)</f>
        <v>0</v>
      </c>
      <c r="S100" s="97">
        <f>SUM(AR:SM!S100)</f>
        <v>7345588.818</v>
      </c>
      <c r="T100" s="97">
        <f>SUM(AR:SM!T100)</f>
        <v>0</v>
      </c>
      <c r="U100" s="97">
        <f>SUM(AR:SM!U100)</f>
        <v>0</v>
      </c>
      <c r="V100" s="97">
        <f>SUM(AR:SM!V100)</f>
        <v>668976.08999999985</v>
      </c>
      <c r="W100" s="97">
        <f>SUM(AR:SM!W100)</f>
        <v>977241.82999999984</v>
      </c>
      <c r="X100" s="97">
        <f>SUM(AR:SM!X100)</f>
        <v>0</v>
      </c>
      <c r="Y100" s="97">
        <f>SUM(AR:SM!Y100)</f>
        <v>7294860.6179999989</v>
      </c>
      <c r="Z100" s="97">
        <f>SUM(AR:SM!Z100)</f>
        <v>0</v>
      </c>
      <c r="AA100" s="97">
        <f>SUM(AR:SM!AA100)</f>
        <v>3045709.8157213107</v>
      </c>
      <c r="AB100" s="97">
        <f>SUM(AR:SM!AB100)</f>
        <v>0</v>
      </c>
      <c r="AC100" s="97">
        <f>SUM(AR:SM!AC100)</f>
        <v>0</v>
      </c>
      <c r="AD100" s="97">
        <f>SUM(AR:SM!AD100)</f>
        <v>7963108.5079999985</v>
      </c>
      <c r="AE100" s="97">
        <f>SUM(AR:SM!AE100)</f>
        <v>147372.89000000001</v>
      </c>
      <c r="AF100" s="97">
        <f>SUM(AR:SM!AF100)</f>
        <v>830597.13999999978</v>
      </c>
      <c r="AG100" s="97">
        <f>SUM(AR:SM!AG100)</f>
        <v>0</v>
      </c>
      <c r="AH100" s="97">
        <f>SUM(AR:SM!AH100)</f>
        <v>0</v>
      </c>
      <c r="AI100" s="97">
        <f>SUM(AR:SM!AI100)</f>
        <v>7344860.6179999998</v>
      </c>
      <c r="AJ100" s="97">
        <f>SUM(AR:SM!AJ100)</f>
        <v>0</v>
      </c>
      <c r="AK100" s="97">
        <f>SUM(AR:SM!AK100)</f>
        <v>668976.08999999985</v>
      </c>
      <c r="AL100" s="97">
        <f>SUM(AR:SM!AL100)</f>
        <v>0</v>
      </c>
      <c r="AM100" s="97">
        <f>SUM(AR:SM!AM100)</f>
        <v>50000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11356232.394246833</v>
      </c>
      <c r="L101" s="97">
        <f t="shared" si="33"/>
        <v>38755637.98596666</v>
      </c>
      <c r="M101" s="1"/>
      <c r="N101" s="1"/>
      <c r="O101" s="97">
        <f>SUM(AR:SM!O101)</f>
        <v>0</v>
      </c>
      <c r="P101" s="97">
        <f>SUM(AR:SM!P101)</f>
        <v>8532156.6808671486</v>
      </c>
      <c r="Q101" s="97">
        <f>SUM(AR:SM!Q101)</f>
        <v>-450724.95441188058</v>
      </c>
      <c r="R101" s="97">
        <f>SUM(AR:SM!R101)</f>
        <v>-219410.44717083796</v>
      </c>
      <c r="S101" s="97">
        <f>SUM(AR:SM!S101)</f>
        <v>34878.421412045878</v>
      </c>
      <c r="T101" s="97">
        <f>SUM(AR:SM!T101)</f>
        <v>-415146.8897098453</v>
      </c>
      <c r="U101" s="97">
        <f>SUM(AR:SM!U101)</f>
        <v>-180298.73763148955</v>
      </c>
      <c r="V101" s="97">
        <f>SUM(AR:SM!V101)</f>
        <v>77874.740517701182</v>
      </c>
      <c r="W101" s="97">
        <f>SUM(AR:SM!W101)</f>
        <v>295246.94010723033</v>
      </c>
      <c r="X101" s="97">
        <f>SUM(AR:SM!X101)</f>
        <v>503591.51291305182</v>
      </c>
      <c r="Y101" s="97">
        <f>SUM(AR:SM!Y101)</f>
        <v>829689.57530718949</v>
      </c>
      <c r="Z101" s="97">
        <f>SUM(AR:SM!Z101)</f>
        <v>463643.98027327942</v>
      </c>
      <c r="AA101" s="97">
        <f>SUM(AR:SM!AA101)</f>
        <v>785774.41841190634</v>
      </c>
      <c r="AB101" s="97">
        <f>SUM(AR:SM!AB101)</f>
        <v>837396.54511735716</v>
      </c>
      <c r="AC101" s="97">
        <f>SUM(AR:SM!AC101)</f>
        <v>1196648.4183945938</v>
      </c>
      <c r="AD101" s="97">
        <f>SUM(AR:SM!AD101)</f>
        <v>1591581.5053053696</v>
      </c>
      <c r="AE101" s="97">
        <f>SUM(AR:SM!AE101)</f>
        <v>1234836.7191056679</v>
      </c>
      <c r="AF101" s="97">
        <f>SUM(AR:SM!AF101)</f>
        <v>1618925.4960887905</v>
      </c>
      <c r="AG101" s="97">
        <f>SUM(AR:SM!AG101)</f>
        <v>1973303.8734552953</v>
      </c>
      <c r="AH101" s="97">
        <f>SUM(AR:SM!AH101)</f>
        <v>2445375.0667282594</v>
      </c>
      <c r="AI101" s="97">
        <f>SUM(AR:SM!AI101)</f>
        <v>2964332.7882293281</v>
      </c>
      <c r="AJ101" s="97">
        <f>SUM(AR:SM!AJ101)</f>
        <v>2805335.7999331811</v>
      </c>
      <c r="AK101" s="97">
        <f>SUM(AR:SM!AK101)</f>
        <v>3360045.1396624404</v>
      </c>
      <c r="AL101" s="97">
        <f>SUM(AR:SM!AL101)</f>
        <v>3903405.4047426889</v>
      </c>
      <c r="AM101" s="97">
        <f>SUM(AR:SM!AM101)</f>
        <v>4567175.9883181816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-4106347.451329323</v>
      </c>
      <c r="L102" s="99">
        <f t="shared" ref="L102" si="34">SUM(L103:L104)</f>
        <v>-11730293.410078852</v>
      </c>
      <c r="M102" s="1"/>
      <c r="N102" s="1"/>
      <c r="O102" s="99">
        <f>SUM(AR:SM!O102)</f>
        <v>-160688.95082299781</v>
      </c>
      <c r="P102" s="99">
        <f>SUM(AR:SM!P102)</f>
        <v>-482066.85246899398</v>
      </c>
      <c r="Q102" s="99">
        <f>SUM(AR:SM!Q102)</f>
        <v>-482066.85246899398</v>
      </c>
      <c r="R102" s="99">
        <f>SUM(AR:SM!R102)</f>
        <v>-482066.85246899398</v>
      </c>
      <c r="S102" s="99">
        <f>SUM(AR:SM!S102)</f>
        <v>-482066.85246899398</v>
      </c>
      <c r="T102" s="99">
        <f>SUM(AR:SM!T102)</f>
        <v>-482066.85246899398</v>
      </c>
      <c r="U102" s="99">
        <f>SUM(AR:SM!U102)</f>
        <v>-482066.85246899398</v>
      </c>
      <c r="V102" s="99">
        <f>SUM(AR:SM!V102)</f>
        <v>-482066.85246899398</v>
      </c>
      <c r="W102" s="99">
        <f>SUM(AR:SM!W102)</f>
        <v>-482066.85246899398</v>
      </c>
      <c r="X102" s="99">
        <f>SUM(AR:SM!X102)</f>
        <v>-482066.85246899398</v>
      </c>
      <c r="Y102" s="99">
        <f>SUM(AR:SM!Y102)</f>
        <v>-482066.85246899398</v>
      </c>
      <c r="Z102" s="99">
        <f>SUM(AR:SM!Z102)</f>
        <v>-482066.85246899398</v>
      </c>
      <c r="AA102" s="99">
        <f>SUM(AR:SM!AA102)</f>
        <v>-482066.85246899398</v>
      </c>
      <c r="AB102" s="99">
        <f>SUM(AR:SM!AB102)</f>
        <v>-482066.85246899398</v>
      </c>
      <c r="AC102" s="99">
        <f>SUM(AR:SM!AC102)</f>
        <v>-482066.85246899398</v>
      </c>
      <c r="AD102" s="99">
        <f>SUM(AR:SM!AD102)</f>
        <v>-482066.85246899398</v>
      </c>
      <c r="AE102" s="99">
        <f>SUM(AR:SM!AE102)</f>
        <v>-482066.85246899398</v>
      </c>
      <c r="AF102" s="99">
        <f>SUM(AR:SM!AF102)</f>
        <v>-482066.85246899398</v>
      </c>
      <c r="AG102" s="99">
        <f>SUM(AR:SM!AG102)</f>
        <v>-482066.85246899398</v>
      </c>
      <c r="AH102" s="99">
        <f>SUM(AR:SM!AH102)</f>
        <v>-482066.85246899398</v>
      </c>
      <c r="AI102" s="99">
        <f>SUM(AR:SM!AI102)</f>
        <v>-482066.85246899398</v>
      </c>
      <c r="AJ102" s="99">
        <f>SUM(AR:SM!AJ102)</f>
        <v>-482066.85246899398</v>
      </c>
      <c r="AK102" s="99">
        <f>SUM(AR:SM!AK102)</f>
        <v>-482066.85246899398</v>
      </c>
      <c r="AL102" s="99">
        <f>SUM(AR:SM!AL102)</f>
        <v>-482066.85246899398</v>
      </c>
      <c r="AM102" s="99">
        <f>SUM(AR:SM!AM102)</f>
        <v>-482066.85246899398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-2652773.1322746933</v>
      </c>
      <c r="L103" s="54">
        <f t="shared" ref="L103:L104" si="35">SUM(O103:AV103)</f>
        <v>-7577977.1587235071</v>
      </c>
      <c r="M103" s="1"/>
      <c r="N103" s="1"/>
      <c r="O103" s="54">
        <f>SUM(AR:SM!O103)</f>
        <v>-103807.90628388354</v>
      </c>
      <c r="P103" s="54">
        <f>SUM(AR:SM!P103)</f>
        <v>-311423.71885165089</v>
      </c>
      <c r="Q103" s="54">
        <f>SUM(AR:SM!Q103)</f>
        <v>-311423.71885165089</v>
      </c>
      <c r="R103" s="54">
        <f>SUM(AR:SM!R103)</f>
        <v>-311423.71885165089</v>
      </c>
      <c r="S103" s="54">
        <f>SUM(AR:SM!S103)</f>
        <v>-311423.71885165089</v>
      </c>
      <c r="T103" s="54">
        <f>SUM(AR:SM!T103)</f>
        <v>-311423.71885165089</v>
      </c>
      <c r="U103" s="54">
        <f>SUM(AR:SM!U103)</f>
        <v>-311423.71885165089</v>
      </c>
      <c r="V103" s="54">
        <f>SUM(AR:SM!V103)</f>
        <v>-311423.71885165089</v>
      </c>
      <c r="W103" s="54">
        <f>SUM(AR:SM!W103)</f>
        <v>-311423.71885165089</v>
      </c>
      <c r="X103" s="54">
        <f>SUM(AR:SM!X103)</f>
        <v>-311423.71885165089</v>
      </c>
      <c r="Y103" s="54">
        <f>SUM(AR:SM!Y103)</f>
        <v>-311423.71885165089</v>
      </c>
      <c r="Z103" s="54">
        <f>SUM(AR:SM!Z103)</f>
        <v>-311423.71885165089</v>
      </c>
      <c r="AA103" s="54">
        <f>SUM(AR:SM!AA103)</f>
        <v>-311423.71885165089</v>
      </c>
      <c r="AB103" s="54">
        <f>SUM(AR:SM!AB103)</f>
        <v>-311423.71885165089</v>
      </c>
      <c r="AC103" s="54">
        <f>SUM(AR:SM!AC103)</f>
        <v>-311423.71885165089</v>
      </c>
      <c r="AD103" s="54">
        <f>SUM(AR:SM!AD103)</f>
        <v>-311423.71885165089</v>
      </c>
      <c r="AE103" s="54">
        <f>SUM(AR:SM!AE103)</f>
        <v>-311423.71885165089</v>
      </c>
      <c r="AF103" s="54">
        <f>SUM(AR:SM!AF103)</f>
        <v>-311423.71885165089</v>
      </c>
      <c r="AG103" s="54">
        <f>SUM(AR:SM!AG103)</f>
        <v>-311423.71885165089</v>
      </c>
      <c r="AH103" s="54">
        <f>SUM(AR:SM!AH103)</f>
        <v>-311423.71885165089</v>
      </c>
      <c r="AI103" s="54">
        <f>SUM(AR:SM!AI103)</f>
        <v>-311423.71885165089</v>
      </c>
      <c r="AJ103" s="54">
        <f>SUM(AR:SM!AJ103)</f>
        <v>-311423.71885165089</v>
      </c>
      <c r="AK103" s="54">
        <f>SUM(AR:SM!AK103)</f>
        <v>-311423.71885165089</v>
      </c>
      <c r="AL103" s="54">
        <f>SUM(AR:SM!AL103)</f>
        <v>-311423.71885165089</v>
      </c>
      <c r="AM103" s="54">
        <f>SUM(AR:SM!AM103)</f>
        <v>-311423.71885165089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-1453574.3190546269</v>
      </c>
      <c r="L104" s="102">
        <f t="shared" si="35"/>
        <v>-4152316.2513553444</v>
      </c>
      <c r="M104" s="1"/>
      <c r="N104" s="1"/>
      <c r="O104" s="102">
        <f>SUM(AR:SM!O104)</f>
        <v>-56881.044539114271</v>
      </c>
      <c r="P104" s="102">
        <f>SUM(AR:SM!P104)</f>
        <v>-170643.13361734297</v>
      </c>
      <c r="Q104" s="102">
        <f>SUM(AR:SM!Q104)</f>
        <v>-170643.13361734297</v>
      </c>
      <c r="R104" s="102">
        <f>SUM(AR:SM!R104)</f>
        <v>-170643.13361734297</v>
      </c>
      <c r="S104" s="102">
        <f>SUM(AR:SM!S104)</f>
        <v>-170643.13361734297</v>
      </c>
      <c r="T104" s="102">
        <f>SUM(AR:SM!T104)</f>
        <v>-170643.13361734297</v>
      </c>
      <c r="U104" s="102">
        <f>SUM(AR:SM!U104)</f>
        <v>-170643.13361734297</v>
      </c>
      <c r="V104" s="102">
        <f>SUM(AR:SM!V104)</f>
        <v>-170643.13361734297</v>
      </c>
      <c r="W104" s="102">
        <f>SUM(AR:SM!W104)</f>
        <v>-170643.13361734297</v>
      </c>
      <c r="X104" s="102">
        <f>SUM(AR:SM!X104)</f>
        <v>-170643.13361734297</v>
      </c>
      <c r="Y104" s="102">
        <f>SUM(AR:SM!Y104)</f>
        <v>-170643.13361734297</v>
      </c>
      <c r="Z104" s="102">
        <f>SUM(AR:SM!Z104)</f>
        <v>-170643.13361734297</v>
      </c>
      <c r="AA104" s="102">
        <f>SUM(AR:SM!AA104)</f>
        <v>-170643.13361734297</v>
      </c>
      <c r="AB104" s="102">
        <f>SUM(AR:SM!AB104)</f>
        <v>-170643.13361734297</v>
      </c>
      <c r="AC104" s="102">
        <f>SUM(AR:SM!AC104)</f>
        <v>-170643.13361734297</v>
      </c>
      <c r="AD104" s="102">
        <f>SUM(AR:SM!AD104)</f>
        <v>-170643.13361734297</v>
      </c>
      <c r="AE104" s="102">
        <f>SUM(AR:SM!AE104)</f>
        <v>-170643.13361734297</v>
      </c>
      <c r="AF104" s="102">
        <f>SUM(AR:SM!AF104)</f>
        <v>-170643.13361734297</v>
      </c>
      <c r="AG104" s="102">
        <f>SUM(AR:SM!AG104)</f>
        <v>-170643.13361734297</v>
      </c>
      <c r="AH104" s="102">
        <f>SUM(AR:SM!AH104)</f>
        <v>-170643.13361734297</v>
      </c>
      <c r="AI104" s="102">
        <f>SUM(AR:SM!AI104)</f>
        <v>-170643.13361734297</v>
      </c>
      <c r="AJ104" s="102">
        <f>SUM(AR:SM!AJ104)</f>
        <v>-170643.13361734297</v>
      </c>
      <c r="AK104" s="102">
        <f>SUM(AR:SM!AK104)</f>
        <v>-170643.13361734297</v>
      </c>
      <c r="AL104" s="102">
        <f>SUM(AR:SM!AL104)</f>
        <v>-170643.13361734297</v>
      </c>
      <c r="AM104" s="102">
        <f>SUM(AR:SM!AM104)</f>
        <v>-170643.13361734297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36">K98+K102</f>
        <v>83297179.202442303</v>
      </c>
      <c r="L105" s="69">
        <f t="shared" si="36"/>
        <v>220115887.87669528</v>
      </c>
      <c r="M105" s="1"/>
      <c r="N105" s="1"/>
      <c r="O105" s="69">
        <f>SUM(AR:SM!O105)</f>
        <v>18533274.625263549</v>
      </c>
      <c r="P105" s="69">
        <f>SUM(AR:SM!P105)</f>
        <v>5270403.451989321</v>
      </c>
      <c r="Q105" s="69">
        <f>SUM(AR:SM!Q105)</f>
        <v>5270403.451989321</v>
      </c>
      <c r="R105" s="69">
        <f>SUM(AR:SM!R105)</f>
        <v>5270403.451989321</v>
      </c>
      <c r="S105" s="69">
        <f>SUM(AR:SM!S105)</f>
        <v>12615992.269989319</v>
      </c>
      <c r="T105" s="69">
        <f>SUM(AR:SM!T105)</f>
        <v>5270403.451989321</v>
      </c>
      <c r="U105" s="69">
        <f>SUM(AR:SM!U105)</f>
        <v>5270403.451989321</v>
      </c>
      <c r="V105" s="69">
        <f>SUM(AR:SM!V105)</f>
        <v>5939379.5419893228</v>
      </c>
      <c r="W105" s="69">
        <f>SUM(AR:SM!W105)</f>
        <v>6247645.281989322</v>
      </c>
      <c r="X105" s="69">
        <f>SUM(AR:SM!X105)</f>
        <v>5270403.451989321</v>
      </c>
      <c r="Y105" s="69">
        <f>SUM(AR:SM!Y105)</f>
        <v>12565264.06998932</v>
      </c>
      <c r="Z105" s="69">
        <f>SUM(AR:SM!Z105)</f>
        <v>5270403.451989321</v>
      </c>
      <c r="AA105" s="69">
        <f>SUM(AR:SM!AA105)</f>
        <v>8316113.2677106326</v>
      </c>
      <c r="AB105" s="69">
        <f>SUM(AR:SM!AB105)</f>
        <v>5270403.451989321</v>
      </c>
      <c r="AC105" s="69">
        <f>SUM(AR:SM!AC105)</f>
        <v>5270403.451989321</v>
      </c>
      <c r="AD105" s="69">
        <f>SUM(AR:SM!AD105)</f>
        <v>13233511.95998932</v>
      </c>
      <c r="AE105" s="69">
        <f>SUM(AR:SM!AE105)</f>
        <v>5417776.3419893207</v>
      </c>
      <c r="AF105" s="69">
        <f>SUM(AR:SM!AF105)</f>
        <v>6101000.5919893216</v>
      </c>
      <c r="AG105" s="69">
        <f>SUM(AR:SM!AG105)</f>
        <v>5270403.451989321</v>
      </c>
      <c r="AH105" s="69">
        <f>SUM(AR:SM!AH105)</f>
        <v>5270403.451989321</v>
      </c>
      <c r="AI105" s="69">
        <f>SUM(AR:SM!AI105)</f>
        <v>12615264.069989322</v>
      </c>
      <c r="AJ105" s="69">
        <f>SUM(AR:SM!AJ105)</f>
        <v>5270403.451989321</v>
      </c>
      <c r="AK105" s="69">
        <f>SUM(AR:SM!AK105)</f>
        <v>5939379.5419893228</v>
      </c>
      <c r="AL105" s="69">
        <f>SUM(AR:SM!AL105)</f>
        <v>5270403.451989321</v>
      </c>
      <c r="AM105" s="69">
        <f>SUM(AR:SM!AM105)</f>
        <v>5320403.451989322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-33916533.302149698</v>
      </c>
      <c r="L106" s="97">
        <f t="shared" ref="L106:L107" si="37">SUM(O106:AV106)</f>
        <v>-94731767.834145293</v>
      </c>
      <c r="M106" s="1"/>
      <c r="N106" s="1"/>
      <c r="O106" s="97">
        <f>SUM(AR:SM!O106)</f>
        <v>-2442551.8879551827</v>
      </c>
      <c r="P106" s="97">
        <f>SUM(AR:SM!P106)</f>
        <v>-3832212.4405887006</v>
      </c>
      <c r="Q106" s="97">
        <f>SUM(AR:SM!Q106)</f>
        <v>-3927112.4870865699</v>
      </c>
      <c r="R106" s="97">
        <f>SUM(AR:SM!R106)</f>
        <v>-3829652.7935844399</v>
      </c>
      <c r="S106" s="97">
        <f>SUM(AR:SM!S106)</f>
        <v>-3849621.9400823098</v>
      </c>
      <c r="T106" s="97">
        <f>SUM(AR:SM!T106)</f>
        <v>-3902024.0465801791</v>
      </c>
      <c r="U106" s="97">
        <f>SUM(AR:SM!U106)</f>
        <v>-3847062.29307805</v>
      </c>
      <c r="V106" s="97">
        <f>SUM(AR:SM!V106)</f>
        <v>-3899464.3995759194</v>
      </c>
      <c r="W106" s="97">
        <f>SUM(AR:SM!W106)</f>
        <v>-3844502.6460737893</v>
      </c>
      <c r="X106" s="97">
        <f>SUM(AR:SM!X106)</f>
        <v>-3821973.8525716602</v>
      </c>
      <c r="Y106" s="97">
        <f>SUM(AR:SM!Y106)</f>
        <v>-3916873.8990695295</v>
      </c>
      <c r="Z106" s="97">
        <f>SUM(AR:SM!Z106)</f>
        <v>-3819414.205567399</v>
      </c>
      <c r="AA106" s="97">
        <f>SUM(AR:SM!AA106)</f>
        <v>-3914314.2520652693</v>
      </c>
      <c r="AB106" s="97">
        <f>SUM(AR:SM!AB106)</f>
        <v>-3816854.5585631388</v>
      </c>
      <c r="AC106" s="97">
        <f>SUM(AR:SM!AC106)</f>
        <v>-3836823.7050610092</v>
      </c>
      <c r="AD106" s="97">
        <f>SUM(AR:SM!AD106)</f>
        <v>-3889225.8115588785</v>
      </c>
      <c r="AE106" s="97">
        <f>SUM(AR:SM!AE106)</f>
        <v>-3834264.0580567485</v>
      </c>
      <c r="AF106" s="97">
        <f>SUM(AR:SM!AF106)</f>
        <v>-3886666.1645546192</v>
      </c>
      <c r="AG106" s="97">
        <f>SUM(AR:SM!AG106)</f>
        <v>-3831704.4110524887</v>
      </c>
      <c r="AH106" s="97">
        <f>SUM(AR:SM!AH106)</f>
        <v>-3809175.6175503591</v>
      </c>
      <c r="AI106" s="97">
        <f>SUM(AR:SM!AI106)</f>
        <v>-3904075.6640482289</v>
      </c>
      <c r="AJ106" s="97">
        <f>SUM(AR:SM!AJ106)</f>
        <v>-3806615.9705460984</v>
      </c>
      <c r="AK106" s="97">
        <f>SUM(AR:SM!AK106)</f>
        <v>-3901516.0170439687</v>
      </c>
      <c r="AL106" s="97">
        <f>SUM(AR:SM!AL106)</f>
        <v>-3804056.3235418387</v>
      </c>
      <c r="AM106" s="97">
        <f>SUM(AR:SM!AM106)</f>
        <v>-3564008.3886889284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-27046535.023378529</v>
      </c>
      <c r="L107" s="102">
        <f t="shared" si="37"/>
        <v>-53113765.892321751</v>
      </c>
      <c r="M107" s="1"/>
      <c r="N107" s="1"/>
      <c r="O107" s="102">
        <f>SUM(AR:SM!O107)</f>
        <v>-16776473.474600445</v>
      </c>
      <c r="P107" s="102">
        <f>SUM(AR:SM!P107)</f>
        <v>0</v>
      </c>
      <c r="Q107" s="102">
        <f>SUM(AR:SM!Q107)</f>
        <v>0</v>
      </c>
      <c r="R107" s="102">
        <f>SUM(AR:SM!R107)</f>
        <v>0</v>
      </c>
      <c r="S107" s="102">
        <f>SUM(AR:SM!S107)</f>
        <v>-7345588.818</v>
      </c>
      <c r="T107" s="102">
        <f>SUM(AR:SM!T107)</f>
        <v>0</v>
      </c>
      <c r="U107" s="102">
        <f>SUM(AR:SM!U107)</f>
        <v>0</v>
      </c>
      <c r="V107" s="102">
        <f>SUM(AR:SM!V107)</f>
        <v>-668976.08999999985</v>
      </c>
      <c r="W107" s="102">
        <f>SUM(AR:SM!W107)</f>
        <v>-977241.82999999984</v>
      </c>
      <c r="X107" s="102">
        <f>SUM(AR:SM!X107)</f>
        <v>0</v>
      </c>
      <c r="Y107" s="102">
        <f>SUM(AR:SM!Y107)</f>
        <v>-7294860.6179999989</v>
      </c>
      <c r="Z107" s="102">
        <f>SUM(AR:SM!Z107)</f>
        <v>0</v>
      </c>
      <c r="AA107" s="102">
        <f>SUM(AR:SM!AA107)</f>
        <v>-3045709.8157213107</v>
      </c>
      <c r="AB107" s="102">
        <f>SUM(AR:SM!AB107)</f>
        <v>0</v>
      </c>
      <c r="AC107" s="102">
        <f>SUM(AR:SM!AC107)</f>
        <v>0</v>
      </c>
      <c r="AD107" s="102">
        <f>SUM(AR:SM!AD107)</f>
        <v>-7963108.5079999985</v>
      </c>
      <c r="AE107" s="102">
        <f>SUM(AR:SM!AE107)</f>
        <v>-147372.89000000001</v>
      </c>
      <c r="AF107" s="102">
        <f>SUM(AR:SM!AF107)</f>
        <v>-830597.13999999978</v>
      </c>
      <c r="AG107" s="102">
        <f>SUM(AR:SM!AG107)</f>
        <v>0</v>
      </c>
      <c r="AH107" s="102">
        <f>SUM(AR:SM!AH107)</f>
        <v>0</v>
      </c>
      <c r="AI107" s="102">
        <f>SUM(AR:SM!AI107)</f>
        <v>-7344860.6179999998</v>
      </c>
      <c r="AJ107" s="102">
        <f>SUM(AR:SM!AJ107)</f>
        <v>0</v>
      </c>
      <c r="AK107" s="102">
        <f>SUM(AR:SM!AK107)</f>
        <v>-668976.08999999985</v>
      </c>
      <c r="AL107" s="102">
        <f>SUM(AR:SM!AL107)</f>
        <v>0</v>
      </c>
      <c r="AM107" s="102">
        <f>SUM(AR:SM!AM107)</f>
        <v>-50000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38">K105+SUM(K106:K107)</f>
        <v>22334110.876914077</v>
      </c>
      <c r="L108" s="75">
        <f t="shared" si="38"/>
        <v>72270354.150228232</v>
      </c>
      <c r="M108" s="1"/>
      <c r="N108" s="1"/>
      <c r="O108" s="75">
        <f>SUM(AR:SM!O108)</f>
        <v>-685750.73729207763</v>
      </c>
      <c r="P108" s="75">
        <f>SUM(AR:SM!P108)</f>
        <v>1438191.0114006214</v>
      </c>
      <c r="Q108" s="75">
        <f>SUM(AR:SM!Q108)</f>
        <v>1343290.9649027521</v>
      </c>
      <c r="R108" s="75">
        <f>SUM(AR:SM!R108)</f>
        <v>1440750.6584048816</v>
      </c>
      <c r="S108" s="75">
        <f>SUM(AR:SM!S108)</f>
        <v>1420781.5119070131</v>
      </c>
      <c r="T108" s="75">
        <f>SUM(AR:SM!T108)</f>
        <v>1368379.4054091424</v>
      </c>
      <c r="U108" s="75">
        <f>SUM(AR:SM!U108)</f>
        <v>1423341.1589112722</v>
      </c>
      <c r="V108" s="75">
        <f>SUM(AR:SM!V108)</f>
        <v>1370939.0524134024</v>
      </c>
      <c r="W108" s="75">
        <f>SUM(AR:SM!W108)</f>
        <v>1425900.8059155326</v>
      </c>
      <c r="X108" s="75">
        <f>SUM(AR:SM!X108)</f>
        <v>1448429.599417662</v>
      </c>
      <c r="Y108" s="75">
        <f>SUM(AR:SM!Y108)</f>
        <v>1353529.5529197929</v>
      </c>
      <c r="Z108" s="75">
        <f>SUM(AR:SM!Z108)</f>
        <v>1450989.2464219222</v>
      </c>
      <c r="AA108" s="75">
        <f>SUM(AR:SM!AA108)</f>
        <v>1356089.1999240529</v>
      </c>
      <c r="AB108" s="75">
        <f>SUM(AR:SM!AB108)</f>
        <v>1453548.8934261827</v>
      </c>
      <c r="AC108" s="75">
        <f>SUM(AR:SM!AC108)</f>
        <v>1433579.7469283128</v>
      </c>
      <c r="AD108" s="75">
        <f>SUM(AR:SM!AD108)</f>
        <v>1381177.6404304442</v>
      </c>
      <c r="AE108" s="75">
        <f>SUM(AR:SM!AE108)</f>
        <v>1436139.3939325728</v>
      </c>
      <c r="AF108" s="75">
        <f>SUM(AR:SM!AF108)</f>
        <v>1383737.287434703</v>
      </c>
      <c r="AG108" s="75">
        <f>SUM(AR:SM!AG108)</f>
        <v>1438699.0409368332</v>
      </c>
      <c r="AH108" s="75">
        <f>SUM(AR:SM!AH108)</f>
        <v>1461227.8344389629</v>
      </c>
      <c r="AI108" s="75">
        <f>SUM(AR:SM!AI108)</f>
        <v>1366327.7879410936</v>
      </c>
      <c r="AJ108" s="75">
        <f>SUM(AR:SM!AJ108)</f>
        <v>1463787.4814432231</v>
      </c>
      <c r="AK108" s="75">
        <f>SUM(AR:SM!AK108)</f>
        <v>1368887.4349453531</v>
      </c>
      <c r="AL108" s="75">
        <f>SUM(AR:SM!AL108)</f>
        <v>1466347.1284474835</v>
      </c>
      <c r="AM108" s="75">
        <f>SUM(AR:SM!AM108)</f>
        <v>1706395.0633003935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hidden="1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/>
      <c r="L109" s="105"/>
      <c r="M109" s="1"/>
      <c r="N109" s="1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39">SUM(O110:AV110)</f>
        <v>0</v>
      </c>
      <c r="M110" s="1"/>
      <c r="N110" s="1"/>
      <c r="O110" s="97">
        <f>SUM(AR:SM!O110)</f>
        <v>0</v>
      </c>
      <c r="P110" s="97">
        <f>SUM(AR:SM!P110)</f>
        <v>0</v>
      </c>
      <c r="Q110" s="97">
        <f>SUM(AR:SM!Q110)</f>
        <v>0</v>
      </c>
      <c r="R110" s="97">
        <f>SUM(AR:SM!R110)</f>
        <v>0</v>
      </c>
      <c r="S110" s="97">
        <f>SUM(AR:SM!S110)</f>
        <v>0</v>
      </c>
      <c r="T110" s="97">
        <f>SUM(AR:SM!T110)</f>
        <v>0</v>
      </c>
      <c r="U110" s="97">
        <f>SUM(AR:SM!U110)</f>
        <v>0</v>
      </c>
      <c r="V110" s="97">
        <f>SUM(AR:SM!V110)</f>
        <v>0</v>
      </c>
      <c r="W110" s="97">
        <f>SUM(AR:SM!W110)</f>
        <v>0</v>
      </c>
      <c r="X110" s="97">
        <f>SUM(AR:SM!X110)</f>
        <v>0</v>
      </c>
      <c r="Y110" s="97">
        <f>SUM(AR:SM!Y110)</f>
        <v>0</v>
      </c>
      <c r="Z110" s="97">
        <f>SUM(AR:SM!Z110)</f>
        <v>0</v>
      </c>
      <c r="AA110" s="97">
        <f>SUM(AR:SM!AA110)</f>
        <v>0</v>
      </c>
      <c r="AB110" s="97">
        <f>SUM(AR:SM!AB110)</f>
        <v>0</v>
      </c>
      <c r="AC110" s="97">
        <f>SUM(AR:SM!AC110)</f>
        <v>0</v>
      </c>
      <c r="AD110" s="97">
        <f>SUM(AR:SM!AD110)</f>
        <v>0</v>
      </c>
      <c r="AE110" s="97">
        <f>SUM(AR:SM!AE110)</f>
        <v>0</v>
      </c>
      <c r="AF110" s="97">
        <f>SUM(AR:SM!AF110)</f>
        <v>0</v>
      </c>
      <c r="AG110" s="97">
        <f>SUM(AR:SM!AG110)</f>
        <v>0</v>
      </c>
      <c r="AH110" s="97">
        <f>SUM(AR:SM!AH110)</f>
        <v>0</v>
      </c>
      <c r="AI110" s="97">
        <f>SUM(AR:SM!AI110)</f>
        <v>0</v>
      </c>
      <c r="AJ110" s="97">
        <f>SUM(AR:SM!AJ110)</f>
        <v>0</v>
      </c>
      <c r="AK110" s="97">
        <f>SUM(AR:SM!AK110)</f>
        <v>0</v>
      </c>
      <c r="AL110" s="97">
        <f>SUM(AR:SM!AL110)</f>
        <v>0</v>
      </c>
      <c r="AM110" s="97">
        <f>SUM(AR:SM!AM110)</f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35034189.110831931</v>
      </c>
      <c r="L111" s="102">
        <f t="shared" si="39"/>
        <v>106394673.14524826</v>
      </c>
      <c r="M111" s="1"/>
      <c r="N111" s="1"/>
      <c r="O111" s="102">
        <f>SUM(AR:SM!O111)</f>
        <v>926562.12546961033</v>
      </c>
      <c r="P111" s="102">
        <f>SUM(AR:SM!P111)</f>
        <v>11311843.057275983</v>
      </c>
      <c r="Q111" s="102">
        <f>SUM(AR:SM!Q111)</f>
        <v>2328961.421996953</v>
      </c>
      <c r="R111" s="102">
        <f>SUM(AR:SM!R111)</f>
        <v>2560275.9292379958</v>
      </c>
      <c r="S111" s="102">
        <f>SUM(AR:SM!S111)</f>
        <v>2814564.7978208791</v>
      </c>
      <c r="T111" s="102">
        <f>SUM(AR:SM!T111)</f>
        <v>2364539.4866989884</v>
      </c>
      <c r="U111" s="102">
        <f>SUM(AR:SM!U111)</f>
        <v>2599387.638777344</v>
      </c>
      <c r="V111" s="102">
        <f>SUM(AR:SM!V111)</f>
        <v>2857561.116926535</v>
      </c>
      <c r="W111" s="102">
        <f>SUM(AR:SM!W111)</f>
        <v>3074933.3165160641</v>
      </c>
      <c r="X111" s="102">
        <f>SUM(AR:SM!X111)</f>
        <v>3283277.8893218851</v>
      </c>
      <c r="Y111" s="102">
        <f>SUM(AR:SM!Y111)</f>
        <v>3609375.9517160235</v>
      </c>
      <c r="Z111" s="102">
        <f>SUM(AR:SM!Z111)</f>
        <v>3243330.3566821129</v>
      </c>
      <c r="AA111" s="102">
        <f>SUM(AR:SM!AA111)</f>
        <v>3565460.7948207399</v>
      </c>
      <c r="AB111" s="102">
        <f>SUM(AR:SM!AB111)</f>
        <v>3617082.9215261904</v>
      </c>
      <c r="AC111" s="102">
        <f>SUM(AR:SM!AC111)</f>
        <v>3976334.7948034271</v>
      </c>
      <c r="AD111" s="102">
        <f>SUM(AR:SM!AD111)</f>
        <v>4371267.8817142034</v>
      </c>
      <c r="AE111" s="102">
        <f>SUM(AR:SM!AE111)</f>
        <v>4014523.0955145014</v>
      </c>
      <c r="AF111" s="102">
        <f>SUM(AR:SM!AF111)</f>
        <v>4398611.8724976247</v>
      </c>
      <c r="AG111" s="102">
        <f>SUM(AR:SM!AG111)</f>
        <v>4752990.2498641293</v>
      </c>
      <c r="AH111" s="102">
        <f>SUM(AR:SM!AH111)</f>
        <v>5225061.4431370925</v>
      </c>
      <c r="AI111" s="102">
        <f>SUM(AR:SM!AI111)</f>
        <v>5744019.1646381607</v>
      </c>
      <c r="AJ111" s="102">
        <f>SUM(AR:SM!AJ111)</f>
        <v>5585022.1763420142</v>
      </c>
      <c r="AK111" s="102">
        <f>SUM(AR:SM!AK111)</f>
        <v>6139731.5160712739</v>
      </c>
      <c r="AL111" s="102">
        <f>SUM(AR:SM!AL111)</f>
        <v>6683091.781151522</v>
      </c>
      <c r="AM111" s="102">
        <f>SUM(AR:SM!AM111)</f>
        <v>7346862.3647270147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40">K108+K110+K111</f>
        <v>57368299.987746008</v>
      </c>
      <c r="L112" s="75">
        <f t="shared" si="40"/>
        <v>178665027.2954765</v>
      </c>
      <c r="M112" s="1"/>
      <c r="N112" s="1"/>
      <c r="O112" s="75">
        <f>SUM(AR:SM!O112)</f>
        <v>240811.38817753264</v>
      </c>
      <c r="P112" s="75">
        <f>SUM(AR:SM!P112)</f>
        <v>12750034.068676606</v>
      </c>
      <c r="Q112" s="75">
        <f>SUM(AR:SM!Q112)</f>
        <v>3672252.386899705</v>
      </c>
      <c r="R112" s="75">
        <f>SUM(AR:SM!R112)</f>
        <v>4001026.5876428774</v>
      </c>
      <c r="S112" s="75">
        <f>SUM(AR:SM!S112)</f>
        <v>4235346.3097278932</v>
      </c>
      <c r="T112" s="75">
        <f>SUM(AR:SM!T112)</f>
        <v>3732918.8921081303</v>
      </c>
      <c r="U112" s="75">
        <f>SUM(AR:SM!U112)</f>
        <v>4022728.7976886155</v>
      </c>
      <c r="V112" s="75">
        <f>SUM(AR:SM!V112)</f>
        <v>4228500.1693399381</v>
      </c>
      <c r="W112" s="75">
        <f>SUM(AR:SM!W112)</f>
        <v>4500834.1224315967</v>
      </c>
      <c r="X112" s="75">
        <f>SUM(AR:SM!X112)</f>
        <v>4731707.4887395473</v>
      </c>
      <c r="Y112" s="75">
        <f>SUM(AR:SM!Y112)</f>
        <v>4962905.5046358164</v>
      </c>
      <c r="Z112" s="75">
        <f>SUM(AR:SM!Z112)</f>
        <v>4694319.6031040354</v>
      </c>
      <c r="AA112" s="75">
        <f>SUM(AR:SM!AA112)</f>
        <v>4921549.9947447926</v>
      </c>
      <c r="AB112" s="75">
        <f>SUM(AR:SM!AB112)</f>
        <v>5070631.8149523735</v>
      </c>
      <c r="AC112" s="75">
        <f>SUM(AR:SM!AC112)</f>
        <v>5409914.5417317403</v>
      </c>
      <c r="AD112" s="75">
        <f>SUM(AR:SM!AD112)</f>
        <v>5752445.5221446473</v>
      </c>
      <c r="AE112" s="75">
        <f>SUM(AR:SM!AE112)</f>
        <v>5450662.489447074</v>
      </c>
      <c r="AF112" s="75">
        <f>SUM(AR:SM!AF112)</f>
        <v>5782349.1599323265</v>
      </c>
      <c r="AG112" s="75">
        <f>SUM(AR:SM!AG112)</f>
        <v>6191689.2908009626</v>
      </c>
      <c r="AH112" s="75">
        <f>SUM(AR:SM!AH112)</f>
        <v>6686289.2775760572</v>
      </c>
      <c r="AI112" s="75">
        <f>SUM(AR:SM!AI112)</f>
        <v>7110346.9525792552</v>
      </c>
      <c r="AJ112" s="75">
        <f>SUM(AR:SM!AJ112)</f>
        <v>7048809.6577852368</v>
      </c>
      <c r="AK112" s="75">
        <f>SUM(AR:SM!AK112)</f>
        <v>7508618.9510166273</v>
      </c>
      <c r="AL112" s="75">
        <f>SUM(AR:SM!AL112)</f>
        <v>8149438.9095990071</v>
      </c>
      <c r="AM112" s="75">
        <f>SUM(AR:SM!AM112)</f>
        <v>9053257.4280274082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hidden="1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/>
      <c r="L113" s="105"/>
      <c r="M113" s="1"/>
      <c r="N113" s="1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41">K112+K114</f>
        <v>57368299.987746008</v>
      </c>
      <c r="L115" s="75">
        <f t="shared" si="41"/>
        <v>178665027.2954765</v>
      </c>
      <c r="M115" s="1"/>
      <c r="N115" s="1"/>
      <c r="O115" s="75">
        <f>SUM(AR:SM!O115)</f>
        <v>240811.38817753264</v>
      </c>
      <c r="P115" s="75">
        <f>SUM(AR:SM!P115)</f>
        <v>12750034.068676606</v>
      </c>
      <c r="Q115" s="75">
        <f>SUM(AR:SM!Q115)</f>
        <v>3672252.386899705</v>
      </c>
      <c r="R115" s="75">
        <f>SUM(AR:SM!R115)</f>
        <v>4001026.5876428774</v>
      </c>
      <c r="S115" s="75">
        <f>SUM(AR:SM!S115)</f>
        <v>4235346.3097278932</v>
      </c>
      <c r="T115" s="75">
        <f>SUM(AR:SM!T115)</f>
        <v>3732918.8921081303</v>
      </c>
      <c r="U115" s="75">
        <f>SUM(AR:SM!U115)</f>
        <v>4022728.7976886155</v>
      </c>
      <c r="V115" s="75">
        <f>SUM(AR:SM!V115)</f>
        <v>4228500.1693399381</v>
      </c>
      <c r="W115" s="75">
        <f>SUM(AR:SM!W115)</f>
        <v>4500834.1224315967</v>
      </c>
      <c r="X115" s="75">
        <f>SUM(AR:SM!X115)</f>
        <v>4731707.4887395473</v>
      </c>
      <c r="Y115" s="75">
        <f>SUM(AR:SM!Y115)</f>
        <v>4962905.5046358164</v>
      </c>
      <c r="Z115" s="75">
        <f>SUM(AR:SM!Z115)</f>
        <v>4694319.6031040354</v>
      </c>
      <c r="AA115" s="75">
        <f>SUM(AR:SM!AA115)</f>
        <v>4921549.9947447926</v>
      </c>
      <c r="AB115" s="75">
        <f>SUM(AR:SM!AB115)</f>
        <v>5070631.8149523735</v>
      </c>
      <c r="AC115" s="75">
        <f>SUM(AR:SM!AC115)</f>
        <v>5409914.5417317403</v>
      </c>
      <c r="AD115" s="75">
        <f>SUM(AR:SM!AD115)</f>
        <v>5752445.5221446473</v>
      </c>
      <c r="AE115" s="75">
        <f>SUM(AR:SM!AE115)</f>
        <v>5450662.489447074</v>
      </c>
      <c r="AF115" s="75">
        <f>SUM(AR:SM!AF115)</f>
        <v>5782349.1599323265</v>
      </c>
      <c r="AG115" s="75">
        <f>SUM(AR:SM!AG115)</f>
        <v>6191689.2908009626</v>
      </c>
      <c r="AH115" s="75">
        <f>SUM(AR:SM!AH115)</f>
        <v>6686289.2775760572</v>
      </c>
      <c r="AI115" s="75">
        <f>SUM(AR:SM!AI115)</f>
        <v>7110346.9525792552</v>
      </c>
      <c r="AJ115" s="75">
        <f>SUM(AR:SM!AJ115)</f>
        <v>7048809.6577852368</v>
      </c>
      <c r="AK115" s="75">
        <f>SUM(AR:SM!AK115)</f>
        <v>7508618.9510166273</v>
      </c>
      <c r="AL115" s="75">
        <f>SUM(AR:SM!AL115)</f>
        <v>8149438.9095990071</v>
      </c>
      <c r="AM115" s="75">
        <f>SUM(AR:SM!AM115)</f>
        <v>9053257.4280274082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hidden="1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/>
      <c r="L116" s="105"/>
      <c r="M116" s="1"/>
      <c r="N116" s="1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-7063508.6706534754</v>
      </c>
      <c r="L117" s="108">
        <f>SUM(O117:AV117)</f>
        <v>-20218865.177392341</v>
      </c>
      <c r="M117" s="1"/>
      <c r="N117" s="1"/>
      <c r="O117" s="108">
        <f>SUM(AR:SM!O117)</f>
        <v>-251629.15238530707</v>
      </c>
      <c r="P117" s="108">
        <f>SUM(AR:SM!P117)</f>
        <v>-831968.16770862602</v>
      </c>
      <c r="Q117" s="108">
        <f>SUM(AR:SM!Q117)</f>
        <v>-831968.16770862602</v>
      </c>
      <c r="R117" s="108">
        <f>SUM(AR:SM!R117)</f>
        <v>-831968.16770862602</v>
      </c>
      <c r="S117" s="108">
        <f>SUM(AR:SM!S117)</f>
        <v>-831968.16770862602</v>
      </c>
      <c r="T117" s="108">
        <f>SUM(AR:SM!T117)</f>
        <v>-831968.16770862602</v>
      </c>
      <c r="U117" s="108">
        <f>SUM(AR:SM!U117)</f>
        <v>-831968.16770862602</v>
      </c>
      <c r="V117" s="108">
        <f>SUM(AR:SM!V117)</f>
        <v>-831968.16770862602</v>
      </c>
      <c r="W117" s="108">
        <f>SUM(AR:SM!W117)</f>
        <v>-831968.16770862602</v>
      </c>
      <c r="X117" s="108">
        <f>SUM(AR:SM!X117)</f>
        <v>-831968.16770862602</v>
      </c>
      <c r="Y117" s="108">
        <f>SUM(AR:SM!Y117)</f>
        <v>-831968.16770862602</v>
      </c>
      <c r="Z117" s="108">
        <f>SUM(AR:SM!Z117)</f>
        <v>-831968.16770862602</v>
      </c>
      <c r="AA117" s="108">
        <f>SUM(AR:SM!AA117)</f>
        <v>-831968.16770862602</v>
      </c>
      <c r="AB117" s="108">
        <f>SUM(AR:SM!AB117)</f>
        <v>-831968.16770862602</v>
      </c>
      <c r="AC117" s="108">
        <f>SUM(AR:SM!AC117)</f>
        <v>-831968.16770862602</v>
      </c>
      <c r="AD117" s="108">
        <f>SUM(AR:SM!AD117)</f>
        <v>-831968.16770862602</v>
      </c>
      <c r="AE117" s="108">
        <f>SUM(AR:SM!AE117)</f>
        <v>-831968.16770862602</v>
      </c>
      <c r="AF117" s="108">
        <f>SUM(AR:SM!AF117)</f>
        <v>-831968.16770862602</v>
      </c>
      <c r="AG117" s="108">
        <f>SUM(AR:SM!AG117)</f>
        <v>-831968.16770862602</v>
      </c>
      <c r="AH117" s="108">
        <f>SUM(AR:SM!AH117)</f>
        <v>-831968.16770862602</v>
      </c>
      <c r="AI117" s="108">
        <f>SUM(AR:SM!AI117)</f>
        <v>-831968.16770862602</v>
      </c>
      <c r="AJ117" s="108">
        <f>SUM(AR:SM!AJ117)</f>
        <v>-831968.16770862602</v>
      </c>
      <c r="AK117" s="108">
        <f>SUM(AR:SM!AK117)</f>
        <v>-831968.16770862602</v>
      </c>
      <c r="AL117" s="108">
        <f>SUM(AR:SM!AL117)</f>
        <v>-831968.16770862602</v>
      </c>
      <c r="AM117" s="108">
        <f>SUM(AR:SM!AM117)</f>
        <v>-831968.16770862602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42">K115+K117</f>
        <v>50304791.31709253</v>
      </c>
      <c r="L118" s="109">
        <f t="shared" si="42"/>
        <v>158446162.11808416</v>
      </c>
      <c r="M118" s="1"/>
      <c r="N118" s="1"/>
      <c r="O118" s="109">
        <f>SUM(AR:SM!O118)</f>
        <v>-10817.764207774429</v>
      </c>
      <c r="P118" s="109">
        <f>SUM(AR:SM!P118)</f>
        <v>11918065.900967978</v>
      </c>
      <c r="Q118" s="109">
        <f>SUM(AR:SM!Q118)</f>
        <v>2840284.219191079</v>
      </c>
      <c r="R118" s="109">
        <f>SUM(AR:SM!R118)</f>
        <v>3169058.4199342518</v>
      </c>
      <c r="S118" s="109">
        <f>SUM(AR:SM!S118)</f>
        <v>3403378.1420192667</v>
      </c>
      <c r="T118" s="109">
        <f>SUM(AR:SM!T118)</f>
        <v>2900950.7243995043</v>
      </c>
      <c r="U118" s="109">
        <f>SUM(AR:SM!U118)</f>
        <v>3190760.6299799895</v>
      </c>
      <c r="V118" s="109">
        <f>SUM(AR:SM!V118)</f>
        <v>3396532.0016313107</v>
      </c>
      <c r="W118" s="109">
        <f>SUM(AR:SM!W118)</f>
        <v>3668865.9547229698</v>
      </c>
      <c r="X118" s="109">
        <f>SUM(AR:SM!X118)</f>
        <v>3899739.3210309213</v>
      </c>
      <c r="Y118" s="109">
        <f>SUM(AR:SM!Y118)</f>
        <v>4130937.3369271904</v>
      </c>
      <c r="Z118" s="109">
        <f>SUM(AR:SM!Z118)</f>
        <v>3862351.4353954098</v>
      </c>
      <c r="AA118" s="109">
        <f>SUM(AR:SM!AA118)</f>
        <v>4089581.8270361661</v>
      </c>
      <c r="AB118" s="109">
        <f>SUM(AR:SM!AB118)</f>
        <v>4238663.6472437466</v>
      </c>
      <c r="AC118" s="109">
        <f>SUM(AR:SM!AC118)</f>
        <v>4577946.3740231134</v>
      </c>
      <c r="AD118" s="109">
        <f>SUM(AR:SM!AD118)</f>
        <v>4920477.3544360213</v>
      </c>
      <c r="AE118" s="109">
        <f>SUM(AR:SM!AE118)</f>
        <v>4618694.321738448</v>
      </c>
      <c r="AF118" s="109">
        <f>SUM(AR:SM!AF118)</f>
        <v>4950380.9922237014</v>
      </c>
      <c r="AG118" s="109">
        <f>SUM(AR:SM!AG118)</f>
        <v>5359721.1230923366</v>
      </c>
      <c r="AH118" s="109">
        <f>SUM(AR:SM!AH118)</f>
        <v>5854321.1098674294</v>
      </c>
      <c r="AI118" s="109">
        <f>SUM(AR:SM!AI118)</f>
        <v>6278378.7848706283</v>
      </c>
      <c r="AJ118" s="109">
        <f>SUM(AR:SM!AJ118)</f>
        <v>6216841.4900766108</v>
      </c>
      <c r="AK118" s="109">
        <f>SUM(AR:SM!AK118)</f>
        <v>6676650.7833080003</v>
      </c>
      <c r="AL118" s="109">
        <f>SUM(AR:SM!AL118)</f>
        <v>7317470.7418903802</v>
      </c>
      <c r="AM118" s="109">
        <f>SUM(AR:SM!AM118)</f>
        <v>8221289.2603187822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hidden="1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/>
      <c r="L119" s="105"/>
      <c r="M119" s="1"/>
      <c r="N119" s="1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43">SUM(K123)</f>
        <v>72678715.952731371</v>
      </c>
      <c r="L122" s="69">
        <f t="shared" si="43"/>
        <v>207615812.5677672</v>
      </c>
      <c r="M122" s="1"/>
      <c r="N122" s="1"/>
      <c r="O122" s="69">
        <f>SUM(AR:SM!O122)</f>
        <v>2844052.2269557137</v>
      </c>
      <c r="P122" s="69">
        <f>SUM(AR:SM!P122)</f>
        <v>8532156.6808671486</v>
      </c>
      <c r="Q122" s="69">
        <f>SUM(AR:SM!Q122)</f>
        <v>8532156.6808671486</v>
      </c>
      <c r="R122" s="69">
        <f>SUM(AR:SM!R122)</f>
        <v>8532156.6808671486</v>
      </c>
      <c r="S122" s="69">
        <f>SUM(AR:SM!S122)</f>
        <v>8532156.6808671486</v>
      </c>
      <c r="T122" s="69">
        <f>SUM(AR:SM!T122)</f>
        <v>8532156.6808671486</v>
      </c>
      <c r="U122" s="69">
        <f>SUM(AR:SM!U122)</f>
        <v>8532156.6808671486</v>
      </c>
      <c r="V122" s="69">
        <f>SUM(AR:SM!V122)</f>
        <v>8532156.6808671486</v>
      </c>
      <c r="W122" s="69">
        <f>SUM(AR:SM!W122)</f>
        <v>8532156.6808671486</v>
      </c>
      <c r="X122" s="69">
        <f>SUM(AR:SM!X122)</f>
        <v>8532156.6808671486</v>
      </c>
      <c r="Y122" s="69">
        <f>SUM(AR:SM!Y122)</f>
        <v>8532156.6808671486</v>
      </c>
      <c r="Z122" s="69">
        <f>SUM(AR:SM!Z122)</f>
        <v>8532156.6808671486</v>
      </c>
      <c r="AA122" s="69">
        <f>SUM(AR:SM!AA122)</f>
        <v>8532156.6808671486</v>
      </c>
      <c r="AB122" s="69">
        <f>SUM(AR:SM!AB122)</f>
        <v>8532156.6808671486</v>
      </c>
      <c r="AC122" s="69">
        <f>SUM(AR:SM!AC122)</f>
        <v>8532156.6808671486</v>
      </c>
      <c r="AD122" s="69">
        <f>SUM(AR:SM!AD122)</f>
        <v>8532156.6808671486</v>
      </c>
      <c r="AE122" s="69">
        <f>SUM(AR:SM!AE122)</f>
        <v>8532156.6808671486</v>
      </c>
      <c r="AF122" s="69">
        <f>SUM(AR:SM!AF122)</f>
        <v>8532156.6808671486</v>
      </c>
      <c r="AG122" s="69">
        <f>SUM(AR:SM!AG122)</f>
        <v>8532156.6808671486</v>
      </c>
      <c r="AH122" s="69">
        <f>SUM(AR:SM!AH122)</f>
        <v>8532156.6808671486</v>
      </c>
      <c r="AI122" s="69">
        <f>SUM(AR:SM!AI122)</f>
        <v>8532156.6808671486</v>
      </c>
      <c r="AJ122" s="69">
        <f>SUM(AR:SM!AJ122)</f>
        <v>8532156.6808671486</v>
      </c>
      <c r="AK122" s="69">
        <f>SUM(AR:SM!AK122)</f>
        <v>8532156.6808671486</v>
      </c>
      <c r="AL122" s="69">
        <f>SUM(AR:SM!AL122)</f>
        <v>8532156.6808671486</v>
      </c>
      <c r="AM122" s="69">
        <f>SUM(AR:SM!AM122)</f>
        <v>8532156.6808671486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72678715.952731371</v>
      </c>
      <c r="L123" s="97">
        <f>SUM(O123:AV123)</f>
        <v>207615812.5677672</v>
      </c>
      <c r="M123" s="1"/>
      <c r="N123" s="1"/>
      <c r="O123" s="97">
        <f>SUM(AR:SM!O123)</f>
        <v>2844052.2269557137</v>
      </c>
      <c r="P123" s="97">
        <f>SUM(AR:SM!P123)</f>
        <v>8532156.6808671486</v>
      </c>
      <c r="Q123" s="97">
        <f>SUM(AR:SM!Q123)</f>
        <v>8532156.6808671486</v>
      </c>
      <c r="R123" s="97">
        <f>SUM(AR:SM!R123)</f>
        <v>8532156.6808671486</v>
      </c>
      <c r="S123" s="97">
        <f>SUM(AR:SM!S123)</f>
        <v>8532156.6808671486</v>
      </c>
      <c r="T123" s="97">
        <f>SUM(AR:SM!T123)</f>
        <v>8532156.6808671486</v>
      </c>
      <c r="U123" s="97">
        <f>SUM(AR:SM!U123)</f>
        <v>8532156.6808671486</v>
      </c>
      <c r="V123" s="97">
        <f>SUM(AR:SM!V123)</f>
        <v>8532156.6808671486</v>
      </c>
      <c r="W123" s="97">
        <f>SUM(AR:SM!W123)</f>
        <v>8532156.6808671486</v>
      </c>
      <c r="X123" s="97">
        <f>SUM(AR:SM!X123)</f>
        <v>8532156.6808671486</v>
      </c>
      <c r="Y123" s="97">
        <f>SUM(AR:SM!Y123)</f>
        <v>8532156.6808671486</v>
      </c>
      <c r="Z123" s="97">
        <f>SUM(AR:SM!Z123)</f>
        <v>8532156.6808671486</v>
      </c>
      <c r="AA123" s="97">
        <f>SUM(AR:SM!AA123)</f>
        <v>8532156.6808671486</v>
      </c>
      <c r="AB123" s="97">
        <f>SUM(AR:SM!AB123)</f>
        <v>8532156.6808671486</v>
      </c>
      <c r="AC123" s="97">
        <f>SUM(AR:SM!AC123)</f>
        <v>8532156.6808671486</v>
      </c>
      <c r="AD123" s="97">
        <f>SUM(AR:SM!AD123)</f>
        <v>8532156.6808671486</v>
      </c>
      <c r="AE123" s="97">
        <f>SUM(AR:SM!AE123)</f>
        <v>8532156.6808671486</v>
      </c>
      <c r="AF123" s="97">
        <f>SUM(AR:SM!AF123)</f>
        <v>8532156.6808671486</v>
      </c>
      <c r="AG123" s="97">
        <f>SUM(AR:SM!AG123)</f>
        <v>8532156.6808671486</v>
      </c>
      <c r="AH123" s="97">
        <f>SUM(AR:SM!AH123)</f>
        <v>8532156.6808671486</v>
      </c>
      <c r="AI123" s="97">
        <f>SUM(AR:SM!AI123)</f>
        <v>8532156.6808671486</v>
      </c>
      <c r="AJ123" s="97">
        <f>SUM(AR:SM!AJ123)</f>
        <v>8532156.6808671486</v>
      </c>
      <c r="AK123" s="97">
        <f>SUM(AR:SM!AK123)</f>
        <v>8532156.6808671486</v>
      </c>
      <c r="AL123" s="97">
        <f>SUM(AR:SM!AL123)</f>
        <v>8532156.6808671486</v>
      </c>
      <c r="AM123" s="97">
        <f>SUM(AR:SM!AM123)</f>
        <v>8532156.6808671486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44">SUM(K125:K126)</f>
        <v>-4106347.4513293202</v>
      </c>
      <c r="L124" s="99">
        <f t="shared" si="44"/>
        <v>-11730293.410078852</v>
      </c>
      <c r="M124" s="111"/>
      <c r="N124" s="1"/>
      <c r="O124" s="99">
        <f>SUM(AR:SM!O124)</f>
        <v>-160688.95082299781</v>
      </c>
      <c r="P124" s="99">
        <f>SUM(AR:SM!P124)</f>
        <v>-482066.85246899398</v>
      </c>
      <c r="Q124" s="99">
        <f>SUM(AR:SM!Q124)</f>
        <v>-482066.85246899398</v>
      </c>
      <c r="R124" s="99">
        <f>SUM(AR:SM!R124)</f>
        <v>-482066.85246899398</v>
      </c>
      <c r="S124" s="99">
        <f>SUM(AR:SM!S124)</f>
        <v>-482066.85246899398</v>
      </c>
      <c r="T124" s="99">
        <f>SUM(AR:SM!T124)</f>
        <v>-482066.85246899398</v>
      </c>
      <c r="U124" s="99">
        <f>SUM(AR:SM!U124)</f>
        <v>-482066.85246899398</v>
      </c>
      <c r="V124" s="99">
        <f>SUM(AR:SM!V124)</f>
        <v>-482066.85246899398</v>
      </c>
      <c r="W124" s="99">
        <f>SUM(AR:SM!W124)</f>
        <v>-482066.85246899398</v>
      </c>
      <c r="X124" s="99">
        <f>SUM(AR:SM!X124)</f>
        <v>-482066.85246899398</v>
      </c>
      <c r="Y124" s="99">
        <f>SUM(AR:SM!Y124)</f>
        <v>-482066.85246899398</v>
      </c>
      <c r="Z124" s="99">
        <f>SUM(AR:SM!Z124)</f>
        <v>-482066.85246899398</v>
      </c>
      <c r="AA124" s="99">
        <f>SUM(AR:SM!AA124)</f>
        <v>-482066.85246899398</v>
      </c>
      <c r="AB124" s="99">
        <f>SUM(AR:SM!AB124)</f>
        <v>-482066.85246899398</v>
      </c>
      <c r="AC124" s="99">
        <f>SUM(AR:SM!AC124)</f>
        <v>-482066.85246899398</v>
      </c>
      <c r="AD124" s="99">
        <f>SUM(AR:SM!AD124)</f>
        <v>-482066.85246899398</v>
      </c>
      <c r="AE124" s="99">
        <f>SUM(AR:SM!AE124)</f>
        <v>-482066.85246899398</v>
      </c>
      <c r="AF124" s="99">
        <f>SUM(AR:SM!AF124)</f>
        <v>-482066.85246899398</v>
      </c>
      <c r="AG124" s="99">
        <f>SUM(AR:SM!AG124)</f>
        <v>-482066.85246899398</v>
      </c>
      <c r="AH124" s="99">
        <f>SUM(AR:SM!AH124)</f>
        <v>-482066.85246899398</v>
      </c>
      <c r="AI124" s="99">
        <f>SUM(AR:SM!AI124)</f>
        <v>-482066.85246899398</v>
      </c>
      <c r="AJ124" s="99">
        <f>SUM(AR:SM!AJ124)</f>
        <v>-482066.85246899398</v>
      </c>
      <c r="AK124" s="99">
        <f>SUM(AR:SM!AK124)</f>
        <v>-482066.85246899398</v>
      </c>
      <c r="AL124" s="99">
        <f>SUM(AR:SM!AL124)</f>
        <v>-482066.85246899398</v>
      </c>
      <c r="AM124" s="99">
        <f>SUM(AR:SM!AM124)</f>
        <v>-482066.85246899398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-2652773.1322746933</v>
      </c>
      <c r="L125" s="54">
        <f t="shared" ref="L125:L126" si="45">SUM(O125:AV125)</f>
        <v>-7577977.1587235071</v>
      </c>
      <c r="M125" s="1"/>
      <c r="N125" s="1"/>
      <c r="O125" s="54">
        <f>SUM(AR:SM!O125)</f>
        <v>-103807.90628388354</v>
      </c>
      <c r="P125" s="54">
        <f>SUM(AR:SM!P125)</f>
        <v>-311423.71885165089</v>
      </c>
      <c r="Q125" s="54">
        <f>SUM(AR:SM!Q125)</f>
        <v>-311423.71885165089</v>
      </c>
      <c r="R125" s="54">
        <f>SUM(AR:SM!R125)</f>
        <v>-311423.71885165089</v>
      </c>
      <c r="S125" s="54">
        <f>SUM(AR:SM!S125)</f>
        <v>-311423.71885165089</v>
      </c>
      <c r="T125" s="54">
        <f>SUM(AR:SM!T125)</f>
        <v>-311423.71885165089</v>
      </c>
      <c r="U125" s="54">
        <f>SUM(AR:SM!U125)</f>
        <v>-311423.71885165089</v>
      </c>
      <c r="V125" s="54">
        <f>SUM(AR:SM!V125)</f>
        <v>-311423.71885165089</v>
      </c>
      <c r="W125" s="54">
        <f>SUM(AR:SM!W125)</f>
        <v>-311423.71885165089</v>
      </c>
      <c r="X125" s="54">
        <f>SUM(AR:SM!X125)</f>
        <v>-311423.71885165089</v>
      </c>
      <c r="Y125" s="54">
        <f>SUM(AR:SM!Y125)</f>
        <v>-311423.71885165089</v>
      </c>
      <c r="Z125" s="54">
        <f>SUM(AR:SM!Z125)</f>
        <v>-311423.71885165089</v>
      </c>
      <c r="AA125" s="54">
        <f>SUM(AR:SM!AA125)</f>
        <v>-311423.71885165089</v>
      </c>
      <c r="AB125" s="54">
        <f>SUM(AR:SM!AB125)</f>
        <v>-311423.71885165089</v>
      </c>
      <c r="AC125" s="54">
        <f>SUM(AR:SM!AC125)</f>
        <v>-311423.71885165089</v>
      </c>
      <c r="AD125" s="54">
        <f>SUM(AR:SM!AD125)</f>
        <v>-311423.71885165089</v>
      </c>
      <c r="AE125" s="54">
        <f>SUM(AR:SM!AE125)</f>
        <v>-311423.71885165089</v>
      </c>
      <c r="AF125" s="54">
        <f>SUM(AR:SM!AF125)</f>
        <v>-311423.71885165089</v>
      </c>
      <c r="AG125" s="54">
        <f>SUM(AR:SM!AG125)</f>
        <v>-311423.71885165089</v>
      </c>
      <c r="AH125" s="54">
        <f>SUM(AR:SM!AH125)</f>
        <v>-311423.71885165089</v>
      </c>
      <c r="AI125" s="54">
        <f>SUM(AR:SM!AI125)</f>
        <v>-311423.71885165089</v>
      </c>
      <c r="AJ125" s="54">
        <f>SUM(AR:SM!AJ125)</f>
        <v>-311423.71885165089</v>
      </c>
      <c r="AK125" s="54">
        <f>SUM(AR:SM!AK125)</f>
        <v>-311423.71885165089</v>
      </c>
      <c r="AL125" s="54">
        <f>SUM(AR:SM!AL125)</f>
        <v>-311423.71885165089</v>
      </c>
      <c r="AM125" s="54">
        <f>SUM(AR:SM!AM125)</f>
        <v>-311423.71885165089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-1453574.3190546269</v>
      </c>
      <c r="L126" s="102">
        <f t="shared" si="45"/>
        <v>-4152316.2513553444</v>
      </c>
      <c r="M126" s="1"/>
      <c r="N126" s="1"/>
      <c r="O126" s="54">
        <f>SUM(AR:SM!O126)</f>
        <v>-56881.044539114271</v>
      </c>
      <c r="P126" s="54">
        <f>SUM(AR:SM!P126)</f>
        <v>-170643.13361734297</v>
      </c>
      <c r="Q126" s="54">
        <f>SUM(AR:SM!Q126)</f>
        <v>-170643.13361734297</v>
      </c>
      <c r="R126" s="54">
        <f>SUM(AR:SM!R126)</f>
        <v>-170643.13361734297</v>
      </c>
      <c r="S126" s="54">
        <f>SUM(AR:SM!S126)</f>
        <v>-170643.13361734297</v>
      </c>
      <c r="T126" s="54">
        <f>SUM(AR:SM!T126)</f>
        <v>-170643.13361734297</v>
      </c>
      <c r="U126" s="54">
        <f>SUM(AR:SM!U126)</f>
        <v>-170643.13361734297</v>
      </c>
      <c r="V126" s="54">
        <f>SUM(AR:SM!V126)</f>
        <v>-170643.13361734297</v>
      </c>
      <c r="W126" s="54">
        <f>SUM(AR:SM!W126)</f>
        <v>-170643.13361734297</v>
      </c>
      <c r="X126" s="54">
        <f>SUM(AR:SM!X126)</f>
        <v>-170643.13361734297</v>
      </c>
      <c r="Y126" s="54">
        <f>SUM(AR:SM!Y126)</f>
        <v>-170643.13361734297</v>
      </c>
      <c r="Z126" s="54">
        <f>SUM(AR:SM!Z126)</f>
        <v>-170643.13361734297</v>
      </c>
      <c r="AA126" s="54">
        <f>SUM(AR:SM!AA126)</f>
        <v>-170643.13361734297</v>
      </c>
      <c r="AB126" s="54">
        <f>SUM(AR:SM!AB126)</f>
        <v>-170643.13361734297</v>
      </c>
      <c r="AC126" s="54">
        <f>SUM(AR:SM!AC126)</f>
        <v>-170643.13361734297</v>
      </c>
      <c r="AD126" s="54">
        <f>SUM(AR:SM!AD126)</f>
        <v>-170643.13361734297</v>
      </c>
      <c r="AE126" s="54">
        <f>SUM(AR:SM!AE126)</f>
        <v>-170643.13361734297</v>
      </c>
      <c r="AF126" s="54">
        <f>SUM(AR:SM!AF126)</f>
        <v>-170643.13361734297</v>
      </c>
      <c r="AG126" s="54">
        <f>SUM(AR:SM!AG126)</f>
        <v>-170643.13361734297</v>
      </c>
      <c r="AH126" s="54">
        <f>SUM(AR:SM!AH126)</f>
        <v>-170643.13361734297</v>
      </c>
      <c r="AI126" s="54">
        <f>SUM(AR:SM!AI126)</f>
        <v>-170643.13361734297</v>
      </c>
      <c r="AJ126" s="54">
        <f>SUM(AR:SM!AJ126)</f>
        <v>-170643.13361734297</v>
      </c>
      <c r="AK126" s="54">
        <f>SUM(AR:SM!AK126)</f>
        <v>-170643.13361734297</v>
      </c>
      <c r="AL126" s="54">
        <f>SUM(AR:SM!AL126)</f>
        <v>-170643.13361734297</v>
      </c>
      <c r="AM126" s="54">
        <f>SUM(AR:SM!AM126)</f>
        <v>-170643.13361734297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46">K122+K124</f>
        <v>68572368.50140205</v>
      </c>
      <c r="L127" s="69">
        <f t="shared" si="46"/>
        <v>195885519.15768835</v>
      </c>
      <c r="M127" s="1"/>
      <c r="N127" s="1"/>
      <c r="O127" s="69">
        <f>SUM(AR:SM!O127)</f>
        <v>2683363.2761327154</v>
      </c>
      <c r="P127" s="69">
        <f>SUM(AR:SM!P127)</f>
        <v>8050089.8283981569</v>
      </c>
      <c r="Q127" s="69">
        <f>SUM(AR:SM!Q127)</f>
        <v>8050089.8283981569</v>
      </c>
      <c r="R127" s="69">
        <f>SUM(AR:SM!R127)</f>
        <v>8050089.8283981569</v>
      </c>
      <c r="S127" s="69">
        <f>SUM(AR:SM!S127)</f>
        <v>8050089.8283981569</v>
      </c>
      <c r="T127" s="69">
        <f>SUM(AR:SM!T127)</f>
        <v>8050089.8283981569</v>
      </c>
      <c r="U127" s="69">
        <f>SUM(AR:SM!U127)</f>
        <v>8050089.8283981569</v>
      </c>
      <c r="V127" s="69">
        <f>SUM(AR:SM!V127)</f>
        <v>8050089.8283981569</v>
      </c>
      <c r="W127" s="69">
        <f>SUM(AR:SM!W127)</f>
        <v>8050089.8283981569</v>
      </c>
      <c r="X127" s="69">
        <f>SUM(AR:SM!X127)</f>
        <v>8050089.8283981569</v>
      </c>
      <c r="Y127" s="69">
        <f>SUM(AR:SM!Y127)</f>
        <v>8050089.8283981569</v>
      </c>
      <c r="Z127" s="69">
        <f>SUM(AR:SM!Z127)</f>
        <v>8050089.8283981569</v>
      </c>
      <c r="AA127" s="69">
        <f>SUM(AR:SM!AA127)</f>
        <v>8050089.8283981569</v>
      </c>
      <c r="AB127" s="69">
        <f>SUM(AR:SM!AB127)</f>
        <v>8050089.8283981569</v>
      </c>
      <c r="AC127" s="69">
        <f>SUM(AR:SM!AC127)</f>
        <v>8050089.8283981569</v>
      </c>
      <c r="AD127" s="69">
        <f>SUM(AR:SM!AD127)</f>
        <v>8050089.8283981569</v>
      </c>
      <c r="AE127" s="69">
        <f>SUM(AR:SM!AE127)</f>
        <v>8050089.8283981569</v>
      </c>
      <c r="AF127" s="69">
        <f>SUM(AR:SM!AF127)</f>
        <v>8050089.8283981569</v>
      </c>
      <c r="AG127" s="69">
        <f>SUM(AR:SM!AG127)</f>
        <v>8050089.8283981569</v>
      </c>
      <c r="AH127" s="69">
        <f>SUM(AR:SM!AH127)</f>
        <v>8050089.8283981569</v>
      </c>
      <c r="AI127" s="69">
        <f>SUM(AR:SM!AI127)</f>
        <v>8050089.8283981569</v>
      </c>
      <c r="AJ127" s="69">
        <f>SUM(AR:SM!AJ127)</f>
        <v>8050089.8283981569</v>
      </c>
      <c r="AK127" s="69">
        <f>SUM(AR:SM!AK127)</f>
        <v>8050089.8283981569</v>
      </c>
      <c r="AL127" s="69">
        <f>SUM(AR:SM!AL127)</f>
        <v>8050089.8283981569</v>
      </c>
      <c r="AM127" s="69">
        <f>SUM(AR:SM!AM127)</f>
        <v>8050089.8283981569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-33916533.302149698</v>
      </c>
      <c r="L128" s="97">
        <f>SUM(O128:AV128)</f>
        <v>-94731767.834145293</v>
      </c>
      <c r="M128" s="1"/>
      <c r="N128" s="1"/>
      <c r="O128" s="54">
        <f>SUM(AR:SM!O128)</f>
        <v>-2442551.8879551827</v>
      </c>
      <c r="P128" s="54">
        <f>SUM(AR:SM!P128)</f>
        <v>-3832212.4405887006</v>
      </c>
      <c r="Q128" s="54">
        <f>SUM(AR:SM!Q128)</f>
        <v>-3927112.4870865699</v>
      </c>
      <c r="R128" s="54">
        <f>SUM(AR:SM!R128)</f>
        <v>-3829652.7935844399</v>
      </c>
      <c r="S128" s="54">
        <f>SUM(AR:SM!S128)</f>
        <v>-3849621.9400823098</v>
      </c>
      <c r="T128" s="54">
        <f>SUM(AR:SM!T128)</f>
        <v>-3902024.0465801791</v>
      </c>
      <c r="U128" s="54">
        <f>SUM(AR:SM!U128)</f>
        <v>-3847062.29307805</v>
      </c>
      <c r="V128" s="54">
        <f>SUM(AR:SM!V128)</f>
        <v>-3899464.3995759194</v>
      </c>
      <c r="W128" s="54">
        <f>SUM(AR:SM!W128)</f>
        <v>-3844502.6460737893</v>
      </c>
      <c r="X128" s="54">
        <f>SUM(AR:SM!X128)</f>
        <v>-3821973.8525716602</v>
      </c>
      <c r="Y128" s="54">
        <f>SUM(AR:SM!Y128)</f>
        <v>-3916873.8990695295</v>
      </c>
      <c r="Z128" s="54">
        <f>SUM(AR:SM!Z128)</f>
        <v>-3819414.205567399</v>
      </c>
      <c r="AA128" s="54">
        <f>SUM(AR:SM!AA128)</f>
        <v>-3914314.2520652693</v>
      </c>
      <c r="AB128" s="54">
        <f>SUM(AR:SM!AB128)</f>
        <v>-3816854.5585631388</v>
      </c>
      <c r="AC128" s="54">
        <f>SUM(AR:SM!AC128)</f>
        <v>-3836823.7050610092</v>
      </c>
      <c r="AD128" s="54">
        <f>SUM(AR:SM!AD128)</f>
        <v>-3889225.8115588785</v>
      </c>
      <c r="AE128" s="54">
        <f>SUM(AR:SM!AE128)</f>
        <v>-3834264.0580567485</v>
      </c>
      <c r="AF128" s="54">
        <f>SUM(AR:SM!AF128)</f>
        <v>-3886666.1645546192</v>
      </c>
      <c r="AG128" s="54">
        <f>SUM(AR:SM!AG128)</f>
        <v>-3831704.4110524887</v>
      </c>
      <c r="AH128" s="54">
        <f>SUM(AR:SM!AH128)</f>
        <v>-3809175.6175503591</v>
      </c>
      <c r="AI128" s="54">
        <f>SUM(AR:SM!AI128)</f>
        <v>-3904075.6640482289</v>
      </c>
      <c r="AJ128" s="54">
        <f>SUM(AR:SM!AJ128)</f>
        <v>-3806615.9705460984</v>
      </c>
      <c r="AK128" s="54">
        <f>SUM(AR:SM!AK128)</f>
        <v>-3901516.0170439687</v>
      </c>
      <c r="AL128" s="54">
        <f>SUM(AR:SM!AL128)</f>
        <v>-3804056.3235418387</v>
      </c>
      <c r="AM128" s="54">
        <f>SUM(AR:SM!AM128)</f>
        <v>-3564008.3886889284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47">K127+SUM(K128)</f>
        <v>34655835.199252352</v>
      </c>
      <c r="L129" s="75">
        <f t="shared" si="47"/>
        <v>101153751.32354306</v>
      </c>
      <c r="M129" s="1"/>
      <c r="N129" s="1"/>
      <c r="O129" s="75">
        <f>SUM(AR:SM!O129)</f>
        <v>240811.38817753288</v>
      </c>
      <c r="P129" s="75">
        <f>SUM(AR:SM!P129)</f>
        <v>4217877.3878094554</v>
      </c>
      <c r="Q129" s="75">
        <f>SUM(AR:SM!Q129)</f>
        <v>4122977.3413115852</v>
      </c>
      <c r="R129" s="75">
        <f>SUM(AR:SM!R129)</f>
        <v>4220437.0348137151</v>
      </c>
      <c r="S129" s="75">
        <f>SUM(AR:SM!S129)</f>
        <v>4200467.8883158462</v>
      </c>
      <c r="T129" s="75">
        <f>SUM(AR:SM!T129)</f>
        <v>4148065.7818179759</v>
      </c>
      <c r="U129" s="75">
        <f>SUM(AR:SM!U129)</f>
        <v>4203027.535320106</v>
      </c>
      <c r="V129" s="75">
        <f>SUM(AR:SM!V129)</f>
        <v>4150625.4288222357</v>
      </c>
      <c r="W129" s="75">
        <f>SUM(AR:SM!W129)</f>
        <v>4205587.1823243666</v>
      </c>
      <c r="X129" s="75">
        <f>SUM(AR:SM!X129)</f>
        <v>4228115.9758264963</v>
      </c>
      <c r="Y129" s="75">
        <f>SUM(AR:SM!Y129)</f>
        <v>4133215.929328626</v>
      </c>
      <c r="Z129" s="75">
        <f>SUM(AR:SM!Z129)</f>
        <v>4230675.622830756</v>
      </c>
      <c r="AA129" s="75">
        <f>SUM(AR:SM!AA129)</f>
        <v>4135775.5763328867</v>
      </c>
      <c r="AB129" s="75">
        <f>SUM(AR:SM!AB129)</f>
        <v>4233235.2698350158</v>
      </c>
      <c r="AC129" s="75">
        <f>SUM(AR:SM!AC129)</f>
        <v>4213266.1233371468</v>
      </c>
      <c r="AD129" s="75">
        <f>SUM(AR:SM!AD129)</f>
        <v>4160864.0168392765</v>
      </c>
      <c r="AE129" s="75">
        <f>SUM(AR:SM!AE129)</f>
        <v>4215825.7703414066</v>
      </c>
      <c r="AF129" s="75">
        <f>SUM(AR:SM!AF129)</f>
        <v>4163423.6638435367</v>
      </c>
      <c r="AG129" s="75">
        <f>SUM(AR:SM!AG129)</f>
        <v>4218385.4173456673</v>
      </c>
      <c r="AH129" s="75">
        <f>SUM(AR:SM!AH129)</f>
        <v>4240914.2108477969</v>
      </c>
      <c r="AI129" s="75">
        <f>SUM(AR:SM!AI129)</f>
        <v>4146014.1643499271</v>
      </c>
      <c r="AJ129" s="75">
        <f>SUM(AR:SM!AJ129)</f>
        <v>4243473.8578520566</v>
      </c>
      <c r="AK129" s="75">
        <f>SUM(AR:SM!AK129)</f>
        <v>4148573.8113541873</v>
      </c>
      <c r="AL129" s="75">
        <f>SUM(AR:SM!AL129)</f>
        <v>4246033.5048563173</v>
      </c>
      <c r="AM129" s="75">
        <f>SUM(AR:SM!AM129)</f>
        <v>4486081.4397092275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hidden="1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/>
      <c r="L130" s="105"/>
      <c r="M130" s="1"/>
      <c r="N130" s="1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11356232.394246835</v>
      </c>
      <c r="L131" s="97">
        <f>SUM(O131:AV131)</f>
        <v>38755637.98596666</v>
      </c>
      <c r="M131" s="1"/>
      <c r="N131" s="1"/>
      <c r="O131" s="54">
        <f>SUM(AR:SM!O131)</f>
        <v>-2.4010660126805305E-10</v>
      </c>
      <c r="P131" s="54">
        <f>SUM(AR:SM!P131)</f>
        <v>8532156.6808671486</v>
      </c>
      <c r="Q131" s="54">
        <f>SUM(AR:SM!Q131)</f>
        <v>-450724.95441188058</v>
      </c>
      <c r="R131" s="54">
        <f>SUM(AR:SM!R131)</f>
        <v>-219410.4471708379</v>
      </c>
      <c r="S131" s="54">
        <f>SUM(AR:SM!S131)</f>
        <v>34878.421412046388</v>
      </c>
      <c r="T131" s="54">
        <f>SUM(AR:SM!T131)</f>
        <v>-415146.88970984565</v>
      </c>
      <c r="U131" s="54">
        <f>SUM(AR:SM!U131)</f>
        <v>-180298.73763148996</v>
      </c>
      <c r="V131" s="54">
        <f>SUM(AR:SM!V131)</f>
        <v>77874.740517700964</v>
      </c>
      <c r="W131" s="54">
        <f>SUM(AR:SM!W131)</f>
        <v>295246.9401072301</v>
      </c>
      <c r="X131" s="54">
        <f>SUM(AR:SM!X131)</f>
        <v>503591.51291305182</v>
      </c>
      <c r="Y131" s="54">
        <f>SUM(AR:SM!Y131)</f>
        <v>829689.57530719019</v>
      </c>
      <c r="Z131" s="54">
        <f>SUM(AR:SM!Z131)</f>
        <v>463643.98027327936</v>
      </c>
      <c r="AA131" s="54">
        <f>SUM(AR:SM!AA131)</f>
        <v>785774.41841190634</v>
      </c>
      <c r="AB131" s="54">
        <f>SUM(AR:SM!AB131)</f>
        <v>837396.54511735693</v>
      </c>
      <c r="AC131" s="54">
        <f>SUM(AR:SM!AC131)</f>
        <v>1196648.4183945935</v>
      </c>
      <c r="AD131" s="54">
        <f>SUM(AR:SM!AD131)</f>
        <v>1591581.5053053703</v>
      </c>
      <c r="AE131" s="54">
        <f>SUM(AR:SM!AE131)</f>
        <v>1234836.7191056679</v>
      </c>
      <c r="AF131" s="54">
        <f>SUM(AR:SM!AF131)</f>
        <v>1618925.4960887907</v>
      </c>
      <c r="AG131" s="54">
        <f>SUM(AR:SM!AG131)</f>
        <v>1973303.8734552958</v>
      </c>
      <c r="AH131" s="54">
        <f>SUM(AR:SM!AH131)</f>
        <v>2445375.0667282599</v>
      </c>
      <c r="AI131" s="54">
        <f>SUM(AR:SM!AI131)</f>
        <v>2964332.7882293286</v>
      </c>
      <c r="AJ131" s="54">
        <f>SUM(AR:SM!AJ131)</f>
        <v>2805335.7999331802</v>
      </c>
      <c r="AK131" s="54">
        <f>SUM(AR:SM!AK131)</f>
        <v>3360045.1396624399</v>
      </c>
      <c r="AL131" s="54">
        <f>SUM(AR:SM!AL131)</f>
        <v>3903405.4047426898</v>
      </c>
      <c r="AM131" s="54">
        <f>SUM(AR:SM!AM131)</f>
        <v>4567175.9883181807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>K115</f>
        <v>57368299.987746008</v>
      </c>
      <c r="L132" s="75">
        <f>L115</f>
        <v>178665027.2954765</v>
      </c>
      <c r="M132" s="1"/>
      <c r="N132" s="1"/>
      <c r="O132" s="75">
        <f>SUM(AR:SM!O132)</f>
        <v>240811.38817753264</v>
      </c>
      <c r="P132" s="75">
        <f>SUM(AR:SM!P132)</f>
        <v>12750034.068676606</v>
      </c>
      <c r="Q132" s="75">
        <f>SUM(AR:SM!Q132)</f>
        <v>3672252.386899705</v>
      </c>
      <c r="R132" s="75">
        <f>SUM(AR:SM!R132)</f>
        <v>4001026.5876428774</v>
      </c>
      <c r="S132" s="75">
        <f>SUM(AR:SM!S132)</f>
        <v>4235346.3097278932</v>
      </c>
      <c r="T132" s="75">
        <f>SUM(AR:SM!T132)</f>
        <v>3732918.8921081303</v>
      </c>
      <c r="U132" s="75">
        <f>SUM(AR:SM!U132)</f>
        <v>4022728.7976886155</v>
      </c>
      <c r="V132" s="75">
        <f>SUM(AR:SM!V132)</f>
        <v>4228500.1693399381</v>
      </c>
      <c r="W132" s="75">
        <f>SUM(AR:SM!W132)</f>
        <v>4500834.1224315967</v>
      </c>
      <c r="X132" s="75">
        <f>SUM(AR:SM!X132)</f>
        <v>4731707.4887395473</v>
      </c>
      <c r="Y132" s="75">
        <f>SUM(AR:SM!Y132)</f>
        <v>4962905.5046358164</v>
      </c>
      <c r="Z132" s="75">
        <f>SUM(AR:SM!Z132)</f>
        <v>4694319.6031040354</v>
      </c>
      <c r="AA132" s="75">
        <f>SUM(AR:SM!AA132)</f>
        <v>4921549.9947447926</v>
      </c>
      <c r="AB132" s="75">
        <f>SUM(AR:SM!AB132)</f>
        <v>5070631.8149523735</v>
      </c>
      <c r="AC132" s="75">
        <f>SUM(AR:SM!AC132)</f>
        <v>5409914.5417317403</v>
      </c>
      <c r="AD132" s="75">
        <f>SUM(AR:SM!AD132)</f>
        <v>5752445.5221446473</v>
      </c>
      <c r="AE132" s="75">
        <f>SUM(AR:SM!AE132)</f>
        <v>5450662.489447074</v>
      </c>
      <c r="AF132" s="75">
        <f>SUM(AR:SM!AF132)</f>
        <v>5782349.1599323265</v>
      </c>
      <c r="AG132" s="75">
        <f>SUM(AR:SM!AG132)</f>
        <v>6191689.2908009626</v>
      </c>
      <c r="AH132" s="75">
        <f>SUM(AR:SM!AH132)</f>
        <v>6686289.2775760572</v>
      </c>
      <c r="AI132" s="75">
        <f>SUM(AR:SM!AI132)</f>
        <v>7110346.9525792552</v>
      </c>
      <c r="AJ132" s="75">
        <f>SUM(AR:SM!AJ132)</f>
        <v>7048809.6577852368</v>
      </c>
      <c r="AK132" s="75">
        <f>SUM(AR:SM!AK132)</f>
        <v>7508618.9510166273</v>
      </c>
      <c r="AL132" s="75">
        <f>SUM(AR:SM!AL132)</f>
        <v>8149438.9095990071</v>
      </c>
      <c r="AM132" s="75">
        <f>SUM(AR:SM!AM132)</f>
        <v>9053257.4280274082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hidden="1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/>
      <c r="L133" s="105"/>
      <c r="M133" s="1"/>
      <c r="N133" s="1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f>SUM(AR:SM!O134)</f>
        <v>0</v>
      </c>
      <c r="P134" s="107">
        <f>SUM(AR:SM!P134)</f>
        <v>0</v>
      </c>
      <c r="Q134" s="107">
        <f>SUM(AR:SM!Q134)</f>
        <v>0</v>
      </c>
      <c r="R134" s="107">
        <f>SUM(AR:SM!R134)</f>
        <v>0</v>
      </c>
      <c r="S134" s="107">
        <f>SUM(AR:SM!S134)</f>
        <v>0</v>
      </c>
      <c r="T134" s="107">
        <f>SUM(AR:SM!T134)</f>
        <v>0</v>
      </c>
      <c r="U134" s="107">
        <f>SUM(AR:SM!U134)</f>
        <v>0</v>
      </c>
      <c r="V134" s="107">
        <f>SUM(AR:SM!V134)</f>
        <v>0</v>
      </c>
      <c r="W134" s="107">
        <f>SUM(AR:SM!W134)</f>
        <v>0</v>
      </c>
      <c r="X134" s="107">
        <f>SUM(AR:SM!X134)</f>
        <v>0</v>
      </c>
      <c r="Y134" s="107">
        <f>SUM(AR:SM!Y134)</f>
        <v>0</v>
      </c>
      <c r="Z134" s="107">
        <f>SUM(AR:SM!Z134)</f>
        <v>0</v>
      </c>
      <c r="AA134" s="107">
        <f>SUM(AR:SM!AA134)</f>
        <v>0</v>
      </c>
      <c r="AB134" s="107">
        <f>SUM(AR:SM!AB134)</f>
        <v>0</v>
      </c>
      <c r="AC134" s="107">
        <f>SUM(AR:SM!AC134)</f>
        <v>0</v>
      </c>
      <c r="AD134" s="107">
        <f>SUM(AR:SM!AD134)</f>
        <v>0</v>
      </c>
      <c r="AE134" s="107">
        <f>SUM(AR:SM!AE134)</f>
        <v>0</v>
      </c>
      <c r="AF134" s="107">
        <f>SUM(AR:SM!AF134)</f>
        <v>0</v>
      </c>
      <c r="AG134" s="107">
        <f>SUM(AR:SM!AG134)</f>
        <v>0</v>
      </c>
      <c r="AH134" s="107">
        <f>SUM(AR:SM!AH134)</f>
        <v>0</v>
      </c>
      <c r="AI134" s="107">
        <f>SUM(AR:SM!AI134)</f>
        <v>0</v>
      </c>
      <c r="AJ134" s="107">
        <f>SUM(AR:SM!AJ134)</f>
        <v>0</v>
      </c>
      <c r="AK134" s="107">
        <f>SUM(AR:SM!AK134)</f>
        <v>0</v>
      </c>
      <c r="AL134" s="107">
        <f>SUM(AR:SM!AL134)</f>
        <v>0</v>
      </c>
      <c r="AM134" s="107">
        <f>SUM(AR:SM!AM134)</f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48">K132+K134</f>
        <v>57368299.987746008</v>
      </c>
      <c r="L135" s="75">
        <f t="shared" si="48"/>
        <v>178665027.2954765</v>
      </c>
      <c r="M135" s="1"/>
      <c r="N135" s="1"/>
      <c r="O135" s="75">
        <f>SUM(AR:SM!O135)</f>
        <v>240811.38817753264</v>
      </c>
      <c r="P135" s="75">
        <f>SUM(AR:SM!P135)</f>
        <v>12750034.068676606</v>
      </c>
      <c r="Q135" s="75">
        <f>SUM(AR:SM!Q135)</f>
        <v>3672252.386899705</v>
      </c>
      <c r="R135" s="75">
        <f>SUM(AR:SM!R135)</f>
        <v>4001026.5876428774</v>
      </c>
      <c r="S135" s="75">
        <f>SUM(AR:SM!S135)</f>
        <v>4235346.3097278932</v>
      </c>
      <c r="T135" s="75">
        <f>SUM(AR:SM!T135)</f>
        <v>3732918.8921081303</v>
      </c>
      <c r="U135" s="75">
        <f>SUM(AR:SM!U135)</f>
        <v>4022728.7976886155</v>
      </c>
      <c r="V135" s="75">
        <f>SUM(AR:SM!V135)</f>
        <v>4228500.1693399381</v>
      </c>
      <c r="W135" s="75">
        <f>SUM(AR:SM!W135)</f>
        <v>4500834.1224315967</v>
      </c>
      <c r="X135" s="75">
        <f>SUM(AR:SM!X135)</f>
        <v>4731707.4887395473</v>
      </c>
      <c r="Y135" s="75">
        <f>SUM(AR:SM!Y135)</f>
        <v>4962905.5046358164</v>
      </c>
      <c r="Z135" s="75">
        <f>SUM(AR:SM!Z135)</f>
        <v>4694319.6031040354</v>
      </c>
      <c r="AA135" s="75">
        <f>SUM(AR:SM!AA135)</f>
        <v>4921549.9947447926</v>
      </c>
      <c r="AB135" s="75">
        <f>SUM(AR:SM!AB135)</f>
        <v>5070631.8149523735</v>
      </c>
      <c r="AC135" s="75">
        <f>SUM(AR:SM!AC135)</f>
        <v>5409914.5417317403</v>
      </c>
      <c r="AD135" s="75">
        <f>SUM(AR:SM!AD135)</f>
        <v>5752445.5221446473</v>
      </c>
      <c r="AE135" s="75">
        <f>SUM(AR:SM!AE135)</f>
        <v>5450662.489447074</v>
      </c>
      <c r="AF135" s="75">
        <f>SUM(AR:SM!AF135)</f>
        <v>5782349.1599323265</v>
      </c>
      <c r="AG135" s="75">
        <f>SUM(AR:SM!AG135)</f>
        <v>6191689.2908009626</v>
      </c>
      <c r="AH135" s="75">
        <f>SUM(AR:SM!AH135)</f>
        <v>6686289.2775760572</v>
      </c>
      <c r="AI135" s="75">
        <f>SUM(AR:SM!AI135)</f>
        <v>7110346.9525792552</v>
      </c>
      <c r="AJ135" s="75">
        <f>SUM(AR:SM!AJ135)</f>
        <v>7048809.6577852368</v>
      </c>
      <c r="AK135" s="75">
        <f>SUM(AR:SM!AK135)</f>
        <v>7508618.9510166273</v>
      </c>
      <c r="AL135" s="75">
        <f>SUM(AR:SM!AL135)</f>
        <v>8149438.9095990071</v>
      </c>
      <c r="AM135" s="75">
        <f>SUM(AR:SM!AM135)</f>
        <v>9053257.4280274082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hidden="1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/>
      <c r="L136" s="105"/>
      <c r="M136" s="1"/>
      <c r="N136" s="1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-7063508.6706534754</v>
      </c>
      <c r="L137" s="108">
        <f>SUM(O137:AV137)</f>
        <v>-20218865.177392341</v>
      </c>
      <c r="M137" s="1"/>
      <c r="N137" s="1"/>
      <c r="O137" s="54">
        <f>SUM(AR:SM!O137)</f>
        <v>-251629.15238530707</v>
      </c>
      <c r="P137" s="54">
        <f>SUM(AR:SM!P137)</f>
        <v>-831968.16770862602</v>
      </c>
      <c r="Q137" s="54">
        <f>SUM(AR:SM!Q137)</f>
        <v>-831968.16770862602</v>
      </c>
      <c r="R137" s="54">
        <f>SUM(AR:SM!R137)</f>
        <v>-831968.16770862602</v>
      </c>
      <c r="S137" s="54">
        <f>SUM(AR:SM!S137)</f>
        <v>-831968.16770862602</v>
      </c>
      <c r="T137" s="54">
        <f>SUM(AR:SM!T137)</f>
        <v>-831968.16770862602</v>
      </c>
      <c r="U137" s="54">
        <f>SUM(AR:SM!U137)</f>
        <v>-831968.16770862602</v>
      </c>
      <c r="V137" s="54">
        <f>SUM(AR:SM!V137)</f>
        <v>-831968.16770862602</v>
      </c>
      <c r="W137" s="54">
        <f>SUM(AR:SM!W137)</f>
        <v>-831968.16770862602</v>
      </c>
      <c r="X137" s="54">
        <f>SUM(AR:SM!X137)</f>
        <v>-831968.16770862602</v>
      </c>
      <c r="Y137" s="54">
        <f>SUM(AR:SM!Y137)</f>
        <v>-831968.16770862602</v>
      </c>
      <c r="Z137" s="54">
        <f>SUM(AR:SM!Z137)</f>
        <v>-831968.16770862602</v>
      </c>
      <c r="AA137" s="54">
        <f>SUM(AR:SM!AA137)</f>
        <v>-831968.16770862602</v>
      </c>
      <c r="AB137" s="54">
        <f>SUM(AR:SM!AB137)</f>
        <v>-831968.16770862602</v>
      </c>
      <c r="AC137" s="54">
        <f>SUM(AR:SM!AC137)</f>
        <v>-831968.16770862602</v>
      </c>
      <c r="AD137" s="54">
        <f>SUM(AR:SM!AD137)</f>
        <v>-831968.16770862602</v>
      </c>
      <c r="AE137" s="54">
        <f>SUM(AR:SM!AE137)</f>
        <v>-831968.16770862602</v>
      </c>
      <c r="AF137" s="54">
        <f>SUM(AR:SM!AF137)</f>
        <v>-831968.16770862602</v>
      </c>
      <c r="AG137" s="54">
        <f>SUM(AR:SM!AG137)</f>
        <v>-831968.16770862602</v>
      </c>
      <c r="AH137" s="54">
        <f>SUM(AR:SM!AH137)</f>
        <v>-831968.16770862602</v>
      </c>
      <c r="AI137" s="54">
        <f>SUM(AR:SM!AI137)</f>
        <v>-831968.16770862602</v>
      </c>
      <c r="AJ137" s="54">
        <f>SUM(AR:SM!AJ137)</f>
        <v>-831968.16770862602</v>
      </c>
      <c r="AK137" s="54">
        <f>SUM(AR:SM!AK137)</f>
        <v>-831968.16770862602</v>
      </c>
      <c r="AL137" s="54">
        <f>SUM(AR:SM!AL137)</f>
        <v>-831968.16770862602</v>
      </c>
      <c r="AM137" s="54">
        <f>SUM(AR:SM!AM137)</f>
        <v>-831968.16770862602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49">K135+K137</f>
        <v>50304791.31709253</v>
      </c>
      <c r="L138" s="109">
        <f t="shared" si="49"/>
        <v>158446162.11808416</v>
      </c>
      <c r="M138" s="1"/>
      <c r="N138" s="1"/>
      <c r="O138" s="109">
        <f>SUM(AR:SM!O138)</f>
        <v>-10817.764207774429</v>
      </c>
      <c r="P138" s="109">
        <f>SUM(AR:SM!P138)</f>
        <v>11918065.900967978</v>
      </c>
      <c r="Q138" s="109">
        <f>SUM(AR:SM!Q138)</f>
        <v>2840284.219191079</v>
      </c>
      <c r="R138" s="109">
        <f>SUM(AR:SM!R138)</f>
        <v>3169058.4199342518</v>
      </c>
      <c r="S138" s="109">
        <f>SUM(AR:SM!S138)</f>
        <v>3403378.1420192667</v>
      </c>
      <c r="T138" s="109">
        <f>SUM(AR:SM!T138)</f>
        <v>2900950.7243995043</v>
      </c>
      <c r="U138" s="109">
        <f>SUM(AR:SM!U138)</f>
        <v>3190760.6299799895</v>
      </c>
      <c r="V138" s="109">
        <f>SUM(AR:SM!V138)</f>
        <v>3396532.0016313107</v>
      </c>
      <c r="W138" s="109">
        <f>SUM(AR:SM!W138)</f>
        <v>3668865.9547229698</v>
      </c>
      <c r="X138" s="109">
        <f>SUM(AR:SM!X138)</f>
        <v>3899739.3210309213</v>
      </c>
      <c r="Y138" s="109">
        <f>SUM(AR:SM!Y138)</f>
        <v>4130937.3369271904</v>
      </c>
      <c r="Z138" s="109">
        <f>SUM(AR:SM!Z138)</f>
        <v>3862351.4353954098</v>
      </c>
      <c r="AA138" s="109">
        <f>SUM(AR:SM!AA138)</f>
        <v>4089581.8270361661</v>
      </c>
      <c r="AB138" s="109">
        <f>SUM(AR:SM!AB138)</f>
        <v>4238663.6472437466</v>
      </c>
      <c r="AC138" s="109">
        <f>SUM(AR:SM!AC138)</f>
        <v>4577946.3740231134</v>
      </c>
      <c r="AD138" s="109">
        <f>SUM(AR:SM!AD138)</f>
        <v>4920477.3544360213</v>
      </c>
      <c r="AE138" s="109">
        <f>SUM(AR:SM!AE138)</f>
        <v>4618694.321738448</v>
      </c>
      <c r="AF138" s="109">
        <f>SUM(AR:SM!AF138)</f>
        <v>4950380.9922237014</v>
      </c>
      <c r="AG138" s="109">
        <f>SUM(AR:SM!AG138)</f>
        <v>5359721.1230923366</v>
      </c>
      <c r="AH138" s="109">
        <f>SUM(AR:SM!AH138)</f>
        <v>5854321.1098674294</v>
      </c>
      <c r="AI138" s="109">
        <f>SUM(AR:SM!AI138)</f>
        <v>6278378.7848706283</v>
      </c>
      <c r="AJ138" s="109">
        <f>SUM(AR:SM!AJ138)</f>
        <v>6216841.4900766108</v>
      </c>
      <c r="AK138" s="109">
        <f>SUM(AR:SM!AK138)</f>
        <v>6676650.7833080003</v>
      </c>
      <c r="AL138" s="109">
        <f>SUM(AR:SM!AL138)</f>
        <v>7317470.7418903802</v>
      </c>
      <c r="AM138" s="109">
        <f>SUM(AR:SM!AM138)</f>
        <v>8221289.2603187822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hidden="1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/>
      <c r="L139" s="105"/>
      <c r="M139" s="1"/>
      <c r="N139" s="1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50">O$3</f>
        <v>1</v>
      </c>
      <c r="P141" s="80">
        <f t="shared" si="50"/>
        <v>2</v>
      </c>
      <c r="Q141" s="80">
        <f t="shared" si="50"/>
        <v>3</v>
      </c>
      <c r="R141" s="80">
        <f t="shared" si="50"/>
        <v>4</v>
      </c>
      <c r="S141" s="80">
        <f t="shared" si="50"/>
        <v>5</v>
      </c>
      <c r="T141" s="80">
        <f t="shared" si="50"/>
        <v>6</v>
      </c>
      <c r="U141" s="80">
        <f t="shared" si="50"/>
        <v>7</v>
      </c>
      <c r="V141" s="80">
        <f t="shared" si="50"/>
        <v>8</v>
      </c>
      <c r="W141" s="80">
        <f t="shared" si="50"/>
        <v>9</v>
      </c>
      <c r="X141" s="80">
        <f t="shared" si="50"/>
        <v>10</v>
      </c>
      <c r="Y141" s="80">
        <f t="shared" si="50"/>
        <v>11</v>
      </c>
      <c r="Z141" s="80">
        <f t="shared" si="50"/>
        <v>12</v>
      </c>
      <c r="AA141" s="80">
        <f t="shared" si="50"/>
        <v>13</v>
      </c>
      <c r="AB141" s="80">
        <f t="shared" si="50"/>
        <v>14</v>
      </c>
      <c r="AC141" s="80">
        <f t="shared" si="50"/>
        <v>15</v>
      </c>
      <c r="AD141" s="80">
        <f t="shared" si="50"/>
        <v>16</v>
      </c>
      <c r="AE141" s="80">
        <f t="shared" si="50"/>
        <v>17</v>
      </c>
      <c r="AF141" s="80">
        <f t="shared" si="50"/>
        <v>18</v>
      </c>
      <c r="AG141" s="80">
        <f t="shared" si="50"/>
        <v>19</v>
      </c>
      <c r="AH141" s="80">
        <f t="shared" si="50"/>
        <v>20</v>
      </c>
      <c r="AI141" s="80">
        <f t="shared" si="50"/>
        <v>21</v>
      </c>
      <c r="AJ141" s="80">
        <f t="shared" si="50"/>
        <v>22</v>
      </c>
      <c r="AK141" s="80">
        <f t="shared" si="50"/>
        <v>23</v>
      </c>
      <c r="AL141" s="80">
        <f t="shared" si="50"/>
        <v>24</v>
      </c>
      <c r="AM141" s="80">
        <f t="shared" si="50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51">O$2</f>
        <v>46023</v>
      </c>
      <c r="P142" s="84">
        <f t="shared" si="51"/>
        <v>46388</v>
      </c>
      <c r="Q142" s="84">
        <f t="shared" si="51"/>
        <v>46753</v>
      </c>
      <c r="R142" s="84">
        <f t="shared" si="51"/>
        <v>47119</v>
      </c>
      <c r="S142" s="84">
        <f t="shared" si="51"/>
        <v>47484</v>
      </c>
      <c r="T142" s="84">
        <f t="shared" si="51"/>
        <v>47849</v>
      </c>
      <c r="U142" s="84">
        <f t="shared" si="51"/>
        <v>48214</v>
      </c>
      <c r="V142" s="84">
        <f t="shared" si="51"/>
        <v>48580</v>
      </c>
      <c r="W142" s="84">
        <f t="shared" si="51"/>
        <v>48945</v>
      </c>
      <c r="X142" s="84">
        <f t="shared" si="51"/>
        <v>49310</v>
      </c>
      <c r="Y142" s="84">
        <f t="shared" si="51"/>
        <v>49675</v>
      </c>
      <c r="Z142" s="84">
        <f t="shared" si="51"/>
        <v>50041</v>
      </c>
      <c r="AA142" s="84">
        <f t="shared" si="51"/>
        <v>50406</v>
      </c>
      <c r="AB142" s="84">
        <f t="shared" si="51"/>
        <v>50771</v>
      </c>
      <c r="AC142" s="84">
        <f t="shared" si="51"/>
        <v>51136</v>
      </c>
      <c r="AD142" s="84">
        <f t="shared" si="51"/>
        <v>51502</v>
      </c>
      <c r="AE142" s="84">
        <f t="shared" si="51"/>
        <v>51867</v>
      </c>
      <c r="AF142" s="84">
        <f t="shared" si="51"/>
        <v>52232</v>
      </c>
      <c r="AG142" s="84">
        <f t="shared" si="51"/>
        <v>52597</v>
      </c>
      <c r="AH142" s="84">
        <f t="shared" si="51"/>
        <v>52963</v>
      </c>
      <c r="AI142" s="84">
        <f t="shared" si="51"/>
        <v>53328</v>
      </c>
      <c r="AJ142" s="84">
        <f t="shared" si="51"/>
        <v>53693</v>
      </c>
      <c r="AK142" s="84">
        <f t="shared" si="51"/>
        <v>54058</v>
      </c>
      <c r="AL142" s="84">
        <f t="shared" si="51"/>
        <v>54424</v>
      </c>
      <c r="AM142" s="84">
        <f t="shared" si="51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72678715.952731371</v>
      </c>
      <c r="L143" s="62">
        <f t="shared" ref="L143:L147" si="52">SUM(O143:AV143)</f>
        <v>207615812.5677672</v>
      </c>
      <c r="M143" s="1"/>
      <c r="N143" s="1"/>
      <c r="O143" s="112">
        <f>SUM(AR:SM!O143)</f>
        <v>2844052.2269557137</v>
      </c>
      <c r="P143" s="112">
        <f>SUM(AR:SM!P143)</f>
        <v>8532156.6808671486</v>
      </c>
      <c r="Q143" s="112">
        <f>SUM(AR:SM!Q143)</f>
        <v>8532156.6808671486</v>
      </c>
      <c r="R143" s="112">
        <f>SUM(AR:SM!R143)</f>
        <v>8532156.6808671486</v>
      </c>
      <c r="S143" s="112">
        <f>SUM(AR:SM!S143)</f>
        <v>8532156.6808671486</v>
      </c>
      <c r="T143" s="112">
        <f>SUM(AR:SM!T143)</f>
        <v>8532156.6808671486</v>
      </c>
      <c r="U143" s="112">
        <f>SUM(AR:SM!U143)</f>
        <v>8532156.6808671486</v>
      </c>
      <c r="V143" s="112">
        <f>SUM(AR:SM!V143)</f>
        <v>8532156.6808671486</v>
      </c>
      <c r="W143" s="112">
        <f>SUM(AR:SM!W143)</f>
        <v>8532156.6808671486</v>
      </c>
      <c r="X143" s="112">
        <f>SUM(AR:SM!X143)</f>
        <v>8532156.6808671486</v>
      </c>
      <c r="Y143" s="112">
        <f>SUM(AR:SM!Y143)</f>
        <v>8532156.6808671486</v>
      </c>
      <c r="Z143" s="112">
        <f>SUM(AR:SM!Z143)</f>
        <v>8532156.6808671486</v>
      </c>
      <c r="AA143" s="112">
        <f>SUM(AR:SM!AA143)</f>
        <v>8532156.6808671486</v>
      </c>
      <c r="AB143" s="112">
        <f>SUM(AR:SM!AB143)</f>
        <v>8532156.6808671486</v>
      </c>
      <c r="AC143" s="112">
        <f>SUM(AR:SM!AC143)</f>
        <v>8532156.6808671486</v>
      </c>
      <c r="AD143" s="112">
        <f>SUM(AR:SM!AD143)</f>
        <v>8532156.6808671486</v>
      </c>
      <c r="AE143" s="112">
        <f>SUM(AR:SM!AE143)</f>
        <v>8532156.6808671486</v>
      </c>
      <c r="AF143" s="112">
        <f>SUM(AR:SM!AF143)</f>
        <v>8532156.6808671486</v>
      </c>
      <c r="AG143" s="112">
        <f>SUM(AR:SM!AG143)</f>
        <v>8532156.6808671486</v>
      </c>
      <c r="AH143" s="112">
        <f>SUM(AR:SM!AH143)</f>
        <v>8532156.6808671486</v>
      </c>
      <c r="AI143" s="112">
        <f>SUM(AR:SM!AI143)</f>
        <v>8532156.6808671486</v>
      </c>
      <c r="AJ143" s="112">
        <f>SUM(AR:SM!AJ143)</f>
        <v>8532156.6808671486</v>
      </c>
      <c r="AK143" s="112">
        <f>SUM(AR:SM!AK143)</f>
        <v>8532156.6808671486</v>
      </c>
      <c r="AL143" s="112">
        <f>SUM(AR:SM!AL143)</f>
        <v>8532156.6808671486</v>
      </c>
      <c r="AM143" s="112">
        <f>SUM(AR:SM!AM143)</f>
        <v>8532156.6808671486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-4106347.451329323</v>
      </c>
      <c r="L144" s="54">
        <f t="shared" si="52"/>
        <v>-11730293.410078846</v>
      </c>
      <c r="M144" s="1"/>
      <c r="N144" s="1"/>
      <c r="O144" s="97">
        <f>SUM(AR:SM!O144)</f>
        <v>-160688.95082299781</v>
      </c>
      <c r="P144" s="97">
        <f>SUM(AR:SM!P144)</f>
        <v>-482066.85246899398</v>
      </c>
      <c r="Q144" s="97">
        <f>SUM(AR:SM!Q144)</f>
        <v>-482066.85246899398</v>
      </c>
      <c r="R144" s="97">
        <f>SUM(AR:SM!R144)</f>
        <v>-482066.85246899398</v>
      </c>
      <c r="S144" s="97">
        <f>SUM(AR:SM!S144)</f>
        <v>-482066.85246899398</v>
      </c>
      <c r="T144" s="97">
        <f>SUM(AR:SM!T144)</f>
        <v>-482066.85246899398</v>
      </c>
      <c r="U144" s="97">
        <f>SUM(AR:SM!U144)</f>
        <v>-482066.85246899398</v>
      </c>
      <c r="V144" s="97">
        <f>SUM(AR:SM!V144)</f>
        <v>-482066.85246899398</v>
      </c>
      <c r="W144" s="97">
        <f>SUM(AR:SM!W144)</f>
        <v>-482066.85246899398</v>
      </c>
      <c r="X144" s="97">
        <f>SUM(AR:SM!X144)</f>
        <v>-482066.85246899398</v>
      </c>
      <c r="Y144" s="97">
        <f>SUM(AR:SM!Y144)</f>
        <v>-482066.85246899398</v>
      </c>
      <c r="Z144" s="97">
        <f>SUM(AR:SM!Z144)</f>
        <v>-482066.85246899398</v>
      </c>
      <c r="AA144" s="97">
        <f>SUM(AR:SM!AA144)</f>
        <v>-482066.85246899398</v>
      </c>
      <c r="AB144" s="97">
        <f>SUM(AR:SM!AB144)</f>
        <v>-482066.85246899398</v>
      </c>
      <c r="AC144" s="97">
        <f>SUM(AR:SM!AC144)</f>
        <v>-482066.85246899398</v>
      </c>
      <c r="AD144" s="97">
        <f>SUM(AR:SM!AD144)</f>
        <v>-482066.85246899398</v>
      </c>
      <c r="AE144" s="97">
        <f>SUM(AR:SM!AE144)</f>
        <v>-482066.85246899398</v>
      </c>
      <c r="AF144" s="97">
        <f>SUM(AR:SM!AF144)</f>
        <v>-482066.85246899398</v>
      </c>
      <c r="AG144" s="97">
        <f>SUM(AR:SM!AG144)</f>
        <v>-482066.85246899398</v>
      </c>
      <c r="AH144" s="97">
        <f>SUM(AR:SM!AH144)</f>
        <v>-482066.85246899398</v>
      </c>
      <c r="AI144" s="97">
        <f>SUM(AR:SM!AI144)</f>
        <v>-482066.85246899398</v>
      </c>
      <c r="AJ144" s="97">
        <f>SUM(AR:SM!AJ144)</f>
        <v>-482066.85246899398</v>
      </c>
      <c r="AK144" s="97">
        <f>SUM(AR:SM!AK144)</f>
        <v>-482066.85246899398</v>
      </c>
      <c r="AL144" s="97">
        <f>SUM(AR:SM!AL144)</f>
        <v>-482066.85246899398</v>
      </c>
      <c r="AM144" s="97">
        <f>SUM(AR:SM!AM144)</f>
        <v>-482066.85246899398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-33916533.302149698</v>
      </c>
      <c r="L145" s="54">
        <f t="shared" si="52"/>
        <v>-94731767.834145293</v>
      </c>
      <c r="M145" s="1"/>
      <c r="N145" s="1"/>
      <c r="O145" s="97">
        <f>-O11</f>
        <v>-2442551.8879551827</v>
      </c>
      <c r="P145" s="97">
        <f t="shared" ref="P145:AM145" si="53">-P11</f>
        <v>-3832212.4405887006</v>
      </c>
      <c r="Q145" s="97">
        <f t="shared" si="53"/>
        <v>-3927112.4870865699</v>
      </c>
      <c r="R145" s="97">
        <f t="shared" si="53"/>
        <v>-3829652.7935844399</v>
      </c>
      <c r="S145" s="97">
        <f t="shared" si="53"/>
        <v>-3849621.9400823098</v>
      </c>
      <c r="T145" s="97">
        <f t="shared" si="53"/>
        <v>-3902024.0465801791</v>
      </c>
      <c r="U145" s="97">
        <f t="shared" si="53"/>
        <v>-3847062.29307805</v>
      </c>
      <c r="V145" s="97">
        <f t="shared" si="53"/>
        <v>-3899464.3995759194</v>
      </c>
      <c r="W145" s="97">
        <f t="shared" si="53"/>
        <v>-3844502.6460737893</v>
      </c>
      <c r="X145" s="97">
        <f t="shared" si="53"/>
        <v>-3821973.8525716602</v>
      </c>
      <c r="Y145" s="97">
        <f t="shared" si="53"/>
        <v>-3916873.8990695295</v>
      </c>
      <c r="Z145" s="97">
        <f t="shared" si="53"/>
        <v>-3819414.205567399</v>
      </c>
      <c r="AA145" s="97">
        <f t="shared" si="53"/>
        <v>-3914314.2520652693</v>
      </c>
      <c r="AB145" s="97">
        <f t="shared" si="53"/>
        <v>-3816854.5585631388</v>
      </c>
      <c r="AC145" s="97">
        <f t="shared" si="53"/>
        <v>-3836823.7050610092</v>
      </c>
      <c r="AD145" s="97">
        <f t="shared" si="53"/>
        <v>-3889225.8115588785</v>
      </c>
      <c r="AE145" s="97">
        <f t="shared" si="53"/>
        <v>-3834264.0580567485</v>
      </c>
      <c r="AF145" s="97">
        <f t="shared" si="53"/>
        <v>-3886666.1645546192</v>
      </c>
      <c r="AG145" s="97">
        <f t="shared" si="53"/>
        <v>-3831704.4110524887</v>
      </c>
      <c r="AH145" s="97">
        <f t="shared" si="53"/>
        <v>-3809175.6175503591</v>
      </c>
      <c r="AI145" s="97">
        <f t="shared" si="53"/>
        <v>-3904075.6640482289</v>
      </c>
      <c r="AJ145" s="97">
        <f t="shared" si="53"/>
        <v>-3806615.9705460984</v>
      </c>
      <c r="AK145" s="97">
        <f t="shared" si="53"/>
        <v>-3901516.0170439687</v>
      </c>
      <c r="AL145" s="97">
        <f t="shared" si="53"/>
        <v>-3804056.3235418387</v>
      </c>
      <c r="AM145" s="97">
        <f t="shared" si="53"/>
        <v>-3564008.3886889284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-7063508.6706534754</v>
      </c>
      <c r="L146" s="54">
        <f t="shared" si="52"/>
        <v>-20218865.177392341</v>
      </c>
      <c r="M146" s="1"/>
      <c r="N146" s="1"/>
      <c r="O146" s="54">
        <f>SUM(AR:SM!O146)</f>
        <v>-251629.15238530707</v>
      </c>
      <c r="P146" s="54">
        <f>SUM(AR:SM!P146)</f>
        <v>-831968.16770862602</v>
      </c>
      <c r="Q146" s="54">
        <f>SUM(AR:SM!Q146)</f>
        <v>-831968.16770862602</v>
      </c>
      <c r="R146" s="54">
        <f>SUM(AR:SM!R146)</f>
        <v>-831968.16770862602</v>
      </c>
      <c r="S146" s="54">
        <f>SUM(AR:SM!S146)</f>
        <v>-831968.16770862602</v>
      </c>
      <c r="T146" s="54">
        <f>SUM(AR:SM!T146)</f>
        <v>-831968.16770862602</v>
      </c>
      <c r="U146" s="54">
        <f>SUM(AR:SM!U146)</f>
        <v>-831968.16770862602</v>
      </c>
      <c r="V146" s="54">
        <f>SUM(AR:SM!V146)</f>
        <v>-831968.16770862602</v>
      </c>
      <c r="W146" s="54">
        <f>SUM(AR:SM!W146)</f>
        <v>-831968.16770862602</v>
      </c>
      <c r="X146" s="54">
        <f>SUM(AR:SM!X146)</f>
        <v>-831968.16770862602</v>
      </c>
      <c r="Y146" s="54">
        <f>SUM(AR:SM!Y146)</f>
        <v>-831968.16770862602</v>
      </c>
      <c r="Z146" s="54">
        <f>SUM(AR:SM!Z146)</f>
        <v>-831968.16770862602</v>
      </c>
      <c r="AA146" s="54">
        <f>SUM(AR:SM!AA146)</f>
        <v>-831968.16770862602</v>
      </c>
      <c r="AB146" s="54">
        <f>SUM(AR:SM!AB146)</f>
        <v>-831968.16770862602</v>
      </c>
      <c r="AC146" s="54">
        <f>SUM(AR:SM!AC146)</f>
        <v>-831968.16770862602</v>
      </c>
      <c r="AD146" s="54">
        <f>SUM(AR:SM!AD146)</f>
        <v>-831968.16770862602</v>
      </c>
      <c r="AE146" s="54">
        <f>SUM(AR:SM!AE146)</f>
        <v>-831968.16770862602</v>
      </c>
      <c r="AF146" s="54">
        <f>SUM(AR:SM!AF146)</f>
        <v>-831968.16770862602</v>
      </c>
      <c r="AG146" s="54">
        <f>SUM(AR:SM!AG146)</f>
        <v>-831968.16770862602</v>
      </c>
      <c r="AH146" s="54">
        <f>SUM(AR:SM!AH146)</f>
        <v>-831968.16770862602</v>
      </c>
      <c r="AI146" s="54">
        <f>SUM(AR:SM!AI146)</f>
        <v>-831968.16770862602</v>
      </c>
      <c r="AJ146" s="54">
        <f>SUM(AR:SM!AJ146)</f>
        <v>-831968.16770862602</v>
      </c>
      <c r="AK146" s="54">
        <f>SUM(AR:SM!AK146)</f>
        <v>-831968.16770862602</v>
      </c>
      <c r="AL146" s="54">
        <f>SUM(AR:SM!AL146)</f>
        <v>-831968.16770862602</v>
      </c>
      <c r="AM146" s="54">
        <f>SUM(AR:SM!AM146)</f>
        <v>-831968.16770862602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52"/>
        <v>0</v>
      </c>
      <c r="M147" s="1"/>
      <c r="N147" s="1"/>
      <c r="O147" s="54">
        <f>SUM(AR:SM!O147)</f>
        <v>0</v>
      </c>
      <c r="P147" s="54">
        <f>SUM(AR:SM!P147)</f>
        <v>0</v>
      </c>
      <c r="Q147" s="54">
        <f>SUM(AR:SM!Q147)</f>
        <v>0</v>
      </c>
      <c r="R147" s="54">
        <f>SUM(AR:SM!R147)</f>
        <v>0</v>
      </c>
      <c r="S147" s="54">
        <f>SUM(AR:SM!S147)</f>
        <v>0</v>
      </c>
      <c r="T147" s="54">
        <f>SUM(AR:SM!T147)</f>
        <v>0</v>
      </c>
      <c r="U147" s="54">
        <f>SUM(AR:SM!U147)</f>
        <v>0</v>
      </c>
      <c r="V147" s="54">
        <f>SUM(AR:SM!V147)</f>
        <v>0</v>
      </c>
      <c r="W147" s="54">
        <f>SUM(AR:SM!W147)</f>
        <v>0</v>
      </c>
      <c r="X147" s="54">
        <f>SUM(AR:SM!X147)</f>
        <v>0</v>
      </c>
      <c r="Y147" s="54">
        <f>SUM(AR:SM!Y147)</f>
        <v>0</v>
      </c>
      <c r="Z147" s="54">
        <f>SUM(AR:SM!Z147)</f>
        <v>0</v>
      </c>
      <c r="AA147" s="54">
        <f>SUM(AR:SM!AA147)</f>
        <v>0</v>
      </c>
      <c r="AB147" s="54">
        <f>SUM(AR:SM!AB147)</f>
        <v>0</v>
      </c>
      <c r="AC147" s="54">
        <f>SUM(AR:SM!AC147)</f>
        <v>0</v>
      </c>
      <c r="AD147" s="54">
        <f>SUM(AR:SM!AD147)</f>
        <v>0</v>
      </c>
      <c r="AE147" s="54">
        <f>SUM(AR:SM!AE147)</f>
        <v>0</v>
      </c>
      <c r="AF147" s="54">
        <f>SUM(AR:SM!AF147)</f>
        <v>0</v>
      </c>
      <c r="AG147" s="54">
        <f>SUM(AR:SM!AG147)</f>
        <v>0</v>
      </c>
      <c r="AH147" s="54">
        <f>SUM(AR:SM!AH147)</f>
        <v>0</v>
      </c>
      <c r="AI147" s="54">
        <f>SUM(AR:SM!AI147)</f>
        <v>0</v>
      </c>
      <c r="AJ147" s="54">
        <f>SUM(AR:SM!AJ147)</f>
        <v>0</v>
      </c>
      <c r="AK147" s="54">
        <f>SUM(AR:SM!AK147)</f>
        <v>0</v>
      </c>
      <c r="AL147" s="54">
        <f>SUM(AR:SM!AL147)</f>
        <v>0</v>
      </c>
      <c r="AM147" s="54">
        <f>SUM(AR:SM!AM147)</f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54">SUM(K143:K147)</f>
        <v>27592326.528598875</v>
      </c>
      <c r="L148" s="115">
        <f t="shared" si="54"/>
        <v>80934886.146150708</v>
      </c>
      <c r="M148" s="1"/>
      <c r="N148" s="1"/>
      <c r="O148" s="334">
        <f>SUM(O143:O147)</f>
        <v>-10817.7642077739</v>
      </c>
      <c r="P148" s="334">
        <f t="shared" ref="P148:AM148" si="55">SUM(P143:P147)</f>
        <v>3385909.2201008284</v>
      </c>
      <c r="Q148" s="334">
        <f t="shared" si="55"/>
        <v>3291009.1736029591</v>
      </c>
      <c r="R148" s="334">
        <f t="shared" si="55"/>
        <v>3388468.8671050891</v>
      </c>
      <c r="S148" s="334">
        <f t="shared" si="55"/>
        <v>3368499.7206072193</v>
      </c>
      <c r="T148" s="334">
        <f t="shared" si="55"/>
        <v>3316097.6141093499</v>
      </c>
      <c r="U148" s="334">
        <f t="shared" si="55"/>
        <v>3371059.367611479</v>
      </c>
      <c r="V148" s="334">
        <f t="shared" si="55"/>
        <v>3318657.2611136097</v>
      </c>
      <c r="W148" s="334">
        <f t="shared" si="55"/>
        <v>3373619.0146157397</v>
      </c>
      <c r="X148" s="334">
        <f t="shared" si="55"/>
        <v>3396147.8081178684</v>
      </c>
      <c r="Y148" s="334">
        <f t="shared" si="55"/>
        <v>3301247.7616199995</v>
      </c>
      <c r="Z148" s="334">
        <f t="shared" si="55"/>
        <v>3398707.45512213</v>
      </c>
      <c r="AA148" s="334">
        <f t="shared" si="55"/>
        <v>3303807.4086242598</v>
      </c>
      <c r="AB148" s="334">
        <f t="shared" si="55"/>
        <v>3401267.1021263897</v>
      </c>
      <c r="AC148" s="334">
        <f t="shared" si="55"/>
        <v>3381297.9556285199</v>
      </c>
      <c r="AD148" s="334">
        <f t="shared" si="55"/>
        <v>3328895.8491306505</v>
      </c>
      <c r="AE148" s="334">
        <f t="shared" si="55"/>
        <v>3383857.6026327806</v>
      </c>
      <c r="AF148" s="334">
        <f t="shared" si="55"/>
        <v>3331455.4961349098</v>
      </c>
      <c r="AG148" s="334">
        <f t="shared" si="55"/>
        <v>3386417.2496370403</v>
      </c>
      <c r="AH148" s="334">
        <f t="shared" si="55"/>
        <v>3408946.0431391699</v>
      </c>
      <c r="AI148" s="334">
        <f t="shared" si="55"/>
        <v>3314045.9966413002</v>
      </c>
      <c r="AJ148" s="334">
        <f t="shared" si="55"/>
        <v>3411505.6901434306</v>
      </c>
      <c r="AK148" s="334">
        <f t="shared" si="55"/>
        <v>3316605.6436455604</v>
      </c>
      <c r="AL148" s="334">
        <f t="shared" si="55"/>
        <v>3414065.3371476904</v>
      </c>
      <c r="AM148" s="334">
        <f t="shared" si="55"/>
        <v>3654113.2720006006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hidden="1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/>
      <c r="L149" s="118"/>
      <c r="M149" s="1"/>
      <c r="N149" s="1"/>
      <c r="O149" s="335"/>
      <c r="P149" s="335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56">SUM(K151:K152)</f>
        <v>-27592326.528598852</v>
      </c>
      <c r="L150" s="69">
        <f t="shared" si="56"/>
        <v>-53713765.892321751</v>
      </c>
      <c r="M150" s="1"/>
      <c r="N150" s="1"/>
      <c r="O150" s="69">
        <f>SUM(O151:O152)</f>
        <v>-17376473.474600445</v>
      </c>
      <c r="P150" s="69">
        <f t="shared" ref="P150:AM150" si="57">SUM(P151:P152)</f>
        <v>0</v>
      </c>
      <c r="Q150" s="69">
        <f t="shared" si="57"/>
        <v>0</v>
      </c>
      <c r="R150" s="69">
        <f t="shared" si="57"/>
        <v>0</v>
      </c>
      <c r="S150" s="69">
        <f t="shared" si="57"/>
        <v>-7345588.818</v>
      </c>
      <c r="T150" s="69">
        <f t="shared" si="57"/>
        <v>0</v>
      </c>
      <c r="U150" s="69">
        <f t="shared" si="57"/>
        <v>0</v>
      </c>
      <c r="V150" s="69">
        <f t="shared" si="57"/>
        <v>-668976.08999999985</v>
      </c>
      <c r="W150" s="69">
        <f t="shared" si="57"/>
        <v>-977241.82999999984</v>
      </c>
      <c r="X150" s="69">
        <f t="shared" si="57"/>
        <v>0</v>
      </c>
      <c r="Y150" s="69">
        <f t="shared" si="57"/>
        <v>-7294860.6179999989</v>
      </c>
      <c r="Z150" s="69">
        <f t="shared" si="57"/>
        <v>0</v>
      </c>
      <c r="AA150" s="69">
        <f t="shared" si="57"/>
        <v>-3045709.8157213107</v>
      </c>
      <c r="AB150" s="69">
        <f t="shared" si="57"/>
        <v>0</v>
      </c>
      <c r="AC150" s="69">
        <f t="shared" si="57"/>
        <v>0</v>
      </c>
      <c r="AD150" s="69">
        <f t="shared" si="57"/>
        <v>-7963108.5079999985</v>
      </c>
      <c r="AE150" s="69">
        <f t="shared" si="57"/>
        <v>-147372.89000000001</v>
      </c>
      <c r="AF150" s="69">
        <f t="shared" si="57"/>
        <v>-830597.13999999978</v>
      </c>
      <c r="AG150" s="69">
        <f t="shared" si="57"/>
        <v>0</v>
      </c>
      <c r="AH150" s="69">
        <f t="shared" si="57"/>
        <v>0</v>
      </c>
      <c r="AI150" s="69">
        <f t="shared" si="57"/>
        <v>-7344860.6179999998</v>
      </c>
      <c r="AJ150" s="69">
        <f t="shared" si="57"/>
        <v>0</v>
      </c>
      <c r="AK150" s="69">
        <f t="shared" si="57"/>
        <v>-668976.08999999985</v>
      </c>
      <c r="AL150" s="69">
        <f t="shared" si="57"/>
        <v>0</v>
      </c>
      <c r="AM150" s="69">
        <f t="shared" si="57"/>
        <v>-50000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-27046535.023378529</v>
      </c>
      <c r="L151" s="97">
        <f t="shared" ref="L151:L152" si="58">SUM(O151:AV151)</f>
        <v>-53113765.892321751</v>
      </c>
      <c r="M151" s="1"/>
      <c r="N151" s="1"/>
      <c r="O151" s="97">
        <f>-O29</f>
        <v>-16776473.474600445</v>
      </c>
      <c r="P151" s="97">
        <f t="shared" ref="P151:AM151" si="59">-P29</f>
        <v>0</v>
      </c>
      <c r="Q151" s="97">
        <f t="shared" si="59"/>
        <v>0</v>
      </c>
      <c r="R151" s="97">
        <f t="shared" si="59"/>
        <v>0</v>
      </c>
      <c r="S151" s="97">
        <f t="shared" si="59"/>
        <v>-7345588.818</v>
      </c>
      <c r="T151" s="97">
        <f t="shared" si="59"/>
        <v>0</v>
      </c>
      <c r="U151" s="97">
        <f t="shared" si="59"/>
        <v>0</v>
      </c>
      <c r="V151" s="97">
        <f t="shared" si="59"/>
        <v>-668976.08999999985</v>
      </c>
      <c r="W151" s="97">
        <f t="shared" si="59"/>
        <v>-977241.82999999984</v>
      </c>
      <c r="X151" s="97">
        <f t="shared" si="59"/>
        <v>0</v>
      </c>
      <c r="Y151" s="97">
        <f t="shared" si="59"/>
        <v>-7294860.6179999989</v>
      </c>
      <c r="Z151" s="97">
        <f t="shared" si="59"/>
        <v>0</v>
      </c>
      <c r="AA151" s="97">
        <f t="shared" si="59"/>
        <v>-3045709.8157213107</v>
      </c>
      <c r="AB151" s="97">
        <f t="shared" si="59"/>
        <v>0</v>
      </c>
      <c r="AC151" s="97">
        <f t="shared" si="59"/>
        <v>0</v>
      </c>
      <c r="AD151" s="97">
        <f t="shared" si="59"/>
        <v>-7963108.5079999985</v>
      </c>
      <c r="AE151" s="97">
        <f t="shared" si="59"/>
        <v>-147372.89000000001</v>
      </c>
      <c r="AF151" s="97">
        <f t="shared" si="59"/>
        <v>-830597.13999999978</v>
      </c>
      <c r="AG151" s="97">
        <f t="shared" si="59"/>
        <v>0</v>
      </c>
      <c r="AH151" s="97">
        <f t="shared" si="59"/>
        <v>0</v>
      </c>
      <c r="AI151" s="97">
        <f t="shared" si="59"/>
        <v>-7344860.6179999998</v>
      </c>
      <c r="AJ151" s="97">
        <f t="shared" si="59"/>
        <v>0</v>
      </c>
      <c r="AK151" s="97">
        <f t="shared" si="59"/>
        <v>-668976.08999999985</v>
      </c>
      <c r="AL151" s="97">
        <f t="shared" si="59"/>
        <v>0</v>
      </c>
      <c r="AM151" s="97">
        <f t="shared" si="59"/>
        <v>-50000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-545791.50522032497</v>
      </c>
      <c r="L152" s="54">
        <f t="shared" si="58"/>
        <v>-600000</v>
      </c>
      <c r="M152" s="1"/>
      <c r="N152" s="1"/>
      <c r="O152" s="97">
        <f>SUM(AR:SM!O152)</f>
        <v>-600000</v>
      </c>
      <c r="P152" s="97">
        <f>SUM(AR:SM!P152)</f>
        <v>0</v>
      </c>
      <c r="Q152" s="97">
        <f>SUM(AR:SM!Q152)</f>
        <v>0</v>
      </c>
      <c r="R152" s="97">
        <f>SUM(AR:SM!R152)</f>
        <v>0</v>
      </c>
      <c r="S152" s="97">
        <f>SUM(AR:SM!S152)</f>
        <v>0</v>
      </c>
      <c r="T152" s="97">
        <f>SUM(AR:SM!T152)</f>
        <v>0</v>
      </c>
      <c r="U152" s="97">
        <f>SUM(AR:SM!U152)</f>
        <v>0</v>
      </c>
      <c r="V152" s="97">
        <f>SUM(AR:SM!V152)</f>
        <v>0</v>
      </c>
      <c r="W152" s="97">
        <f>SUM(AR:SM!W152)</f>
        <v>0</v>
      </c>
      <c r="X152" s="97">
        <f>SUM(AR:SM!X152)</f>
        <v>0</v>
      </c>
      <c r="Y152" s="97">
        <f>SUM(AR:SM!Y152)</f>
        <v>0</v>
      </c>
      <c r="Z152" s="97">
        <f>SUM(AR:SM!Z152)</f>
        <v>0</v>
      </c>
      <c r="AA152" s="97">
        <f>SUM(AR:SM!AA152)</f>
        <v>0</v>
      </c>
      <c r="AB152" s="97">
        <f>SUM(AR:SM!AB152)</f>
        <v>0</v>
      </c>
      <c r="AC152" s="97">
        <f>SUM(AR:SM!AC152)</f>
        <v>0</v>
      </c>
      <c r="AD152" s="97">
        <f>SUM(AR:SM!AD152)</f>
        <v>0</v>
      </c>
      <c r="AE152" s="97">
        <f>SUM(AR:SM!AE152)</f>
        <v>0</v>
      </c>
      <c r="AF152" s="97">
        <f>SUM(AR:SM!AF152)</f>
        <v>0</v>
      </c>
      <c r="AG152" s="97">
        <f>SUM(AR:SM!AG152)</f>
        <v>0</v>
      </c>
      <c r="AH152" s="97">
        <f>SUM(AR:SM!AH152)</f>
        <v>0</v>
      </c>
      <c r="AI152" s="97">
        <f>SUM(AR:SM!AI152)</f>
        <v>0</v>
      </c>
      <c r="AJ152" s="97">
        <f>SUM(AR:SM!AJ152)</f>
        <v>0</v>
      </c>
      <c r="AK152" s="97">
        <f>SUM(AR:SM!AK152)</f>
        <v>0</v>
      </c>
      <c r="AL152" s="97">
        <f>SUM(AR:SM!AL152)</f>
        <v>0</v>
      </c>
      <c r="AM152" s="97">
        <f>SUM(AR:SM!AM152)</f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60">K148+K150</f>
        <v>0</v>
      </c>
      <c r="L153" s="115">
        <f t="shared" si="60"/>
        <v>27221120.253828958</v>
      </c>
      <c r="M153" s="1"/>
      <c r="N153" s="1"/>
      <c r="O153" s="116">
        <f>O148+O150</f>
        <v>-17387291.238808218</v>
      </c>
      <c r="P153" s="116">
        <f t="shared" ref="P153:AM153" si="61">P148+P150</f>
        <v>3385909.2201008284</v>
      </c>
      <c r="Q153" s="116">
        <f t="shared" si="61"/>
        <v>3291009.1736029591</v>
      </c>
      <c r="R153" s="116">
        <f t="shared" si="61"/>
        <v>3388468.8671050891</v>
      </c>
      <c r="S153" s="116">
        <f t="shared" si="61"/>
        <v>-3977089.0973927807</v>
      </c>
      <c r="T153" s="116">
        <f t="shared" si="61"/>
        <v>3316097.6141093499</v>
      </c>
      <c r="U153" s="116">
        <f t="shared" si="61"/>
        <v>3371059.367611479</v>
      </c>
      <c r="V153" s="116">
        <f t="shared" si="61"/>
        <v>2649681.1711136098</v>
      </c>
      <c r="W153" s="116">
        <f t="shared" si="61"/>
        <v>2396377.1846157396</v>
      </c>
      <c r="X153" s="116">
        <f t="shared" si="61"/>
        <v>3396147.8081178684</v>
      </c>
      <c r="Y153" s="116">
        <f t="shared" si="61"/>
        <v>-3993612.8563799993</v>
      </c>
      <c r="Z153" s="116">
        <f t="shared" si="61"/>
        <v>3398707.45512213</v>
      </c>
      <c r="AA153" s="116">
        <f t="shared" si="61"/>
        <v>258097.59290294908</v>
      </c>
      <c r="AB153" s="116">
        <f t="shared" si="61"/>
        <v>3401267.1021263897</v>
      </c>
      <c r="AC153" s="116">
        <f t="shared" si="61"/>
        <v>3381297.9556285199</v>
      </c>
      <c r="AD153" s="116">
        <f t="shared" si="61"/>
        <v>-4634212.6588693485</v>
      </c>
      <c r="AE153" s="116">
        <f t="shared" si="61"/>
        <v>3236484.7126327804</v>
      </c>
      <c r="AF153" s="116">
        <f t="shared" si="61"/>
        <v>2500858.3561349101</v>
      </c>
      <c r="AG153" s="116">
        <f t="shared" si="61"/>
        <v>3386417.2496370403</v>
      </c>
      <c r="AH153" s="116">
        <f t="shared" si="61"/>
        <v>3408946.0431391699</v>
      </c>
      <c r="AI153" s="116">
        <f t="shared" si="61"/>
        <v>-4030814.6213586996</v>
      </c>
      <c r="AJ153" s="116">
        <f t="shared" si="61"/>
        <v>3411505.6901434306</v>
      </c>
      <c r="AK153" s="116">
        <f t="shared" si="61"/>
        <v>2647629.5536455605</v>
      </c>
      <c r="AL153" s="116">
        <f t="shared" si="61"/>
        <v>3414065.3371476904</v>
      </c>
      <c r="AM153" s="116">
        <f t="shared" si="61"/>
        <v>3604113.2720006006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62">SUM($O153:O153)</f>
        <v>-17387291.238808218</v>
      </c>
      <c r="P154" s="125">
        <f t="shared" si="62"/>
        <v>-14001382.018707391</v>
      </c>
      <c r="Q154" s="125">
        <f t="shared" si="62"/>
        <v>-10710372.845104432</v>
      </c>
      <c r="R154" s="125">
        <f t="shared" si="62"/>
        <v>-7321903.9779993426</v>
      </c>
      <c r="S154" s="125">
        <f t="shared" si="62"/>
        <v>-11298993.075392123</v>
      </c>
      <c r="T154" s="125">
        <f t="shared" si="62"/>
        <v>-7982895.4612827729</v>
      </c>
      <c r="U154" s="125">
        <f t="shared" si="62"/>
        <v>-4611836.0936712939</v>
      </c>
      <c r="V154" s="125">
        <f t="shared" si="62"/>
        <v>-1962154.9225576841</v>
      </c>
      <c r="W154" s="125">
        <f t="shared" si="62"/>
        <v>434222.26205805549</v>
      </c>
      <c r="X154" s="125">
        <f t="shared" si="62"/>
        <v>3830370.0701759239</v>
      </c>
      <c r="Y154" s="125">
        <f t="shared" si="62"/>
        <v>-163242.78620407544</v>
      </c>
      <c r="Z154" s="125">
        <f t="shared" si="62"/>
        <v>3235464.6689180546</v>
      </c>
      <c r="AA154" s="125">
        <f t="shared" si="62"/>
        <v>3493562.2618210036</v>
      </c>
      <c r="AB154" s="125">
        <f t="shared" si="62"/>
        <v>6894829.3639473934</v>
      </c>
      <c r="AC154" s="125">
        <f t="shared" si="62"/>
        <v>10276127.319575913</v>
      </c>
      <c r="AD154" s="125">
        <f t="shared" si="62"/>
        <v>5641914.6607065648</v>
      </c>
      <c r="AE154" s="125">
        <f t="shared" si="62"/>
        <v>8878399.3733393457</v>
      </c>
      <c r="AF154" s="125">
        <f t="shared" si="62"/>
        <v>11379257.729474256</v>
      </c>
      <c r="AG154" s="125">
        <f t="shared" si="62"/>
        <v>14765674.979111295</v>
      </c>
      <c r="AH154" s="125">
        <f t="shared" si="62"/>
        <v>18174621.022250466</v>
      </c>
      <c r="AI154" s="125">
        <f t="shared" si="62"/>
        <v>14143806.400891766</v>
      </c>
      <c r="AJ154" s="125">
        <f t="shared" si="62"/>
        <v>17555312.091035195</v>
      </c>
      <c r="AK154" s="125">
        <f t="shared" si="62"/>
        <v>20202941.644680753</v>
      </c>
      <c r="AL154" s="125">
        <f t="shared" si="62"/>
        <v>23617006.981828444</v>
      </c>
      <c r="AM154" s="125">
        <f t="shared" si="62"/>
        <v>27221120.253829043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9.9320884002751519E-2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3.1769246865315651E-10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-17387291.238808218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63">IF(O154&lt;0,1,0)</f>
        <v>1</v>
      </c>
      <c r="P160" s="131">
        <f t="shared" si="63"/>
        <v>1</v>
      </c>
      <c r="Q160" s="131">
        <f t="shared" si="63"/>
        <v>1</v>
      </c>
      <c r="R160" s="131">
        <f t="shared" si="63"/>
        <v>1</v>
      </c>
      <c r="S160" s="131">
        <f t="shared" si="63"/>
        <v>1</v>
      </c>
      <c r="T160" s="131">
        <f t="shared" si="63"/>
        <v>1</v>
      </c>
      <c r="U160" s="131">
        <f t="shared" si="63"/>
        <v>1</v>
      </c>
      <c r="V160" s="131">
        <f t="shared" si="63"/>
        <v>1</v>
      </c>
      <c r="W160" s="131">
        <f t="shared" si="63"/>
        <v>0</v>
      </c>
      <c r="X160" s="131">
        <f t="shared" si="63"/>
        <v>0</v>
      </c>
      <c r="Y160" s="131">
        <f t="shared" si="63"/>
        <v>1</v>
      </c>
      <c r="Z160" s="131">
        <f t="shared" si="63"/>
        <v>0</v>
      </c>
      <c r="AA160" s="131">
        <f t="shared" si="63"/>
        <v>0</v>
      </c>
      <c r="AB160" s="131">
        <f t="shared" si="63"/>
        <v>0</v>
      </c>
      <c r="AC160" s="131">
        <f t="shared" si="63"/>
        <v>0</v>
      </c>
      <c r="AD160" s="131">
        <f t="shared" si="63"/>
        <v>0</v>
      </c>
      <c r="AE160" s="131">
        <f t="shared" si="63"/>
        <v>0</v>
      </c>
      <c r="AF160" s="131">
        <f t="shared" si="63"/>
        <v>0</v>
      </c>
      <c r="AG160" s="131">
        <f t="shared" si="63"/>
        <v>0</v>
      </c>
      <c r="AH160" s="131">
        <f t="shared" si="63"/>
        <v>0</v>
      </c>
      <c r="AI160" s="131">
        <f t="shared" si="63"/>
        <v>0</v>
      </c>
      <c r="AJ160" s="131">
        <f t="shared" si="63"/>
        <v>0</v>
      </c>
      <c r="AK160" s="131">
        <f t="shared" si="63"/>
        <v>0</v>
      </c>
      <c r="AL160" s="131">
        <f t="shared" si="63"/>
        <v>0</v>
      </c>
      <c r="AM160" s="131">
        <f t="shared" si="63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hidden="1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64">SUM(O162:AM162)</f>
        <v>0</v>
      </c>
      <c r="M162" s="1"/>
      <c r="N162" s="1"/>
      <c r="O162" s="329"/>
      <c r="P162" s="329"/>
      <c r="Q162" s="329"/>
      <c r="R162" s="329"/>
      <c r="S162" s="329"/>
      <c r="T162" s="329"/>
      <c r="U162" s="329"/>
      <c r="V162" s="329"/>
      <c r="W162" s="329"/>
      <c r="X162" s="329"/>
      <c r="Y162" s="329"/>
      <c r="Z162" s="329"/>
      <c r="AA162" s="329"/>
      <c r="AB162" s="329"/>
      <c r="AC162" s="329"/>
      <c r="AD162" s="329"/>
      <c r="AE162" s="329"/>
      <c r="AF162" s="329"/>
      <c r="AG162" s="329"/>
      <c r="AH162" s="329"/>
      <c r="AI162" s="329"/>
      <c r="AJ162" s="329"/>
      <c r="AK162" s="329"/>
      <c r="AL162" s="329"/>
      <c r="AM162" s="329"/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hidden="1" customHeight="1" x14ac:dyDescent="0.3">
      <c r="A163" s="131"/>
      <c r="B163" s="352" t="s">
        <v>5175</v>
      </c>
      <c r="C163" s="352"/>
      <c r="D163" s="352"/>
      <c r="E163" s="352"/>
      <c r="F163" s="352"/>
      <c r="G163" s="350"/>
      <c r="H163" s="350"/>
      <c r="I163" s="350"/>
      <c r="J163" s="350"/>
      <c r="K163" s="350"/>
      <c r="L163" s="350">
        <f t="shared" si="64"/>
        <v>0</v>
      </c>
      <c r="M163" s="1"/>
      <c r="N163" s="1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  <c r="AA163" s="350"/>
      <c r="AB163" s="350"/>
      <c r="AC163" s="350"/>
      <c r="AD163" s="350"/>
      <c r="AE163" s="350"/>
      <c r="AF163" s="350"/>
      <c r="AG163" s="350"/>
      <c r="AH163" s="350"/>
      <c r="AI163" s="350"/>
      <c r="AJ163" s="350"/>
      <c r="AK163" s="350"/>
      <c r="AL163" s="350"/>
      <c r="AM163" s="350"/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hidden="1" customHeight="1" x14ac:dyDescent="0.3">
      <c r="A164" s="131"/>
      <c r="B164" s="353" t="s">
        <v>5176</v>
      </c>
      <c r="C164" s="353"/>
      <c r="D164" s="353"/>
      <c r="E164" s="353"/>
      <c r="F164" s="353"/>
      <c r="G164" s="351"/>
      <c r="H164" s="351"/>
      <c r="I164" s="351"/>
      <c r="J164" s="351"/>
      <c r="K164" s="351"/>
      <c r="L164" s="351">
        <f t="shared" si="64"/>
        <v>0</v>
      </c>
      <c r="M164" s="1"/>
      <c r="N164" s="1"/>
      <c r="O164" s="351"/>
      <c r="P164" s="351"/>
      <c r="Q164" s="351"/>
      <c r="R164" s="351"/>
      <c r="S164" s="351"/>
      <c r="T164" s="351"/>
      <c r="U164" s="351"/>
      <c r="V164" s="351"/>
      <c r="W164" s="351"/>
      <c r="X164" s="351"/>
      <c r="Y164" s="351"/>
      <c r="Z164" s="351"/>
      <c r="AA164" s="351"/>
      <c r="AB164" s="351"/>
      <c r="AC164" s="351"/>
      <c r="AD164" s="351"/>
      <c r="AE164" s="351"/>
      <c r="AF164" s="351"/>
      <c r="AG164" s="351"/>
      <c r="AH164" s="351"/>
      <c r="AI164" s="351"/>
      <c r="AJ164" s="351"/>
      <c r="AK164" s="351"/>
      <c r="AL164" s="351"/>
      <c r="AM164" s="351"/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hidden="1" customHeight="1" x14ac:dyDescent="0.3">
      <c r="A165" s="131"/>
      <c r="B165" s="353" t="s">
        <v>5177</v>
      </c>
      <c r="C165" s="353"/>
      <c r="D165" s="353"/>
      <c r="E165" s="353"/>
      <c r="F165" s="353"/>
      <c r="G165" s="354"/>
      <c r="H165" s="351"/>
      <c r="I165" s="351"/>
      <c r="J165" s="351"/>
      <c r="K165" s="351"/>
      <c r="L165" s="351">
        <f t="shared" si="64"/>
        <v>0</v>
      </c>
      <c r="M165" s="1"/>
      <c r="N165" s="1"/>
      <c r="O165" s="351"/>
      <c r="P165" s="351"/>
      <c r="Q165" s="351"/>
      <c r="R165" s="351"/>
      <c r="S165" s="351"/>
      <c r="T165" s="351"/>
      <c r="U165" s="351"/>
      <c r="V165" s="351"/>
      <c r="W165" s="351"/>
      <c r="X165" s="351"/>
      <c r="Y165" s="351"/>
      <c r="Z165" s="351"/>
      <c r="AA165" s="351"/>
      <c r="AB165" s="351"/>
      <c r="AC165" s="351"/>
      <c r="AD165" s="351"/>
      <c r="AE165" s="351"/>
      <c r="AF165" s="351"/>
      <c r="AG165" s="351"/>
      <c r="AH165" s="351"/>
      <c r="AI165" s="351"/>
      <c r="AJ165" s="351"/>
      <c r="AK165" s="351"/>
      <c r="AL165" s="351"/>
      <c r="AM165" s="351"/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hidden="1" customHeight="1" x14ac:dyDescent="0.3">
      <c r="A166" s="131"/>
      <c r="B166" s="353" t="s">
        <v>5178</v>
      </c>
      <c r="C166" s="353"/>
      <c r="D166" s="353"/>
      <c r="E166" s="353"/>
      <c r="F166" s="353"/>
      <c r="G166" s="354"/>
      <c r="H166" s="351"/>
      <c r="I166" s="351"/>
      <c r="J166" s="351"/>
      <c r="K166" s="351"/>
      <c r="L166" s="351">
        <f t="shared" si="64"/>
        <v>0</v>
      </c>
      <c r="M166" s="1"/>
      <c r="N166" s="1"/>
      <c r="O166" s="351"/>
      <c r="P166" s="351"/>
      <c r="Q166" s="351"/>
      <c r="R166" s="351"/>
      <c r="S166" s="351"/>
      <c r="T166" s="351"/>
      <c r="U166" s="351"/>
      <c r="V166" s="351"/>
      <c r="W166" s="351"/>
      <c r="X166" s="351"/>
      <c r="Y166" s="351"/>
      <c r="Z166" s="351"/>
      <c r="AA166" s="351"/>
      <c r="AB166" s="351"/>
      <c r="AC166" s="351"/>
      <c r="AD166" s="351"/>
      <c r="AE166" s="351"/>
      <c r="AF166" s="351"/>
      <c r="AG166" s="351"/>
      <c r="AH166" s="351"/>
      <c r="AI166" s="351"/>
      <c r="AJ166" s="351"/>
      <c r="AK166" s="351"/>
      <c r="AL166" s="351"/>
      <c r="AM166" s="351"/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hidden="1" customHeight="1" x14ac:dyDescent="0.3">
      <c r="A167" s="131"/>
      <c r="B167" s="183" t="s">
        <v>5179</v>
      </c>
      <c r="C167" s="183"/>
      <c r="D167" s="183"/>
      <c r="E167" s="183"/>
      <c r="F167" s="183"/>
      <c r="G167" s="195"/>
      <c r="H167" s="195"/>
      <c r="I167" s="195"/>
      <c r="J167" s="195"/>
      <c r="K167" s="195"/>
      <c r="L167" s="195">
        <f t="shared" si="64"/>
        <v>0</v>
      </c>
      <c r="M167" s="1"/>
      <c r="N167" s="1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  <c r="AA167" s="195"/>
      <c r="AB167" s="195"/>
      <c r="AC167" s="195"/>
      <c r="AD167" s="195"/>
      <c r="AE167" s="195"/>
      <c r="AF167" s="195"/>
      <c r="AG167" s="195"/>
      <c r="AH167" s="195"/>
      <c r="AI167" s="195"/>
      <c r="AJ167" s="195"/>
      <c r="AK167" s="195"/>
      <c r="AL167" s="195"/>
      <c r="AM167" s="195"/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hidden="1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v>0</v>
      </c>
      <c r="M168" s="1"/>
      <c r="N168" s="1"/>
      <c r="O168" s="349">
        <v>0</v>
      </c>
      <c r="P168" s="349">
        <v>0</v>
      </c>
      <c r="Q168" s="349">
        <v>0</v>
      </c>
      <c r="R168" s="349">
        <v>0</v>
      </c>
      <c r="S168" s="349">
        <v>0</v>
      </c>
      <c r="T168" s="349">
        <v>0</v>
      </c>
      <c r="U168" s="349">
        <v>0</v>
      </c>
      <c r="V168" s="349">
        <v>0</v>
      </c>
      <c r="W168" s="349">
        <v>0</v>
      </c>
      <c r="X168" s="349">
        <v>0</v>
      </c>
      <c r="Y168" s="349">
        <v>0</v>
      </c>
      <c r="Z168" s="349">
        <v>0</v>
      </c>
      <c r="AA168" s="349">
        <v>0</v>
      </c>
      <c r="AB168" s="349">
        <v>0</v>
      </c>
      <c r="AC168" s="349">
        <v>0</v>
      </c>
      <c r="AD168" s="349">
        <v>0</v>
      </c>
      <c r="AE168" s="349">
        <v>0</v>
      </c>
      <c r="AF168" s="349">
        <v>0</v>
      </c>
      <c r="AG168" s="349">
        <v>0</v>
      </c>
      <c r="AH168" s="349">
        <v>0</v>
      </c>
      <c r="AI168" s="349">
        <v>0</v>
      </c>
      <c r="AJ168" s="349">
        <v>0</v>
      </c>
      <c r="AK168" s="349">
        <v>0</v>
      </c>
      <c r="AL168" s="349">
        <v>0</v>
      </c>
      <c r="AM168" s="349">
        <v>0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hidden="1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v>0</v>
      </c>
      <c r="P169" s="125">
        <v>0</v>
      </c>
      <c r="Q169" s="125">
        <v>0</v>
      </c>
      <c r="R169" s="125">
        <v>0</v>
      </c>
      <c r="S169" s="125">
        <v>0</v>
      </c>
      <c r="T169" s="125">
        <v>0</v>
      </c>
      <c r="U169" s="125">
        <v>0</v>
      </c>
      <c r="V169" s="125">
        <v>0</v>
      </c>
      <c r="W169" s="125">
        <v>0</v>
      </c>
      <c r="X169" s="125">
        <v>0</v>
      </c>
      <c r="Y169" s="125">
        <v>0</v>
      </c>
      <c r="Z169" s="125">
        <v>0</v>
      </c>
      <c r="AA169" s="125">
        <v>0</v>
      </c>
      <c r="AB169" s="125">
        <v>0</v>
      </c>
      <c r="AC169" s="125">
        <v>0</v>
      </c>
      <c r="AD169" s="125">
        <v>0</v>
      </c>
      <c r="AE169" s="125">
        <v>0</v>
      </c>
      <c r="AF169" s="125">
        <v>0</v>
      </c>
      <c r="AG169" s="125">
        <v>0</v>
      </c>
      <c r="AH169" s="125">
        <v>0</v>
      </c>
      <c r="AI169" s="125">
        <v>0</v>
      </c>
      <c r="AJ169" s="125">
        <v>0</v>
      </c>
      <c r="AK169" s="125">
        <v>0</v>
      </c>
      <c r="AL169" s="125">
        <v>0</v>
      </c>
      <c r="AM169" s="125">
        <v>0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hidden="1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AVERAGE(AR:SM!L172)</f>
        <v>2.5185514065168131</v>
      </c>
      <c r="M172" s="1"/>
      <c r="N172" s="1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  <c r="AL172" s="343"/>
      <c r="AM172" s="343"/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 t="s">
        <v>5267</v>
      </c>
      <c r="C173" s="183"/>
      <c r="D173" s="183"/>
      <c r="E173" s="183"/>
      <c r="F173" s="183"/>
      <c r="G173" s="195"/>
      <c r="H173" s="195"/>
      <c r="I173" s="195"/>
      <c r="J173" s="195"/>
      <c r="K173" s="195"/>
      <c r="L173" s="343">
        <v>1.3</v>
      </c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">
        <v>108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>SUM(AR:SM!O205)</f>
        <v>103807.90628388354</v>
      </c>
      <c r="P205" s="97">
        <f>SUM(AR:SM!P205)</f>
        <v>311423.71885165089</v>
      </c>
      <c r="Q205" s="97">
        <f>SUM(AR:SM!Q205)</f>
        <v>311423.71885165089</v>
      </c>
      <c r="R205" s="97">
        <f>SUM(AR:SM!R205)</f>
        <v>311423.71885165089</v>
      </c>
      <c r="S205" s="97">
        <f>SUM(AR:SM!S205)</f>
        <v>311423.71885165089</v>
      </c>
      <c r="T205" s="97">
        <f>SUM(AR:SM!T205)</f>
        <v>311423.71885165089</v>
      </c>
      <c r="U205" s="97">
        <f>SUM(AR:SM!U205)</f>
        <v>311423.71885165089</v>
      </c>
      <c r="V205" s="97">
        <f>SUM(AR:SM!V205)</f>
        <v>311423.71885165089</v>
      </c>
      <c r="W205" s="97">
        <f>SUM(AR:SM!W205)</f>
        <v>311423.71885165089</v>
      </c>
      <c r="X205" s="97">
        <f>SUM(AR:SM!X205)</f>
        <v>311423.71885165089</v>
      </c>
      <c r="Y205" s="97">
        <f>SUM(AR:SM!Y205)</f>
        <v>311423.71885165089</v>
      </c>
      <c r="Z205" s="97">
        <f>SUM(AR:SM!Z205)</f>
        <v>311423.71885165089</v>
      </c>
      <c r="AA205" s="97">
        <f>SUM(AR:SM!AA205)</f>
        <v>311423.71885165089</v>
      </c>
      <c r="AB205" s="97">
        <f>SUM(AR:SM!AB205)</f>
        <v>311423.71885165089</v>
      </c>
      <c r="AC205" s="97">
        <f>SUM(AR:SM!AC205)</f>
        <v>311423.71885165089</v>
      </c>
      <c r="AD205" s="97">
        <f>SUM(AR:SM!AD205)</f>
        <v>311423.71885165089</v>
      </c>
      <c r="AE205" s="97">
        <f>SUM(AR:SM!AE205)</f>
        <v>311423.71885165089</v>
      </c>
      <c r="AF205" s="97">
        <f>SUM(AR:SM!AF205)</f>
        <v>311423.71885165089</v>
      </c>
      <c r="AG205" s="97">
        <f>SUM(AR:SM!AG205)</f>
        <v>311423.71885165089</v>
      </c>
      <c r="AH205" s="97">
        <f>SUM(AR:SM!AH205)</f>
        <v>311423.71885165089</v>
      </c>
      <c r="AI205" s="97">
        <f>SUM(AR:SM!AI205)</f>
        <v>311423.71885165089</v>
      </c>
      <c r="AJ205" s="97">
        <f>SUM(AR:SM!AJ205)</f>
        <v>311423.71885165089</v>
      </c>
      <c r="AK205" s="97">
        <f>SUM(AR:SM!AK205)</f>
        <v>311423.71885165089</v>
      </c>
      <c r="AL205" s="97">
        <f>SUM(AR:SM!AL205)</f>
        <v>311423.71885165089</v>
      </c>
      <c r="AM205" s="97">
        <f>SUM(AR:SM!AM205)</f>
        <v>311423.71885165089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SUM(AR:SM!O206)</f>
        <v>56881.044539114271</v>
      </c>
      <c r="P206" s="54">
        <f>SUM(AR:SM!P206)</f>
        <v>170643.13361734297</v>
      </c>
      <c r="Q206" s="54">
        <f>SUM(AR:SM!Q206)</f>
        <v>170643.13361734297</v>
      </c>
      <c r="R206" s="54">
        <f>SUM(AR:SM!R206)</f>
        <v>170643.13361734297</v>
      </c>
      <c r="S206" s="54">
        <f>SUM(AR:SM!S206)</f>
        <v>170643.13361734297</v>
      </c>
      <c r="T206" s="54">
        <f>SUM(AR:SM!T206)</f>
        <v>170643.13361734297</v>
      </c>
      <c r="U206" s="54">
        <f>SUM(AR:SM!U206)</f>
        <v>170643.13361734297</v>
      </c>
      <c r="V206" s="54">
        <f>SUM(AR:SM!V206)</f>
        <v>170643.13361734297</v>
      </c>
      <c r="W206" s="54">
        <f>SUM(AR:SM!W206)</f>
        <v>170643.13361734297</v>
      </c>
      <c r="X206" s="54">
        <f>SUM(AR:SM!X206)</f>
        <v>170643.13361734297</v>
      </c>
      <c r="Y206" s="54">
        <f>SUM(AR:SM!Y206)</f>
        <v>170643.13361734297</v>
      </c>
      <c r="Z206" s="54">
        <f>SUM(AR:SM!Z206)</f>
        <v>170643.13361734297</v>
      </c>
      <c r="AA206" s="54">
        <f>SUM(AR:SM!AA206)</f>
        <v>170643.13361734297</v>
      </c>
      <c r="AB206" s="54">
        <f>SUM(AR:SM!AB206)</f>
        <v>170643.13361734297</v>
      </c>
      <c r="AC206" s="54">
        <f>SUM(AR:SM!AC206)</f>
        <v>170643.13361734297</v>
      </c>
      <c r="AD206" s="54">
        <f>SUM(AR:SM!AD206)</f>
        <v>170643.13361734297</v>
      </c>
      <c r="AE206" s="54">
        <f>SUM(AR:SM!AE206)</f>
        <v>170643.13361734297</v>
      </c>
      <c r="AF206" s="54">
        <f>SUM(AR:SM!AF206)</f>
        <v>170643.13361734297</v>
      </c>
      <c r="AG206" s="54">
        <f>SUM(AR:SM!AG206)</f>
        <v>170643.13361734297</v>
      </c>
      <c r="AH206" s="54">
        <f>SUM(AR:SM!AH206)</f>
        <v>170643.13361734297</v>
      </c>
      <c r="AI206" s="54">
        <f>SUM(AR:SM!AI206)</f>
        <v>170643.13361734297</v>
      </c>
      <c r="AJ206" s="54">
        <f>SUM(AR:SM!AJ206)</f>
        <v>170643.13361734297</v>
      </c>
      <c r="AK206" s="54">
        <f>SUM(AR:SM!AK206)</f>
        <v>170643.13361734297</v>
      </c>
      <c r="AL206" s="54">
        <f>SUM(AR:SM!AL206)</f>
        <v>170643.13361734297</v>
      </c>
      <c r="AM206" s="54">
        <f>SUM(AR:SM!AM206)</f>
        <v>170643.13361734297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>SUM(AR:SM!O207)</f>
        <v>251629.15238530707</v>
      </c>
      <c r="P207" s="330">
        <f>SUM(AR:SM!P207)</f>
        <v>831968.16770862602</v>
      </c>
      <c r="Q207" s="330">
        <f>SUM(AR:SM!Q207)</f>
        <v>831968.16770862602</v>
      </c>
      <c r="R207" s="330">
        <f>SUM(AR:SM!R207)</f>
        <v>831968.16770862602</v>
      </c>
      <c r="S207" s="330">
        <f>SUM(AR:SM!S207)</f>
        <v>831968.16770862602</v>
      </c>
      <c r="T207" s="330">
        <f>SUM(AR:SM!T207)</f>
        <v>831968.16770862602</v>
      </c>
      <c r="U207" s="330">
        <f>SUM(AR:SM!U207)</f>
        <v>831968.16770862602</v>
      </c>
      <c r="V207" s="330">
        <f>SUM(AR:SM!V207)</f>
        <v>831968.16770862602</v>
      </c>
      <c r="W207" s="330">
        <f>SUM(AR:SM!W207)</f>
        <v>831968.16770862602</v>
      </c>
      <c r="X207" s="330">
        <f>SUM(AR:SM!X207)</f>
        <v>831968.16770862602</v>
      </c>
      <c r="Y207" s="330">
        <f>SUM(AR:SM!Y207)</f>
        <v>831968.16770862602</v>
      </c>
      <c r="Z207" s="330">
        <f>SUM(AR:SM!Z207)</f>
        <v>831968.16770862602</v>
      </c>
      <c r="AA207" s="330">
        <f>SUM(AR:SM!AA207)</f>
        <v>831968.16770862602</v>
      </c>
      <c r="AB207" s="330">
        <f>SUM(AR:SM!AB207)</f>
        <v>831968.16770862602</v>
      </c>
      <c r="AC207" s="330">
        <f>SUM(AR:SM!AC207)</f>
        <v>831968.16770862602</v>
      </c>
      <c r="AD207" s="330">
        <f>SUM(AR:SM!AD207)</f>
        <v>831968.16770862602</v>
      </c>
      <c r="AE207" s="330">
        <f>SUM(AR:SM!AE207)</f>
        <v>831968.16770862602</v>
      </c>
      <c r="AF207" s="330">
        <f>SUM(AR:SM!AF207)</f>
        <v>831968.16770862602</v>
      </c>
      <c r="AG207" s="330">
        <f>SUM(AR:SM!AG207)</f>
        <v>831968.16770862602</v>
      </c>
      <c r="AH207" s="330">
        <f>SUM(AR:SM!AH207)</f>
        <v>831968.16770862602</v>
      </c>
      <c r="AI207" s="330">
        <f>SUM(AR:SM!AI207)</f>
        <v>831968.16770862602</v>
      </c>
      <c r="AJ207" s="330">
        <f>SUM(AR:SM!AJ207)</f>
        <v>831968.16770862602</v>
      </c>
      <c r="AK207" s="330">
        <f>SUM(AR:SM!AK207)</f>
        <v>831968.16770862602</v>
      </c>
      <c r="AL207" s="330">
        <f>SUM(AR:SM!AL207)</f>
        <v>831968.16770862602</v>
      </c>
      <c r="AM207" s="330">
        <f>SUM(AR:SM!AM207)</f>
        <v>831968.16770862602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v>0</v>
      </c>
      <c r="P209" s="69">
        <v>0</v>
      </c>
      <c r="Q209" s="69">
        <v>0</v>
      </c>
      <c r="R209" s="69">
        <v>0</v>
      </c>
      <c r="S209" s="69">
        <v>0</v>
      </c>
      <c r="T209" s="69">
        <v>0</v>
      </c>
      <c r="U209" s="69">
        <v>0</v>
      </c>
      <c r="V209" s="69">
        <v>0</v>
      </c>
      <c r="W209" s="69">
        <v>0</v>
      </c>
      <c r="X209" s="69">
        <v>0</v>
      </c>
      <c r="Y209" s="69">
        <v>0</v>
      </c>
      <c r="Z209" s="69">
        <v>0</v>
      </c>
      <c r="AA209" s="69">
        <v>0</v>
      </c>
      <c r="AB209" s="69">
        <v>0</v>
      </c>
      <c r="AC209" s="69">
        <v>0</v>
      </c>
      <c r="AD209" s="69">
        <v>0</v>
      </c>
      <c r="AE209" s="69">
        <v>0</v>
      </c>
      <c r="AF209" s="69">
        <v>0</v>
      </c>
      <c r="AG209" s="69">
        <v>0</v>
      </c>
      <c r="AH209" s="69">
        <v>0</v>
      </c>
      <c r="AI209" s="69">
        <v>0</v>
      </c>
      <c r="AJ209" s="69">
        <v>0</v>
      </c>
      <c r="AK209" s="69">
        <v>0</v>
      </c>
      <c r="AL209" s="69">
        <v>0</v>
      </c>
      <c r="AM209" s="69">
        <v>0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7">
        <f t="shared" ref="O211:AM211" si="65">$I$214*O11</f>
        <v>0</v>
      </c>
      <c r="P211" s="107">
        <f t="shared" si="65"/>
        <v>0</v>
      </c>
      <c r="Q211" s="107">
        <f t="shared" si="65"/>
        <v>0</v>
      </c>
      <c r="R211" s="107">
        <f t="shared" si="65"/>
        <v>0</v>
      </c>
      <c r="S211" s="107">
        <f t="shared" si="65"/>
        <v>0</v>
      </c>
      <c r="T211" s="107">
        <f t="shared" si="65"/>
        <v>0</v>
      </c>
      <c r="U211" s="107">
        <f t="shared" si="65"/>
        <v>0</v>
      </c>
      <c r="V211" s="107">
        <f t="shared" si="65"/>
        <v>0</v>
      </c>
      <c r="W211" s="107">
        <f t="shared" si="65"/>
        <v>0</v>
      </c>
      <c r="X211" s="107">
        <f t="shared" si="65"/>
        <v>0</v>
      </c>
      <c r="Y211" s="107">
        <f t="shared" si="65"/>
        <v>0</v>
      </c>
      <c r="Z211" s="107">
        <f t="shared" si="65"/>
        <v>0</v>
      </c>
      <c r="AA211" s="107">
        <f t="shared" si="65"/>
        <v>0</v>
      </c>
      <c r="AB211" s="107">
        <f t="shared" si="65"/>
        <v>0</v>
      </c>
      <c r="AC211" s="107">
        <f t="shared" si="65"/>
        <v>0</v>
      </c>
      <c r="AD211" s="107">
        <f t="shared" si="65"/>
        <v>0</v>
      </c>
      <c r="AE211" s="107">
        <f t="shared" si="65"/>
        <v>0</v>
      </c>
      <c r="AF211" s="107">
        <f t="shared" si="65"/>
        <v>0</v>
      </c>
      <c r="AG211" s="107">
        <f t="shared" si="65"/>
        <v>0</v>
      </c>
      <c r="AH211" s="107">
        <f t="shared" si="65"/>
        <v>0</v>
      </c>
      <c r="AI211" s="107">
        <f t="shared" si="65"/>
        <v>0</v>
      </c>
      <c r="AJ211" s="107">
        <f t="shared" si="65"/>
        <v>0</v>
      </c>
      <c r="AK211" s="107">
        <f t="shared" si="65"/>
        <v>0</v>
      </c>
      <c r="AL211" s="107">
        <f t="shared" si="65"/>
        <v>0</v>
      </c>
      <c r="AM211" s="107">
        <f t="shared" si="65"/>
        <v>0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 t="shared" ref="O212:AM212" si="66">$I$214*O12</f>
        <v>0</v>
      </c>
      <c r="P212" s="107">
        <f t="shared" si="66"/>
        <v>0</v>
      </c>
      <c r="Q212" s="107">
        <f t="shared" si="66"/>
        <v>0</v>
      </c>
      <c r="R212" s="107">
        <f t="shared" si="66"/>
        <v>0</v>
      </c>
      <c r="S212" s="107">
        <f t="shared" si="66"/>
        <v>0</v>
      </c>
      <c r="T212" s="107">
        <f t="shared" si="66"/>
        <v>0</v>
      </c>
      <c r="U212" s="107">
        <f t="shared" si="66"/>
        <v>0</v>
      </c>
      <c r="V212" s="107">
        <f t="shared" si="66"/>
        <v>0</v>
      </c>
      <c r="W212" s="107">
        <f t="shared" si="66"/>
        <v>0</v>
      </c>
      <c r="X212" s="107">
        <f t="shared" si="66"/>
        <v>0</v>
      </c>
      <c r="Y212" s="107">
        <f t="shared" si="66"/>
        <v>0</v>
      </c>
      <c r="Z212" s="107">
        <f t="shared" si="66"/>
        <v>0</v>
      </c>
      <c r="AA212" s="107">
        <f t="shared" si="66"/>
        <v>0</v>
      </c>
      <c r="AB212" s="107">
        <f t="shared" si="66"/>
        <v>0</v>
      </c>
      <c r="AC212" s="107">
        <f t="shared" si="66"/>
        <v>0</v>
      </c>
      <c r="AD212" s="107">
        <f t="shared" si="66"/>
        <v>0</v>
      </c>
      <c r="AE212" s="107">
        <f t="shared" si="66"/>
        <v>0</v>
      </c>
      <c r="AF212" s="107">
        <f t="shared" si="66"/>
        <v>0</v>
      </c>
      <c r="AG212" s="107">
        <f t="shared" si="66"/>
        <v>0</v>
      </c>
      <c r="AH212" s="107">
        <f t="shared" si="66"/>
        <v>0</v>
      </c>
      <c r="AI212" s="107">
        <f t="shared" si="66"/>
        <v>0</v>
      </c>
      <c r="AJ212" s="107">
        <f t="shared" si="66"/>
        <v>0</v>
      </c>
      <c r="AK212" s="107">
        <f t="shared" si="66"/>
        <v>0</v>
      </c>
      <c r="AL212" s="107">
        <f t="shared" si="66"/>
        <v>0</v>
      </c>
      <c r="AM212" s="107">
        <f t="shared" si="66"/>
        <v>0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67">$I$214*O13</f>
        <v>0</v>
      </c>
      <c r="P213" s="107">
        <f t="shared" si="67"/>
        <v>0</v>
      </c>
      <c r="Q213" s="107">
        <f t="shared" si="67"/>
        <v>0</v>
      </c>
      <c r="R213" s="107">
        <f t="shared" si="67"/>
        <v>0</v>
      </c>
      <c r="S213" s="107">
        <f t="shared" si="67"/>
        <v>0</v>
      </c>
      <c r="T213" s="107">
        <f t="shared" si="67"/>
        <v>0</v>
      </c>
      <c r="U213" s="107">
        <f t="shared" si="67"/>
        <v>0</v>
      </c>
      <c r="V213" s="107">
        <f t="shared" si="67"/>
        <v>0</v>
      </c>
      <c r="W213" s="107">
        <f t="shared" si="67"/>
        <v>0</v>
      </c>
      <c r="X213" s="107">
        <f t="shared" si="67"/>
        <v>0</v>
      </c>
      <c r="Y213" s="107">
        <f t="shared" si="67"/>
        <v>0</v>
      </c>
      <c r="Z213" s="107">
        <f t="shared" si="67"/>
        <v>0</v>
      </c>
      <c r="AA213" s="107">
        <f t="shared" si="67"/>
        <v>0</v>
      </c>
      <c r="AB213" s="107">
        <f t="shared" si="67"/>
        <v>0</v>
      </c>
      <c r="AC213" s="107">
        <f t="shared" si="67"/>
        <v>0</v>
      </c>
      <c r="AD213" s="107">
        <f t="shared" si="67"/>
        <v>0</v>
      </c>
      <c r="AE213" s="107">
        <f t="shared" si="67"/>
        <v>0</v>
      </c>
      <c r="AF213" s="107">
        <f t="shared" si="67"/>
        <v>0</v>
      </c>
      <c r="AG213" s="107">
        <f t="shared" si="67"/>
        <v>0</v>
      </c>
      <c r="AH213" s="107">
        <f t="shared" si="67"/>
        <v>0</v>
      </c>
      <c r="AI213" s="107">
        <f t="shared" si="67"/>
        <v>0</v>
      </c>
      <c r="AJ213" s="107">
        <f t="shared" si="67"/>
        <v>0</v>
      </c>
      <c r="AK213" s="107">
        <f t="shared" si="67"/>
        <v>0</v>
      </c>
      <c r="AL213" s="107">
        <f t="shared" si="67"/>
        <v>0</v>
      </c>
      <c r="AM213" s="107">
        <f t="shared" si="67"/>
        <v>0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68">$I$214*O14</f>
        <v>0</v>
      </c>
      <c r="P214" s="107">
        <f t="shared" si="68"/>
        <v>0</v>
      </c>
      <c r="Q214" s="107">
        <f t="shared" si="68"/>
        <v>0</v>
      </c>
      <c r="R214" s="107">
        <f t="shared" si="68"/>
        <v>0</v>
      </c>
      <c r="S214" s="107">
        <f t="shared" si="68"/>
        <v>0</v>
      </c>
      <c r="T214" s="107">
        <f t="shared" si="68"/>
        <v>0</v>
      </c>
      <c r="U214" s="107">
        <f t="shared" si="68"/>
        <v>0</v>
      </c>
      <c r="V214" s="107">
        <f t="shared" si="68"/>
        <v>0</v>
      </c>
      <c r="W214" s="107">
        <f t="shared" si="68"/>
        <v>0</v>
      </c>
      <c r="X214" s="107">
        <f t="shared" si="68"/>
        <v>0</v>
      </c>
      <c r="Y214" s="107">
        <f t="shared" si="68"/>
        <v>0</v>
      </c>
      <c r="Z214" s="107">
        <f t="shared" si="68"/>
        <v>0</v>
      </c>
      <c r="AA214" s="107">
        <f t="shared" si="68"/>
        <v>0</v>
      </c>
      <c r="AB214" s="107">
        <f t="shared" si="68"/>
        <v>0</v>
      </c>
      <c r="AC214" s="107">
        <f t="shared" si="68"/>
        <v>0</v>
      </c>
      <c r="AD214" s="107">
        <f t="shared" si="68"/>
        <v>0</v>
      </c>
      <c r="AE214" s="107">
        <f t="shared" si="68"/>
        <v>0</v>
      </c>
      <c r="AF214" s="107">
        <f t="shared" si="68"/>
        <v>0</v>
      </c>
      <c r="AG214" s="107">
        <f t="shared" si="68"/>
        <v>0</v>
      </c>
      <c r="AH214" s="107">
        <f t="shared" si="68"/>
        <v>0</v>
      </c>
      <c r="AI214" s="107">
        <f t="shared" si="68"/>
        <v>0</v>
      </c>
      <c r="AJ214" s="107">
        <f t="shared" si="68"/>
        <v>0</v>
      </c>
      <c r="AK214" s="107">
        <f t="shared" si="68"/>
        <v>0</v>
      </c>
      <c r="AL214" s="107">
        <f t="shared" si="68"/>
        <v>0</v>
      </c>
      <c r="AM214" s="107">
        <f t="shared" si="68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69">SUM(O220:AV220)</f>
        <v>0</v>
      </c>
      <c r="M220" s="1"/>
      <c r="N220" s="1"/>
      <c r="O220" s="142">
        <v>0</v>
      </c>
      <c r="P220" s="142">
        <v>0</v>
      </c>
      <c r="Q220" s="142">
        <v>0</v>
      </c>
      <c r="R220" s="142">
        <v>0</v>
      </c>
      <c r="S220" s="142">
        <v>0</v>
      </c>
      <c r="T220" s="142">
        <v>0</v>
      </c>
      <c r="U220" s="142">
        <v>0</v>
      </c>
      <c r="V220" s="142">
        <v>0</v>
      </c>
      <c r="W220" s="142">
        <v>0</v>
      </c>
      <c r="X220" s="142">
        <v>0</v>
      </c>
      <c r="Y220" s="142">
        <v>0</v>
      </c>
      <c r="Z220" s="142">
        <v>0</v>
      </c>
      <c r="AA220" s="142">
        <v>0</v>
      </c>
      <c r="AB220" s="142">
        <v>0</v>
      </c>
      <c r="AC220" s="142">
        <v>0</v>
      </c>
      <c r="AD220" s="142">
        <v>0</v>
      </c>
      <c r="AE220" s="142">
        <v>0</v>
      </c>
      <c r="AF220" s="142">
        <v>0</v>
      </c>
      <c r="AG220" s="142">
        <v>0</v>
      </c>
      <c r="AH220" s="142">
        <v>0</v>
      </c>
      <c r="AI220" s="142">
        <v>0</v>
      </c>
      <c r="AJ220" s="142">
        <v>0</v>
      </c>
      <c r="AK220" s="142">
        <v>0</v>
      </c>
      <c r="AL220" s="142">
        <v>0</v>
      </c>
      <c r="AM220" s="142">
        <v>0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>SUM(AR:SM!O222)</f>
        <v>136514.50689387426</v>
      </c>
      <c r="P222" s="109">
        <f>SUM(AR:SM!P222)</f>
        <v>409543.52068162314</v>
      </c>
      <c r="Q222" s="109">
        <f>SUM(AR:SM!Q222)</f>
        <v>409543.52068162314</v>
      </c>
      <c r="R222" s="109">
        <f>SUM(AR:SM!R222)</f>
        <v>409543.52068162314</v>
      </c>
      <c r="S222" s="109">
        <f>SUM(AR:SM!S222)</f>
        <v>409543.52068162314</v>
      </c>
      <c r="T222" s="109">
        <f>SUM(AR:SM!T222)</f>
        <v>409543.52068162314</v>
      </c>
      <c r="U222" s="109">
        <f>SUM(AR:SM!U222)</f>
        <v>409543.52068162314</v>
      </c>
      <c r="V222" s="109">
        <f>SUM(AR:SM!V222)</f>
        <v>409543.52068162314</v>
      </c>
      <c r="W222" s="109">
        <f>SUM(AR:SM!W222)</f>
        <v>409543.52068162314</v>
      </c>
      <c r="X222" s="109">
        <f>SUM(AR:SM!X222)</f>
        <v>409543.52068162314</v>
      </c>
      <c r="Y222" s="109">
        <f>SUM(AR:SM!Y222)</f>
        <v>409543.52068162314</v>
      </c>
      <c r="Z222" s="109">
        <f>SUM(AR:SM!Z222)</f>
        <v>409543.52068162314</v>
      </c>
      <c r="AA222" s="109">
        <f>SUM(AR:SM!AA222)</f>
        <v>409543.52068162314</v>
      </c>
      <c r="AB222" s="109">
        <f>SUM(AR:SM!AB222)</f>
        <v>409543.52068162314</v>
      </c>
      <c r="AC222" s="109">
        <f>SUM(AR:SM!AC222)</f>
        <v>409543.52068162314</v>
      </c>
      <c r="AD222" s="109">
        <f>SUM(AR:SM!AD222)</f>
        <v>409543.52068162314</v>
      </c>
      <c r="AE222" s="109">
        <f>SUM(AR:SM!AE222)</f>
        <v>409543.52068162314</v>
      </c>
      <c r="AF222" s="109">
        <f>SUM(AR:SM!AF222)</f>
        <v>409543.52068162314</v>
      </c>
      <c r="AG222" s="109">
        <f>SUM(AR:SM!AG222)</f>
        <v>409543.52068162314</v>
      </c>
      <c r="AH222" s="109">
        <f>SUM(AR:SM!AH222)</f>
        <v>409543.52068162314</v>
      </c>
      <c r="AI222" s="109">
        <f>SUM(AR:SM!AI222)</f>
        <v>409543.52068162314</v>
      </c>
      <c r="AJ222" s="109">
        <f>SUM(AR:SM!AJ222)</f>
        <v>409543.52068162314</v>
      </c>
      <c r="AK222" s="109">
        <f>SUM(AR:SM!AK222)</f>
        <v>409543.52068162314</v>
      </c>
      <c r="AL222" s="109">
        <f>SUM(AR:SM!AL222)</f>
        <v>409543.52068162314</v>
      </c>
      <c r="AM222" s="109">
        <f>SUM(AR:SM!AM222)</f>
        <v>409543.52068162314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70">O220</f>
        <v>0</v>
      </c>
      <c r="P223" s="107">
        <f t="shared" si="70"/>
        <v>0</v>
      </c>
      <c r="Q223" s="107">
        <f t="shared" si="70"/>
        <v>0</v>
      </c>
      <c r="R223" s="107">
        <f t="shared" si="70"/>
        <v>0</v>
      </c>
      <c r="S223" s="107">
        <f t="shared" si="70"/>
        <v>0</v>
      </c>
      <c r="T223" s="107">
        <f t="shared" si="70"/>
        <v>0</v>
      </c>
      <c r="U223" s="107">
        <f t="shared" si="70"/>
        <v>0</v>
      </c>
      <c r="V223" s="107">
        <f t="shared" si="70"/>
        <v>0</v>
      </c>
      <c r="W223" s="107">
        <f t="shared" si="70"/>
        <v>0</v>
      </c>
      <c r="X223" s="107">
        <f t="shared" si="70"/>
        <v>0</v>
      </c>
      <c r="Y223" s="107">
        <f t="shared" si="70"/>
        <v>0</v>
      </c>
      <c r="Z223" s="107">
        <f t="shared" si="70"/>
        <v>0</v>
      </c>
      <c r="AA223" s="107">
        <f t="shared" si="70"/>
        <v>0</v>
      </c>
      <c r="AB223" s="107">
        <f t="shared" si="70"/>
        <v>0</v>
      </c>
      <c r="AC223" s="107">
        <f t="shared" si="70"/>
        <v>0</v>
      </c>
      <c r="AD223" s="107">
        <f t="shared" si="70"/>
        <v>0</v>
      </c>
      <c r="AE223" s="107">
        <f t="shared" si="70"/>
        <v>0</v>
      </c>
      <c r="AF223" s="107">
        <f t="shared" si="70"/>
        <v>0</v>
      </c>
      <c r="AG223" s="107">
        <f t="shared" si="70"/>
        <v>0</v>
      </c>
      <c r="AH223" s="107">
        <f t="shared" si="70"/>
        <v>0</v>
      </c>
      <c r="AI223" s="107">
        <f t="shared" si="70"/>
        <v>0</v>
      </c>
      <c r="AJ223" s="107">
        <f t="shared" si="70"/>
        <v>0</v>
      </c>
      <c r="AK223" s="107">
        <f t="shared" si="70"/>
        <v>0</v>
      </c>
      <c r="AL223" s="107">
        <f t="shared" si="70"/>
        <v>0</v>
      </c>
      <c r="AM223" s="107">
        <f t="shared" si="70"/>
        <v>0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71">$I224</f>
        <v>0</v>
      </c>
      <c r="P224" s="107">
        <f t="shared" si="71"/>
        <v>0</v>
      </c>
      <c r="Q224" s="107">
        <f t="shared" si="71"/>
        <v>0</v>
      </c>
      <c r="R224" s="107">
        <f t="shared" si="71"/>
        <v>0</v>
      </c>
      <c r="S224" s="107">
        <f t="shared" si="71"/>
        <v>0</v>
      </c>
      <c r="T224" s="107">
        <f t="shared" si="71"/>
        <v>0</v>
      </c>
      <c r="U224" s="107">
        <f t="shared" si="71"/>
        <v>0</v>
      </c>
      <c r="V224" s="107">
        <f t="shared" si="71"/>
        <v>0</v>
      </c>
      <c r="W224" s="107">
        <f t="shared" si="71"/>
        <v>0</v>
      </c>
      <c r="X224" s="107">
        <f t="shared" si="71"/>
        <v>0</v>
      </c>
      <c r="Y224" s="107">
        <f t="shared" si="71"/>
        <v>0</v>
      </c>
      <c r="Z224" s="107">
        <f t="shared" si="71"/>
        <v>0</v>
      </c>
      <c r="AA224" s="107">
        <f t="shared" si="71"/>
        <v>0</v>
      </c>
      <c r="AB224" s="107">
        <f t="shared" si="71"/>
        <v>0</v>
      </c>
      <c r="AC224" s="107">
        <f t="shared" si="71"/>
        <v>0</v>
      </c>
      <c r="AD224" s="107">
        <f t="shared" si="71"/>
        <v>0</v>
      </c>
      <c r="AE224" s="107">
        <f t="shared" si="71"/>
        <v>0</v>
      </c>
      <c r="AF224" s="107">
        <f t="shared" si="71"/>
        <v>0</v>
      </c>
      <c r="AG224" s="107">
        <f t="shared" si="71"/>
        <v>0</v>
      </c>
      <c r="AH224" s="107">
        <f t="shared" si="71"/>
        <v>0</v>
      </c>
      <c r="AI224" s="107">
        <f t="shared" si="71"/>
        <v>0</v>
      </c>
      <c r="AJ224" s="107">
        <f t="shared" si="71"/>
        <v>0</v>
      </c>
      <c r="AK224" s="107">
        <f t="shared" si="71"/>
        <v>0</v>
      </c>
      <c r="AL224" s="107">
        <f t="shared" si="71"/>
        <v>0</v>
      </c>
      <c r="AM224" s="107">
        <f t="shared" si="71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>SUM(AR:SM!O226)</f>
        <v>33205.941355108276</v>
      </c>
      <c r="P226" s="109">
        <f>SUM(AR:SM!P226)</f>
        <v>176698.53461802902</v>
      </c>
      <c r="Q226" s="109">
        <f>SUM(AR:SM!Q226)</f>
        <v>176698.53461802902</v>
      </c>
      <c r="R226" s="109">
        <f>SUM(AR:SM!R226)</f>
        <v>176698.53461802902</v>
      </c>
      <c r="S226" s="109">
        <f>SUM(AR:SM!S226)</f>
        <v>176698.53461802902</v>
      </c>
      <c r="T226" s="109">
        <f>SUM(AR:SM!T226)</f>
        <v>176698.53461802902</v>
      </c>
      <c r="U226" s="109">
        <f>SUM(AR:SM!U226)</f>
        <v>176698.53461802902</v>
      </c>
      <c r="V226" s="109">
        <f>SUM(AR:SM!V226)</f>
        <v>176698.53461802902</v>
      </c>
      <c r="W226" s="109">
        <f>SUM(AR:SM!W226)</f>
        <v>176698.53461802902</v>
      </c>
      <c r="X226" s="109">
        <f>SUM(AR:SM!X226)</f>
        <v>176698.53461802902</v>
      </c>
      <c r="Y226" s="109">
        <f>SUM(AR:SM!Y226)</f>
        <v>176698.53461802902</v>
      </c>
      <c r="Z226" s="109">
        <f>SUM(AR:SM!Z226)</f>
        <v>176698.53461802902</v>
      </c>
      <c r="AA226" s="109">
        <f>SUM(AR:SM!AA226)</f>
        <v>176698.53461802902</v>
      </c>
      <c r="AB226" s="109">
        <f>SUM(AR:SM!AB226)</f>
        <v>176698.53461802902</v>
      </c>
      <c r="AC226" s="109">
        <f>SUM(AR:SM!AC226)</f>
        <v>176698.53461802902</v>
      </c>
      <c r="AD226" s="109">
        <f>SUM(AR:SM!AD226)</f>
        <v>176698.53461802902</v>
      </c>
      <c r="AE226" s="109">
        <f>SUM(AR:SM!AE226)</f>
        <v>176698.53461802902</v>
      </c>
      <c r="AF226" s="109">
        <f>SUM(AR:SM!AF226)</f>
        <v>176698.53461802902</v>
      </c>
      <c r="AG226" s="109">
        <f>SUM(AR:SM!AG226)</f>
        <v>176698.53461802902</v>
      </c>
      <c r="AH226" s="109">
        <f>SUM(AR:SM!AH226)</f>
        <v>176698.53461802902</v>
      </c>
      <c r="AI226" s="109">
        <f>SUM(AR:SM!AI226)</f>
        <v>176698.53461802902</v>
      </c>
      <c r="AJ226" s="109">
        <f>SUM(AR:SM!AJ226)</f>
        <v>176698.53461802902</v>
      </c>
      <c r="AK226" s="109">
        <f>SUM(AR:SM!AK226)</f>
        <v>176698.53461802902</v>
      </c>
      <c r="AL226" s="109">
        <f>SUM(AR:SM!AL226)</f>
        <v>176698.53461802902</v>
      </c>
      <c r="AM226" s="109">
        <f>SUM(AR:SM!AM226)</f>
        <v>176698.53461802902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72">O220</f>
        <v>0</v>
      </c>
      <c r="P227" s="107">
        <f t="shared" si="72"/>
        <v>0</v>
      </c>
      <c r="Q227" s="107">
        <f t="shared" si="72"/>
        <v>0</v>
      </c>
      <c r="R227" s="107">
        <f t="shared" si="72"/>
        <v>0</v>
      </c>
      <c r="S227" s="107">
        <f t="shared" si="72"/>
        <v>0</v>
      </c>
      <c r="T227" s="107">
        <f t="shared" si="72"/>
        <v>0</v>
      </c>
      <c r="U227" s="107">
        <f t="shared" si="72"/>
        <v>0</v>
      </c>
      <c r="V227" s="107">
        <f t="shared" si="72"/>
        <v>0</v>
      </c>
      <c r="W227" s="107">
        <f t="shared" si="72"/>
        <v>0</v>
      </c>
      <c r="X227" s="107">
        <f t="shared" si="72"/>
        <v>0</v>
      </c>
      <c r="Y227" s="107">
        <f t="shared" si="72"/>
        <v>0</v>
      </c>
      <c r="Z227" s="107">
        <f t="shared" si="72"/>
        <v>0</v>
      </c>
      <c r="AA227" s="107">
        <f t="shared" si="72"/>
        <v>0</v>
      </c>
      <c r="AB227" s="107">
        <f t="shared" si="72"/>
        <v>0</v>
      </c>
      <c r="AC227" s="107">
        <f t="shared" si="72"/>
        <v>0</v>
      </c>
      <c r="AD227" s="107">
        <f t="shared" si="72"/>
        <v>0</v>
      </c>
      <c r="AE227" s="107">
        <f t="shared" si="72"/>
        <v>0</v>
      </c>
      <c r="AF227" s="107">
        <f t="shared" si="72"/>
        <v>0</v>
      </c>
      <c r="AG227" s="107">
        <f t="shared" si="72"/>
        <v>0</v>
      </c>
      <c r="AH227" s="107">
        <f t="shared" si="72"/>
        <v>0</v>
      </c>
      <c r="AI227" s="107">
        <f t="shared" si="72"/>
        <v>0</v>
      </c>
      <c r="AJ227" s="107">
        <f t="shared" si="72"/>
        <v>0</v>
      </c>
      <c r="AK227" s="107">
        <f t="shared" si="72"/>
        <v>0</v>
      </c>
      <c r="AL227" s="107">
        <f t="shared" si="72"/>
        <v>0</v>
      </c>
      <c r="AM227" s="107">
        <f t="shared" si="72"/>
        <v>0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73">$I228</f>
        <v>240000</v>
      </c>
      <c r="P228" s="107">
        <f t="shared" si="73"/>
        <v>240000</v>
      </c>
      <c r="Q228" s="107">
        <f t="shared" si="73"/>
        <v>240000</v>
      </c>
      <c r="R228" s="107">
        <f t="shared" si="73"/>
        <v>240000</v>
      </c>
      <c r="S228" s="107">
        <f t="shared" si="73"/>
        <v>240000</v>
      </c>
      <c r="T228" s="107">
        <f t="shared" si="73"/>
        <v>240000</v>
      </c>
      <c r="U228" s="107">
        <f t="shared" si="73"/>
        <v>240000</v>
      </c>
      <c r="V228" s="107">
        <f t="shared" si="73"/>
        <v>240000</v>
      </c>
      <c r="W228" s="107">
        <f t="shared" si="73"/>
        <v>240000</v>
      </c>
      <c r="X228" s="107">
        <f t="shared" si="73"/>
        <v>240000</v>
      </c>
      <c r="Y228" s="107">
        <f t="shared" si="73"/>
        <v>240000</v>
      </c>
      <c r="Z228" s="107">
        <f t="shared" si="73"/>
        <v>240000</v>
      </c>
      <c r="AA228" s="107">
        <f t="shared" si="73"/>
        <v>240000</v>
      </c>
      <c r="AB228" s="107">
        <f t="shared" si="73"/>
        <v>240000</v>
      </c>
      <c r="AC228" s="107">
        <f t="shared" si="73"/>
        <v>240000</v>
      </c>
      <c r="AD228" s="107">
        <f t="shared" si="73"/>
        <v>240000</v>
      </c>
      <c r="AE228" s="107">
        <f t="shared" si="73"/>
        <v>240000</v>
      </c>
      <c r="AF228" s="107">
        <f t="shared" si="73"/>
        <v>240000</v>
      </c>
      <c r="AG228" s="107">
        <f t="shared" si="73"/>
        <v>240000</v>
      </c>
      <c r="AH228" s="107">
        <f t="shared" si="73"/>
        <v>240000</v>
      </c>
      <c r="AI228" s="107">
        <f t="shared" si="73"/>
        <v>240000</v>
      </c>
      <c r="AJ228" s="107">
        <f t="shared" si="73"/>
        <v>240000</v>
      </c>
      <c r="AK228" s="107">
        <f t="shared" si="73"/>
        <v>240000</v>
      </c>
      <c r="AL228" s="107">
        <f t="shared" si="73"/>
        <v>240000</v>
      </c>
      <c r="AM228" s="107">
        <f t="shared" si="73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SUM(AR:SM!O230)</f>
        <v>81908.704136324552</v>
      </c>
      <c r="P230" s="109">
        <f>SUM(AR:SM!P230)</f>
        <v>245726.11240897392</v>
      </c>
      <c r="Q230" s="109">
        <f>SUM(AR:SM!Q230)</f>
        <v>245726.11240897392</v>
      </c>
      <c r="R230" s="109">
        <f>SUM(AR:SM!R230)</f>
        <v>245726.11240897392</v>
      </c>
      <c r="S230" s="109">
        <f>SUM(AR:SM!S230)</f>
        <v>245726.11240897392</v>
      </c>
      <c r="T230" s="109">
        <f>SUM(AR:SM!T230)</f>
        <v>245726.11240897392</v>
      </c>
      <c r="U230" s="109">
        <f>SUM(AR:SM!U230)</f>
        <v>245726.11240897392</v>
      </c>
      <c r="V230" s="109">
        <f>SUM(AR:SM!V230)</f>
        <v>245726.11240897392</v>
      </c>
      <c r="W230" s="109">
        <f>SUM(AR:SM!W230)</f>
        <v>245726.11240897392</v>
      </c>
      <c r="X230" s="109">
        <f>SUM(AR:SM!X230)</f>
        <v>245726.11240897392</v>
      </c>
      <c r="Y230" s="109">
        <f>SUM(AR:SM!Y230)</f>
        <v>245726.11240897392</v>
      </c>
      <c r="Z230" s="109">
        <f>SUM(AR:SM!Z230)</f>
        <v>245726.11240897392</v>
      </c>
      <c r="AA230" s="109">
        <f>SUM(AR:SM!AA230)</f>
        <v>245726.11240897392</v>
      </c>
      <c r="AB230" s="109">
        <f>SUM(AR:SM!AB230)</f>
        <v>245726.11240897392</v>
      </c>
      <c r="AC230" s="109">
        <f>SUM(AR:SM!AC230)</f>
        <v>245726.11240897392</v>
      </c>
      <c r="AD230" s="109">
        <f>SUM(AR:SM!AD230)</f>
        <v>245726.11240897392</v>
      </c>
      <c r="AE230" s="109">
        <f>SUM(AR:SM!AE230)</f>
        <v>245726.11240897392</v>
      </c>
      <c r="AF230" s="109">
        <f>SUM(AR:SM!AF230)</f>
        <v>245726.11240897392</v>
      </c>
      <c r="AG230" s="109">
        <f>SUM(AR:SM!AG230)</f>
        <v>245726.11240897392</v>
      </c>
      <c r="AH230" s="109">
        <f>SUM(AR:SM!AH230)</f>
        <v>245726.11240897392</v>
      </c>
      <c r="AI230" s="109">
        <f>SUM(AR:SM!AI230)</f>
        <v>245726.11240897392</v>
      </c>
      <c r="AJ230" s="109">
        <f>SUM(AR:SM!AJ230)</f>
        <v>245726.11240897392</v>
      </c>
      <c r="AK230" s="109">
        <f>SUM(AR:SM!AK230)</f>
        <v>245726.11240897392</v>
      </c>
      <c r="AL230" s="109">
        <f>SUM(AR:SM!AL230)</f>
        <v>245726.11240897392</v>
      </c>
      <c r="AM230" s="109">
        <f>SUM(AR:SM!AM230)</f>
        <v>245726.11240897392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74">O220</f>
        <v>0</v>
      </c>
      <c r="P231" s="107">
        <f t="shared" si="74"/>
        <v>0</v>
      </c>
      <c r="Q231" s="107">
        <f t="shared" si="74"/>
        <v>0</v>
      </c>
      <c r="R231" s="107">
        <f t="shared" si="74"/>
        <v>0</v>
      </c>
      <c r="S231" s="107">
        <f t="shared" si="74"/>
        <v>0</v>
      </c>
      <c r="T231" s="107">
        <f t="shared" si="74"/>
        <v>0</v>
      </c>
      <c r="U231" s="107">
        <f t="shared" si="74"/>
        <v>0</v>
      </c>
      <c r="V231" s="107">
        <f t="shared" si="74"/>
        <v>0</v>
      </c>
      <c r="W231" s="107">
        <f t="shared" si="74"/>
        <v>0</v>
      </c>
      <c r="X231" s="107">
        <f t="shared" si="74"/>
        <v>0</v>
      </c>
      <c r="Y231" s="107">
        <f t="shared" si="74"/>
        <v>0</v>
      </c>
      <c r="Z231" s="107">
        <f t="shared" si="74"/>
        <v>0</v>
      </c>
      <c r="AA231" s="107">
        <f t="shared" si="74"/>
        <v>0</v>
      </c>
      <c r="AB231" s="107">
        <f t="shared" si="74"/>
        <v>0</v>
      </c>
      <c r="AC231" s="107">
        <f t="shared" si="74"/>
        <v>0</v>
      </c>
      <c r="AD231" s="107">
        <f t="shared" si="74"/>
        <v>0</v>
      </c>
      <c r="AE231" s="107">
        <f t="shared" si="74"/>
        <v>0</v>
      </c>
      <c r="AF231" s="107">
        <f t="shared" si="74"/>
        <v>0</v>
      </c>
      <c r="AG231" s="107">
        <f t="shared" si="74"/>
        <v>0</v>
      </c>
      <c r="AH231" s="107">
        <f t="shared" si="74"/>
        <v>0</v>
      </c>
      <c r="AI231" s="107">
        <f t="shared" si="74"/>
        <v>0</v>
      </c>
      <c r="AJ231" s="107">
        <f t="shared" si="74"/>
        <v>0</v>
      </c>
      <c r="AK231" s="107">
        <f t="shared" si="74"/>
        <v>0</v>
      </c>
      <c r="AL231" s="107">
        <f t="shared" si="74"/>
        <v>0</v>
      </c>
      <c r="AM231" s="107">
        <f t="shared" si="74"/>
        <v>0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75">$I232</f>
        <v>0</v>
      </c>
      <c r="P232" s="107">
        <f t="shared" si="75"/>
        <v>0</v>
      </c>
      <c r="Q232" s="107">
        <f t="shared" si="75"/>
        <v>0</v>
      </c>
      <c r="R232" s="107">
        <f t="shared" si="75"/>
        <v>0</v>
      </c>
      <c r="S232" s="107">
        <f t="shared" si="75"/>
        <v>0</v>
      </c>
      <c r="T232" s="107">
        <f t="shared" si="75"/>
        <v>0</v>
      </c>
      <c r="U232" s="107">
        <f t="shared" si="75"/>
        <v>0</v>
      </c>
      <c r="V232" s="107">
        <f t="shared" si="75"/>
        <v>0</v>
      </c>
      <c r="W232" s="107">
        <f t="shared" si="75"/>
        <v>0</v>
      </c>
      <c r="X232" s="107">
        <f t="shared" si="75"/>
        <v>0</v>
      </c>
      <c r="Y232" s="107">
        <f t="shared" si="75"/>
        <v>0</v>
      </c>
      <c r="Z232" s="107">
        <f t="shared" si="75"/>
        <v>0</v>
      </c>
      <c r="AA232" s="107">
        <f t="shared" si="75"/>
        <v>0</v>
      </c>
      <c r="AB232" s="107">
        <f t="shared" si="75"/>
        <v>0</v>
      </c>
      <c r="AC232" s="107">
        <f t="shared" si="75"/>
        <v>0</v>
      </c>
      <c r="AD232" s="107">
        <f t="shared" si="75"/>
        <v>0</v>
      </c>
      <c r="AE232" s="107">
        <f t="shared" si="75"/>
        <v>0</v>
      </c>
      <c r="AF232" s="107">
        <f t="shared" si="75"/>
        <v>0</v>
      </c>
      <c r="AG232" s="107">
        <f t="shared" si="75"/>
        <v>0</v>
      </c>
      <c r="AH232" s="107">
        <f t="shared" si="75"/>
        <v>0</v>
      </c>
      <c r="AI232" s="107">
        <f t="shared" si="75"/>
        <v>0</v>
      </c>
      <c r="AJ232" s="107">
        <f t="shared" si="75"/>
        <v>0</v>
      </c>
      <c r="AK232" s="107">
        <f t="shared" si="75"/>
        <v>0</v>
      </c>
      <c r="AL232" s="107">
        <f t="shared" si="75"/>
        <v>0</v>
      </c>
      <c r="AM232" s="107">
        <f t="shared" si="75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0</v>
      </c>
      <c r="P234" s="329">
        <f t="shared" ref="P234:AM234" si="76">P236+P247+P251+P255</f>
        <v>0</v>
      </c>
      <c r="Q234" s="329">
        <f t="shared" si="76"/>
        <v>0</v>
      </c>
      <c r="R234" s="329">
        <f t="shared" si="76"/>
        <v>0</v>
      </c>
      <c r="S234" s="329">
        <f t="shared" si="76"/>
        <v>0</v>
      </c>
      <c r="T234" s="329">
        <f t="shared" si="76"/>
        <v>0</v>
      </c>
      <c r="U234" s="329">
        <f t="shared" si="76"/>
        <v>0</v>
      </c>
      <c r="V234" s="329">
        <f t="shared" si="76"/>
        <v>0</v>
      </c>
      <c r="W234" s="329">
        <f t="shared" si="76"/>
        <v>0</v>
      </c>
      <c r="X234" s="329">
        <f t="shared" si="76"/>
        <v>0</v>
      </c>
      <c r="Y234" s="329">
        <f t="shared" si="76"/>
        <v>0</v>
      </c>
      <c r="Z234" s="329">
        <f t="shared" si="76"/>
        <v>0</v>
      </c>
      <c r="AA234" s="329">
        <f t="shared" si="76"/>
        <v>0</v>
      </c>
      <c r="AB234" s="329">
        <f t="shared" si="76"/>
        <v>0</v>
      </c>
      <c r="AC234" s="329">
        <f t="shared" si="76"/>
        <v>0</v>
      </c>
      <c r="AD234" s="329">
        <f t="shared" si="76"/>
        <v>0</v>
      </c>
      <c r="AE234" s="329">
        <f t="shared" si="76"/>
        <v>0</v>
      </c>
      <c r="AF234" s="329">
        <f t="shared" si="76"/>
        <v>0</v>
      </c>
      <c r="AG234" s="329">
        <f t="shared" si="76"/>
        <v>0</v>
      </c>
      <c r="AH234" s="329">
        <f t="shared" si="76"/>
        <v>0</v>
      </c>
      <c r="AI234" s="329">
        <f t="shared" si="76"/>
        <v>0</v>
      </c>
      <c r="AJ234" s="329">
        <f t="shared" si="76"/>
        <v>0</v>
      </c>
      <c r="AK234" s="329">
        <f t="shared" si="76"/>
        <v>0</v>
      </c>
      <c r="AL234" s="329">
        <f t="shared" si="76"/>
        <v>0</v>
      </c>
      <c r="AM234" s="329">
        <f t="shared" si="76"/>
        <v>0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v>0</v>
      </c>
      <c r="P236" s="109">
        <v>0</v>
      </c>
      <c r="Q236" s="109">
        <v>0</v>
      </c>
      <c r="R236" s="109">
        <v>0</v>
      </c>
      <c r="S236" s="109">
        <v>0</v>
      </c>
      <c r="T236" s="109">
        <v>0</v>
      </c>
      <c r="U236" s="109">
        <v>0</v>
      </c>
      <c r="V236" s="109">
        <v>0</v>
      </c>
      <c r="W236" s="109">
        <v>0</v>
      </c>
      <c r="X236" s="109">
        <v>0</v>
      </c>
      <c r="Y236" s="109">
        <v>0</v>
      </c>
      <c r="Z236" s="109">
        <v>0</v>
      </c>
      <c r="AA236" s="109">
        <v>0</v>
      </c>
      <c r="AB236" s="109">
        <v>0</v>
      </c>
      <c r="AC236" s="109">
        <v>0</v>
      </c>
      <c r="AD236" s="109">
        <v>0</v>
      </c>
      <c r="AE236" s="109">
        <v>0</v>
      </c>
      <c r="AF236" s="109">
        <v>0</v>
      </c>
      <c r="AG236" s="109">
        <v>0</v>
      </c>
      <c r="AH236" s="109">
        <v>0</v>
      </c>
      <c r="AI236" s="109">
        <v>0</v>
      </c>
      <c r="AJ236" s="109">
        <v>0</v>
      </c>
      <c r="AK236" s="109">
        <v>0</v>
      </c>
      <c r="AL236" s="109">
        <v>0</v>
      </c>
      <c r="AM236" s="109">
        <v>0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v>0</v>
      </c>
      <c r="P237" s="107">
        <v>0</v>
      </c>
      <c r="Q237" s="107">
        <v>0</v>
      </c>
      <c r="R237" s="107">
        <v>0</v>
      </c>
      <c r="S237" s="107">
        <v>0</v>
      </c>
      <c r="T237" s="107">
        <v>0</v>
      </c>
      <c r="U237" s="107">
        <v>0</v>
      </c>
      <c r="V237" s="107">
        <v>0</v>
      </c>
      <c r="W237" s="107">
        <v>0</v>
      </c>
      <c r="X237" s="107">
        <v>0</v>
      </c>
      <c r="Y237" s="107">
        <v>0</v>
      </c>
      <c r="Z237" s="107">
        <v>0</v>
      </c>
      <c r="AA237" s="107">
        <v>0</v>
      </c>
      <c r="AB237" s="107">
        <v>0</v>
      </c>
      <c r="AC237" s="107">
        <v>0</v>
      </c>
      <c r="AD237" s="107">
        <v>0</v>
      </c>
      <c r="AE237" s="107">
        <v>0</v>
      </c>
      <c r="AF237" s="107">
        <v>0</v>
      </c>
      <c r="AG237" s="107">
        <v>0</v>
      </c>
      <c r="AH237" s="107">
        <v>0</v>
      </c>
      <c r="AI237" s="107">
        <v>0</v>
      </c>
      <c r="AJ237" s="107">
        <v>0</v>
      </c>
      <c r="AK237" s="107">
        <v>0</v>
      </c>
      <c r="AL237" s="107">
        <v>0</v>
      </c>
      <c r="AM237" s="107">
        <v>0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v>0</v>
      </c>
      <c r="P238" s="107">
        <v>0</v>
      </c>
      <c r="Q238" s="107">
        <v>0</v>
      </c>
      <c r="R238" s="107">
        <v>0</v>
      </c>
      <c r="S238" s="107">
        <v>0</v>
      </c>
      <c r="T238" s="107">
        <v>0</v>
      </c>
      <c r="U238" s="107">
        <v>0</v>
      </c>
      <c r="V238" s="107">
        <v>0</v>
      </c>
      <c r="W238" s="107">
        <v>0</v>
      </c>
      <c r="X238" s="107">
        <v>0</v>
      </c>
      <c r="Y238" s="107">
        <v>0</v>
      </c>
      <c r="Z238" s="107">
        <v>0</v>
      </c>
      <c r="AA238" s="107">
        <v>0</v>
      </c>
      <c r="AB238" s="107">
        <v>0</v>
      </c>
      <c r="AC238" s="107">
        <v>0</v>
      </c>
      <c r="AD238" s="107">
        <v>0</v>
      </c>
      <c r="AE238" s="107">
        <v>0</v>
      </c>
      <c r="AF238" s="107">
        <v>0</v>
      </c>
      <c r="AG238" s="107">
        <v>0</v>
      </c>
      <c r="AH238" s="107">
        <v>0</v>
      </c>
      <c r="AI238" s="107">
        <v>0</v>
      </c>
      <c r="AJ238" s="107">
        <v>0</v>
      </c>
      <c r="AK238" s="107">
        <v>0</v>
      </c>
      <c r="AL238" s="107">
        <v>0</v>
      </c>
      <c r="AM238" s="107">
        <v>0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77">N243</f>
        <v>0</v>
      </c>
      <c r="P240" s="109">
        <f t="shared" si="77"/>
        <v>0</v>
      </c>
      <c r="Q240" s="109">
        <f t="shared" si="77"/>
        <v>0</v>
      </c>
      <c r="R240" s="109">
        <f t="shared" si="77"/>
        <v>0</v>
      </c>
      <c r="S240" s="109">
        <f t="shared" si="77"/>
        <v>0</v>
      </c>
      <c r="T240" s="109">
        <f t="shared" si="77"/>
        <v>0</v>
      </c>
      <c r="U240" s="109">
        <f t="shared" si="77"/>
        <v>0</v>
      </c>
      <c r="V240" s="109">
        <f t="shared" si="77"/>
        <v>0</v>
      </c>
      <c r="W240" s="109">
        <f t="shared" si="77"/>
        <v>0</v>
      </c>
      <c r="X240" s="109">
        <f t="shared" si="77"/>
        <v>0</v>
      </c>
      <c r="Y240" s="109">
        <f t="shared" si="77"/>
        <v>0</v>
      </c>
      <c r="Z240" s="109">
        <f t="shared" si="77"/>
        <v>0</v>
      </c>
      <c r="AA240" s="109">
        <f t="shared" si="77"/>
        <v>0</v>
      </c>
      <c r="AB240" s="109">
        <f t="shared" si="77"/>
        <v>0</v>
      </c>
      <c r="AC240" s="109">
        <f t="shared" si="77"/>
        <v>0</v>
      </c>
      <c r="AD240" s="109">
        <f t="shared" si="77"/>
        <v>0</v>
      </c>
      <c r="AE240" s="109">
        <f t="shared" si="77"/>
        <v>0</v>
      </c>
      <c r="AF240" s="109">
        <f t="shared" si="77"/>
        <v>0</v>
      </c>
      <c r="AG240" s="109">
        <f t="shared" si="77"/>
        <v>0</v>
      </c>
      <c r="AH240" s="109">
        <f t="shared" si="77"/>
        <v>0</v>
      </c>
      <c r="AI240" s="109">
        <f t="shared" si="77"/>
        <v>0</v>
      </c>
      <c r="AJ240" s="109">
        <f t="shared" si="77"/>
        <v>0</v>
      </c>
      <c r="AK240" s="109">
        <f t="shared" si="77"/>
        <v>0</v>
      </c>
      <c r="AL240" s="109">
        <f t="shared" si="77"/>
        <v>0</v>
      </c>
      <c r="AM240" s="109">
        <f t="shared" si="77"/>
        <v>0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0</v>
      </c>
      <c r="P241" s="107">
        <f t="shared" ref="P241:AM241" si="78">MAX(-P238,0)</f>
        <v>0</v>
      </c>
      <c r="Q241" s="107">
        <f t="shared" si="78"/>
        <v>0</v>
      </c>
      <c r="R241" s="107">
        <f t="shared" si="78"/>
        <v>0</v>
      </c>
      <c r="S241" s="107">
        <f t="shared" si="78"/>
        <v>0</v>
      </c>
      <c r="T241" s="107">
        <f t="shared" si="78"/>
        <v>0</v>
      </c>
      <c r="U241" s="107">
        <f t="shared" si="78"/>
        <v>0</v>
      </c>
      <c r="V241" s="107">
        <f t="shared" si="78"/>
        <v>0</v>
      </c>
      <c r="W241" s="107">
        <f t="shared" si="78"/>
        <v>0</v>
      </c>
      <c r="X241" s="107">
        <f t="shared" si="78"/>
        <v>0</v>
      </c>
      <c r="Y241" s="107">
        <f t="shared" si="78"/>
        <v>0</v>
      </c>
      <c r="Z241" s="107">
        <f t="shared" si="78"/>
        <v>0</v>
      </c>
      <c r="AA241" s="107">
        <f t="shared" si="78"/>
        <v>0</v>
      </c>
      <c r="AB241" s="107">
        <f t="shared" si="78"/>
        <v>0</v>
      </c>
      <c r="AC241" s="107">
        <f t="shared" si="78"/>
        <v>0</v>
      </c>
      <c r="AD241" s="107">
        <f t="shared" si="78"/>
        <v>0</v>
      </c>
      <c r="AE241" s="107">
        <f t="shared" si="78"/>
        <v>0</v>
      </c>
      <c r="AF241" s="107">
        <f t="shared" si="78"/>
        <v>0</v>
      </c>
      <c r="AG241" s="107">
        <f t="shared" si="78"/>
        <v>0</v>
      </c>
      <c r="AH241" s="107">
        <f t="shared" si="78"/>
        <v>0</v>
      </c>
      <c r="AI241" s="107">
        <f t="shared" si="78"/>
        <v>0</v>
      </c>
      <c r="AJ241" s="107">
        <f t="shared" si="78"/>
        <v>0</v>
      </c>
      <c r="AK241" s="107">
        <f t="shared" si="78"/>
        <v>0</v>
      </c>
      <c r="AL241" s="107">
        <f t="shared" si="78"/>
        <v>0</v>
      </c>
      <c r="AM241" s="107">
        <f t="shared" si="78"/>
        <v>0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79">-MAX(0,MIN(P240,$I$242*(P237-P238)))</f>
        <v>0</v>
      </c>
      <c r="Q242" s="107">
        <f t="shared" si="79"/>
        <v>0</v>
      </c>
      <c r="R242" s="107">
        <f t="shared" si="79"/>
        <v>0</v>
      </c>
      <c r="S242" s="107">
        <f t="shared" si="79"/>
        <v>0</v>
      </c>
      <c r="T242" s="107">
        <f t="shared" si="79"/>
        <v>0</v>
      </c>
      <c r="U242" s="107">
        <f t="shared" si="79"/>
        <v>0</v>
      </c>
      <c r="V242" s="107">
        <f t="shared" si="79"/>
        <v>0</v>
      </c>
      <c r="W242" s="107">
        <f t="shared" si="79"/>
        <v>0</v>
      </c>
      <c r="X242" s="107">
        <f t="shared" si="79"/>
        <v>0</v>
      </c>
      <c r="Y242" s="107">
        <f t="shared" si="79"/>
        <v>0</v>
      </c>
      <c r="Z242" s="107">
        <f t="shared" si="79"/>
        <v>0</v>
      </c>
      <c r="AA242" s="107">
        <f t="shared" si="79"/>
        <v>0</v>
      </c>
      <c r="AB242" s="107">
        <f t="shared" si="79"/>
        <v>0</v>
      </c>
      <c r="AC242" s="107">
        <f t="shared" si="79"/>
        <v>0</v>
      </c>
      <c r="AD242" s="107">
        <f t="shared" si="79"/>
        <v>0</v>
      </c>
      <c r="AE242" s="107">
        <f t="shared" si="79"/>
        <v>0</v>
      </c>
      <c r="AF242" s="107">
        <f t="shared" si="79"/>
        <v>0</v>
      </c>
      <c r="AG242" s="107">
        <f t="shared" si="79"/>
        <v>0</v>
      </c>
      <c r="AH242" s="107">
        <f t="shared" si="79"/>
        <v>0</v>
      </c>
      <c r="AI242" s="107">
        <f t="shared" si="79"/>
        <v>0</v>
      </c>
      <c r="AJ242" s="107">
        <f t="shared" si="79"/>
        <v>0</v>
      </c>
      <c r="AK242" s="107">
        <f t="shared" si="79"/>
        <v>0</v>
      </c>
      <c r="AL242" s="107">
        <f t="shared" si="79"/>
        <v>0</v>
      </c>
      <c r="AM242" s="107">
        <f t="shared" si="79"/>
        <v>0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80">SUM(O240:O242)</f>
        <v>0</v>
      </c>
      <c r="P243" s="109">
        <f t="shared" si="80"/>
        <v>0</v>
      </c>
      <c r="Q243" s="109">
        <f t="shared" si="80"/>
        <v>0</v>
      </c>
      <c r="R243" s="109">
        <f t="shared" si="80"/>
        <v>0</v>
      </c>
      <c r="S243" s="109">
        <f t="shared" si="80"/>
        <v>0</v>
      </c>
      <c r="T243" s="109">
        <f t="shared" si="80"/>
        <v>0</v>
      </c>
      <c r="U243" s="109">
        <f t="shared" si="80"/>
        <v>0</v>
      </c>
      <c r="V243" s="109">
        <f t="shared" si="80"/>
        <v>0</v>
      </c>
      <c r="W243" s="109">
        <f t="shared" si="80"/>
        <v>0</v>
      </c>
      <c r="X243" s="109">
        <f t="shared" si="80"/>
        <v>0</v>
      </c>
      <c r="Y243" s="109">
        <f t="shared" si="80"/>
        <v>0</v>
      </c>
      <c r="Z243" s="109">
        <f t="shared" si="80"/>
        <v>0</v>
      </c>
      <c r="AA243" s="109">
        <f t="shared" si="80"/>
        <v>0</v>
      </c>
      <c r="AB243" s="109">
        <f t="shared" si="80"/>
        <v>0</v>
      </c>
      <c r="AC243" s="109">
        <f t="shared" si="80"/>
        <v>0</v>
      </c>
      <c r="AD243" s="109">
        <f t="shared" si="80"/>
        <v>0</v>
      </c>
      <c r="AE243" s="109">
        <f t="shared" si="80"/>
        <v>0</v>
      </c>
      <c r="AF243" s="109">
        <f t="shared" si="80"/>
        <v>0</v>
      </c>
      <c r="AG243" s="109">
        <f t="shared" si="80"/>
        <v>0</v>
      </c>
      <c r="AH243" s="109">
        <f t="shared" si="80"/>
        <v>0</v>
      </c>
      <c r="AI243" s="109">
        <f t="shared" si="80"/>
        <v>0</v>
      </c>
      <c r="AJ243" s="109">
        <f t="shared" si="80"/>
        <v>0</v>
      </c>
      <c r="AK243" s="109">
        <f t="shared" si="80"/>
        <v>0</v>
      </c>
      <c r="AL243" s="109">
        <f t="shared" si="80"/>
        <v>0</v>
      </c>
      <c r="AM243" s="109">
        <f t="shared" si="80"/>
        <v>0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81">SUM(O245:AV245)</f>
        <v>0</v>
      </c>
      <c r="M245" s="1"/>
      <c r="N245" s="1"/>
      <c r="O245" s="328">
        <v>0</v>
      </c>
      <c r="P245" s="328">
        <v>0</v>
      </c>
      <c r="Q245" s="328">
        <v>0</v>
      </c>
      <c r="R245" s="328">
        <v>0</v>
      </c>
      <c r="S245" s="328">
        <v>0</v>
      </c>
      <c r="T245" s="328">
        <v>0</v>
      </c>
      <c r="U245" s="328">
        <v>0</v>
      </c>
      <c r="V245" s="328">
        <v>0</v>
      </c>
      <c r="W245" s="328">
        <v>0</v>
      </c>
      <c r="X245" s="328">
        <v>0</v>
      </c>
      <c r="Y245" s="328">
        <v>0</v>
      </c>
      <c r="Z245" s="328">
        <v>0</v>
      </c>
      <c r="AA245" s="328">
        <v>0</v>
      </c>
      <c r="AB245" s="328">
        <v>0</v>
      </c>
      <c r="AC245" s="328">
        <v>0</v>
      </c>
      <c r="AD245" s="328">
        <v>0</v>
      </c>
      <c r="AE245" s="328">
        <v>0</v>
      </c>
      <c r="AF245" s="328">
        <v>0</v>
      </c>
      <c r="AG245" s="328">
        <v>0</v>
      </c>
      <c r="AH245" s="328">
        <v>0</v>
      </c>
      <c r="AI245" s="328">
        <v>0</v>
      </c>
      <c r="AJ245" s="328">
        <v>0</v>
      </c>
      <c r="AK245" s="328">
        <v>0</v>
      </c>
      <c r="AL245" s="328">
        <v>0</v>
      </c>
      <c r="AM245" s="328">
        <v>0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v>0</v>
      </c>
      <c r="P247" s="109">
        <v>0</v>
      </c>
      <c r="Q247" s="109">
        <v>0</v>
      </c>
      <c r="R247" s="109">
        <v>0</v>
      </c>
      <c r="S247" s="109">
        <v>0</v>
      </c>
      <c r="T247" s="109">
        <v>0</v>
      </c>
      <c r="U247" s="109">
        <v>0</v>
      </c>
      <c r="V247" s="109">
        <v>0</v>
      </c>
      <c r="W247" s="109">
        <v>0</v>
      </c>
      <c r="X247" s="109">
        <v>0</v>
      </c>
      <c r="Y247" s="109">
        <v>0</v>
      </c>
      <c r="Z247" s="109">
        <v>0</v>
      </c>
      <c r="AA247" s="109">
        <v>0</v>
      </c>
      <c r="AB247" s="109">
        <v>0</v>
      </c>
      <c r="AC247" s="109">
        <v>0</v>
      </c>
      <c r="AD247" s="109">
        <v>0</v>
      </c>
      <c r="AE247" s="109">
        <v>0</v>
      </c>
      <c r="AF247" s="109">
        <v>0</v>
      </c>
      <c r="AG247" s="109">
        <v>0</v>
      </c>
      <c r="AH247" s="109">
        <v>0</v>
      </c>
      <c r="AI247" s="109">
        <v>0</v>
      </c>
      <c r="AJ247" s="109">
        <v>0</v>
      </c>
      <c r="AK247" s="109">
        <v>0</v>
      </c>
      <c r="AL247" s="109">
        <v>0</v>
      </c>
      <c r="AM247" s="109">
        <v>0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v>0</v>
      </c>
      <c r="P248" s="107">
        <v>0</v>
      </c>
      <c r="Q248" s="107">
        <v>0</v>
      </c>
      <c r="R248" s="107">
        <v>0</v>
      </c>
      <c r="S248" s="107">
        <v>0</v>
      </c>
      <c r="T248" s="107">
        <v>0</v>
      </c>
      <c r="U248" s="107">
        <v>0</v>
      </c>
      <c r="V248" s="107">
        <v>0</v>
      </c>
      <c r="W248" s="107">
        <v>0</v>
      </c>
      <c r="X248" s="107">
        <v>0</v>
      </c>
      <c r="Y248" s="107">
        <v>0</v>
      </c>
      <c r="Z248" s="107">
        <v>0</v>
      </c>
      <c r="AA248" s="107">
        <v>0</v>
      </c>
      <c r="AB248" s="107">
        <v>0</v>
      </c>
      <c r="AC248" s="107">
        <v>0</v>
      </c>
      <c r="AD248" s="107">
        <v>0</v>
      </c>
      <c r="AE248" s="107">
        <v>0</v>
      </c>
      <c r="AF248" s="107">
        <v>0</v>
      </c>
      <c r="AG248" s="107">
        <v>0</v>
      </c>
      <c r="AH248" s="107">
        <v>0</v>
      </c>
      <c r="AI248" s="107">
        <v>0</v>
      </c>
      <c r="AJ248" s="107">
        <v>0</v>
      </c>
      <c r="AK248" s="107">
        <v>0</v>
      </c>
      <c r="AL248" s="107">
        <v>0</v>
      </c>
      <c r="AM248" s="107">
        <v>0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v>0</v>
      </c>
      <c r="P249" s="107">
        <v>0</v>
      </c>
      <c r="Q249" s="107">
        <v>0</v>
      </c>
      <c r="R249" s="107">
        <v>0</v>
      </c>
      <c r="S249" s="107">
        <v>0</v>
      </c>
      <c r="T249" s="107">
        <v>0</v>
      </c>
      <c r="U249" s="107">
        <v>0</v>
      </c>
      <c r="V249" s="107">
        <v>0</v>
      </c>
      <c r="W249" s="107">
        <v>0</v>
      </c>
      <c r="X249" s="107">
        <v>0</v>
      </c>
      <c r="Y249" s="107">
        <v>0</v>
      </c>
      <c r="Z249" s="107">
        <v>0</v>
      </c>
      <c r="AA249" s="107">
        <v>0</v>
      </c>
      <c r="AB249" s="107">
        <v>0</v>
      </c>
      <c r="AC249" s="107">
        <v>0</v>
      </c>
      <c r="AD249" s="107">
        <v>0</v>
      </c>
      <c r="AE249" s="107">
        <v>0</v>
      </c>
      <c r="AF249" s="107">
        <v>0</v>
      </c>
      <c r="AG249" s="107">
        <v>0</v>
      </c>
      <c r="AH249" s="107">
        <v>0</v>
      </c>
      <c r="AI249" s="107">
        <v>0</v>
      </c>
      <c r="AJ249" s="107">
        <v>0</v>
      </c>
      <c r="AK249" s="107">
        <v>0</v>
      </c>
      <c r="AL249" s="107">
        <v>0</v>
      </c>
      <c r="AM249" s="107"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v>0</v>
      </c>
      <c r="P251" s="481">
        <v>0</v>
      </c>
      <c r="Q251" s="481">
        <v>0</v>
      </c>
      <c r="R251" s="481">
        <v>0</v>
      </c>
      <c r="S251" s="481">
        <v>0</v>
      </c>
      <c r="T251" s="481">
        <v>0</v>
      </c>
      <c r="U251" s="481">
        <v>0</v>
      </c>
      <c r="V251" s="481">
        <v>0</v>
      </c>
      <c r="W251" s="481">
        <v>0</v>
      </c>
      <c r="X251" s="481">
        <v>0</v>
      </c>
      <c r="Y251" s="481">
        <v>0</v>
      </c>
      <c r="Z251" s="481">
        <v>0</v>
      </c>
      <c r="AA251" s="481">
        <v>0</v>
      </c>
      <c r="AB251" s="481">
        <v>0</v>
      </c>
      <c r="AC251" s="481">
        <v>0</v>
      </c>
      <c r="AD251" s="481">
        <v>0</v>
      </c>
      <c r="AE251" s="481">
        <v>0</v>
      </c>
      <c r="AF251" s="481">
        <v>0</v>
      </c>
      <c r="AG251" s="481">
        <v>0</v>
      </c>
      <c r="AH251" s="481">
        <v>0</v>
      </c>
      <c r="AI251" s="481">
        <v>0</v>
      </c>
      <c r="AJ251" s="481">
        <v>0</v>
      </c>
      <c r="AK251" s="481">
        <v>0</v>
      </c>
      <c r="AL251" s="481">
        <v>0</v>
      </c>
      <c r="AM251" s="481">
        <v>0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v>0</v>
      </c>
      <c r="P252" s="107">
        <v>0</v>
      </c>
      <c r="Q252" s="107">
        <v>0</v>
      </c>
      <c r="R252" s="107">
        <v>0</v>
      </c>
      <c r="S252" s="107">
        <v>0</v>
      </c>
      <c r="T252" s="107">
        <v>0</v>
      </c>
      <c r="U252" s="107">
        <v>0</v>
      </c>
      <c r="V252" s="107">
        <v>0</v>
      </c>
      <c r="W252" s="107">
        <v>0</v>
      </c>
      <c r="X252" s="107">
        <v>0</v>
      </c>
      <c r="Y252" s="107">
        <v>0</v>
      </c>
      <c r="Z252" s="107">
        <v>0</v>
      </c>
      <c r="AA252" s="107">
        <v>0</v>
      </c>
      <c r="AB252" s="107">
        <v>0</v>
      </c>
      <c r="AC252" s="107">
        <v>0</v>
      </c>
      <c r="AD252" s="107">
        <v>0</v>
      </c>
      <c r="AE252" s="107">
        <v>0</v>
      </c>
      <c r="AF252" s="107">
        <v>0</v>
      </c>
      <c r="AG252" s="107">
        <v>0</v>
      </c>
      <c r="AH252" s="107">
        <v>0</v>
      </c>
      <c r="AI252" s="107">
        <v>0</v>
      </c>
      <c r="AJ252" s="107">
        <v>0</v>
      </c>
      <c r="AK252" s="107">
        <v>0</v>
      </c>
      <c r="AL252" s="107">
        <v>0</v>
      </c>
      <c r="AM252" s="107">
        <v>0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v>0</v>
      </c>
      <c r="P253" s="107">
        <v>0</v>
      </c>
      <c r="Q253" s="107">
        <v>0</v>
      </c>
      <c r="R253" s="107">
        <v>0</v>
      </c>
      <c r="S253" s="107">
        <v>0</v>
      </c>
      <c r="T253" s="107">
        <v>0</v>
      </c>
      <c r="U253" s="107">
        <v>0</v>
      </c>
      <c r="V253" s="107">
        <v>0</v>
      </c>
      <c r="W253" s="107">
        <v>0</v>
      </c>
      <c r="X253" s="107">
        <v>0</v>
      </c>
      <c r="Y253" s="107">
        <v>0</v>
      </c>
      <c r="Z253" s="107">
        <v>0</v>
      </c>
      <c r="AA253" s="107">
        <v>0</v>
      </c>
      <c r="AB253" s="107">
        <v>0</v>
      </c>
      <c r="AC253" s="107">
        <v>0</v>
      </c>
      <c r="AD253" s="107">
        <v>0</v>
      </c>
      <c r="AE253" s="107">
        <v>0</v>
      </c>
      <c r="AF253" s="107">
        <v>0</v>
      </c>
      <c r="AG253" s="107">
        <v>0</v>
      </c>
      <c r="AH253" s="107">
        <v>0</v>
      </c>
      <c r="AI253" s="107">
        <v>0</v>
      </c>
      <c r="AJ253" s="107">
        <v>0</v>
      </c>
      <c r="AK253" s="107">
        <v>0</v>
      </c>
      <c r="AL253" s="107">
        <v>0</v>
      </c>
      <c r="AM253" s="107">
        <v>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v>0</v>
      </c>
      <c r="P255" s="109">
        <v>0</v>
      </c>
      <c r="Q255" s="109">
        <v>0</v>
      </c>
      <c r="R255" s="109">
        <v>0</v>
      </c>
      <c r="S255" s="109">
        <v>0</v>
      </c>
      <c r="T255" s="109">
        <v>0</v>
      </c>
      <c r="U255" s="109">
        <v>0</v>
      </c>
      <c r="V255" s="109">
        <v>0</v>
      </c>
      <c r="W255" s="109">
        <v>0</v>
      </c>
      <c r="X255" s="109">
        <v>0</v>
      </c>
      <c r="Y255" s="109">
        <v>0</v>
      </c>
      <c r="Z255" s="109">
        <v>0</v>
      </c>
      <c r="AA255" s="109">
        <v>0</v>
      </c>
      <c r="AB255" s="109">
        <v>0</v>
      </c>
      <c r="AC255" s="109">
        <v>0</v>
      </c>
      <c r="AD255" s="109">
        <v>0</v>
      </c>
      <c r="AE255" s="109">
        <v>0</v>
      </c>
      <c r="AF255" s="109">
        <v>0</v>
      </c>
      <c r="AG255" s="109">
        <v>0</v>
      </c>
      <c r="AH255" s="109">
        <v>0</v>
      </c>
      <c r="AI255" s="109">
        <v>0</v>
      </c>
      <c r="AJ255" s="109">
        <v>0</v>
      </c>
      <c r="AK255" s="109">
        <v>0</v>
      </c>
      <c r="AL255" s="109">
        <v>0</v>
      </c>
      <c r="AM255" s="109">
        <v>0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v>0</v>
      </c>
      <c r="P256" s="107">
        <v>0</v>
      </c>
      <c r="Q256" s="107">
        <v>0</v>
      </c>
      <c r="R256" s="107">
        <v>0</v>
      </c>
      <c r="S256" s="107">
        <v>0</v>
      </c>
      <c r="T256" s="107">
        <v>0</v>
      </c>
      <c r="U256" s="107">
        <v>0</v>
      </c>
      <c r="V256" s="107">
        <v>0</v>
      </c>
      <c r="W256" s="107">
        <v>0</v>
      </c>
      <c r="X256" s="107">
        <v>0</v>
      </c>
      <c r="Y256" s="107">
        <v>0</v>
      </c>
      <c r="Z256" s="107">
        <v>0</v>
      </c>
      <c r="AA256" s="107">
        <v>0</v>
      </c>
      <c r="AB256" s="107">
        <v>0</v>
      </c>
      <c r="AC256" s="107">
        <v>0</v>
      </c>
      <c r="AD256" s="107">
        <v>0</v>
      </c>
      <c r="AE256" s="107">
        <v>0</v>
      </c>
      <c r="AF256" s="107">
        <v>0</v>
      </c>
      <c r="AG256" s="107">
        <v>0</v>
      </c>
      <c r="AH256" s="107">
        <v>0</v>
      </c>
      <c r="AI256" s="107">
        <v>0</v>
      </c>
      <c r="AJ256" s="107">
        <v>0</v>
      </c>
      <c r="AK256" s="107">
        <v>0</v>
      </c>
      <c r="AL256" s="107">
        <v>0</v>
      </c>
      <c r="AM256" s="107">
        <v>0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v>0</v>
      </c>
      <c r="P257" s="107">
        <v>0</v>
      </c>
      <c r="Q257" s="107">
        <v>0</v>
      </c>
      <c r="R257" s="107">
        <v>0</v>
      </c>
      <c r="S257" s="107">
        <v>0</v>
      </c>
      <c r="T257" s="107">
        <v>0</v>
      </c>
      <c r="U257" s="107">
        <v>0</v>
      </c>
      <c r="V257" s="107">
        <v>0</v>
      </c>
      <c r="W257" s="107">
        <v>0</v>
      </c>
      <c r="X257" s="107">
        <v>0</v>
      </c>
      <c r="Y257" s="107">
        <v>0</v>
      </c>
      <c r="Z257" s="107">
        <v>0</v>
      </c>
      <c r="AA257" s="107">
        <v>0</v>
      </c>
      <c r="AB257" s="107">
        <v>0</v>
      </c>
      <c r="AC257" s="107">
        <v>0</v>
      </c>
      <c r="AD257" s="107">
        <v>0</v>
      </c>
      <c r="AE257" s="107">
        <v>0</v>
      </c>
      <c r="AF257" s="107">
        <v>0</v>
      </c>
      <c r="AG257" s="107">
        <v>0</v>
      </c>
      <c r="AH257" s="107">
        <v>0</v>
      </c>
      <c r="AI257" s="107">
        <v>0</v>
      </c>
      <c r="AJ257" s="107">
        <v>0</v>
      </c>
      <c r="AK257" s="107">
        <v>0</v>
      </c>
      <c r="AL257" s="107">
        <v>0</v>
      </c>
      <c r="AM257" s="107"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AVERAGE('Fluxo Rateio'!H31:H35)</f>
        <v>0.02</v>
      </c>
      <c r="J260" s="60"/>
      <c r="K260" s="60"/>
      <c r="L260" s="60"/>
      <c r="M260" s="1"/>
      <c r="N260" s="1"/>
      <c r="O260" s="109">
        <v>0</v>
      </c>
      <c r="P260" s="109">
        <v>0</v>
      </c>
      <c r="Q260" s="109">
        <v>0</v>
      </c>
      <c r="R260" s="109">
        <v>0</v>
      </c>
      <c r="S260" s="109">
        <v>0</v>
      </c>
      <c r="T260" s="109">
        <v>0</v>
      </c>
      <c r="U260" s="109">
        <v>0</v>
      </c>
      <c r="V260" s="109">
        <v>0</v>
      </c>
      <c r="W260" s="109">
        <v>0</v>
      </c>
      <c r="X260" s="109">
        <v>0</v>
      </c>
      <c r="Y260" s="109">
        <v>0</v>
      </c>
      <c r="Z260" s="109">
        <v>0</v>
      </c>
      <c r="AA260" s="109">
        <v>0</v>
      </c>
      <c r="AB260" s="109">
        <v>0</v>
      </c>
      <c r="AC260" s="109">
        <v>0</v>
      </c>
      <c r="AD260" s="109">
        <v>0</v>
      </c>
      <c r="AE260" s="109">
        <v>0</v>
      </c>
      <c r="AF260" s="109">
        <v>0</v>
      </c>
      <c r="AG260" s="109">
        <v>0</v>
      </c>
      <c r="AH260" s="109">
        <v>0</v>
      </c>
      <c r="AI260" s="109">
        <v>0</v>
      </c>
      <c r="AJ260" s="109">
        <v>0</v>
      </c>
      <c r="AK260" s="109">
        <v>0</v>
      </c>
      <c r="AL260" s="109">
        <v>0</v>
      </c>
      <c r="AM260" s="109">
        <v>0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v>0</v>
      </c>
      <c r="P261" s="107">
        <v>0</v>
      </c>
      <c r="Q261" s="107">
        <v>0</v>
      </c>
      <c r="R261" s="107">
        <v>0</v>
      </c>
      <c r="S261" s="107">
        <v>0</v>
      </c>
      <c r="T261" s="107">
        <v>0</v>
      </c>
      <c r="U261" s="107">
        <v>0</v>
      </c>
      <c r="V261" s="107">
        <v>0</v>
      </c>
      <c r="W261" s="107">
        <v>0</v>
      </c>
      <c r="X261" s="107">
        <v>0</v>
      </c>
      <c r="Y261" s="107">
        <v>0</v>
      </c>
      <c r="Z261" s="107">
        <v>0</v>
      </c>
      <c r="AA261" s="107">
        <v>0</v>
      </c>
      <c r="AB261" s="107">
        <v>0</v>
      </c>
      <c r="AC261" s="107">
        <v>0</v>
      </c>
      <c r="AD261" s="107">
        <v>0</v>
      </c>
      <c r="AE261" s="107">
        <v>0</v>
      </c>
      <c r="AF261" s="107">
        <v>0</v>
      </c>
      <c r="AG261" s="107">
        <v>0</v>
      </c>
      <c r="AH261" s="107">
        <v>0</v>
      </c>
      <c r="AI261" s="107">
        <v>0</v>
      </c>
      <c r="AJ261" s="107">
        <v>0</v>
      </c>
      <c r="AK261" s="107">
        <v>0</v>
      </c>
      <c r="AL261" s="107">
        <v>0</v>
      </c>
      <c r="AM261" s="107">
        <v>0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v>0</v>
      </c>
      <c r="P262" s="107">
        <v>0</v>
      </c>
      <c r="Q262" s="107">
        <v>0</v>
      </c>
      <c r="R262" s="107">
        <v>0</v>
      </c>
      <c r="S262" s="107">
        <v>0</v>
      </c>
      <c r="T262" s="107">
        <v>0</v>
      </c>
      <c r="U262" s="107">
        <v>0</v>
      </c>
      <c r="V262" s="107">
        <v>0</v>
      </c>
      <c r="W262" s="107">
        <v>0</v>
      </c>
      <c r="X262" s="107">
        <v>0</v>
      </c>
      <c r="Y262" s="107">
        <v>0</v>
      </c>
      <c r="Z262" s="107">
        <v>0</v>
      </c>
      <c r="AA262" s="107">
        <v>0</v>
      </c>
      <c r="AB262" s="107">
        <v>0</v>
      </c>
      <c r="AC262" s="107">
        <v>0</v>
      </c>
      <c r="AD262" s="107">
        <v>0</v>
      </c>
      <c r="AE262" s="107">
        <v>0</v>
      </c>
      <c r="AF262" s="107">
        <v>0</v>
      </c>
      <c r="AG262" s="107">
        <v>0</v>
      </c>
      <c r="AH262" s="107">
        <v>0</v>
      </c>
      <c r="AI262" s="107">
        <v>0</v>
      </c>
      <c r="AJ262" s="107">
        <v>0</v>
      </c>
      <c r="AK262" s="107">
        <v>0</v>
      </c>
      <c r="AL262" s="107">
        <v>0</v>
      </c>
      <c r="AM262" s="107"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6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397818.85849495331</v>
      </c>
      <c r="M266" s="183"/>
      <c r="N266" s="183"/>
      <c r="O266" s="445">
        <f t="shared" ref="O266:AM266" si="82">SUM(O267:O268)</f>
        <v>44587.571907053687</v>
      </c>
      <c r="P266" s="445">
        <f t="shared" si="82"/>
        <v>29435.940548991653</v>
      </c>
      <c r="Q266" s="445">
        <f t="shared" si="82"/>
        <v>28156.117046861578</v>
      </c>
      <c r="R266" s="445">
        <f t="shared" si="82"/>
        <v>26876.293544731503</v>
      </c>
      <c r="S266" s="445">
        <f t="shared" si="82"/>
        <v>25596.470042601431</v>
      </c>
      <c r="T266" s="445">
        <f t="shared" si="82"/>
        <v>24316.64654047136</v>
      </c>
      <c r="U266" s="445">
        <f t="shared" si="82"/>
        <v>23036.823038341288</v>
      </c>
      <c r="V266" s="445">
        <f t="shared" si="82"/>
        <v>21756.999536211213</v>
      </c>
      <c r="W266" s="445">
        <f t="shared" si="82"/>
        <v>20477.176034081142</v>
      </c>
      <c r="X266" s="445">
        <f t="shared" si="82"/>
        <v>19197.35253195107</v>
      </c>
      <c r="Y266" s="445">
        <f t="shared" si="82"/>
        <v>17917.529029820998</v>
      </c>
      <c r="Z266" s="445">
        <f t="shared" si="82"/>
        <v>16637.705527690927</v>
      </c>
      <c r="AA266" s="445">
        <f t="shared" si="82"/>
        <v>15357.882025560853</v>
      </c>
      <c r="AB266" s="445">
        <f t="shared" si="82"/>
        <v>14078.05852343078</v>
      </c>
      <c r="AC266" s="445">
        <f t="shared" si="82"/>
        <v>12798.235021300708</v>
      </c>
      <c r="AD266" s="445">
        <f t="shared" si="82"/>
        <v>11518.411519170633</v>
      </c>
      <c r="AE266" s="445">
        <f t="shared" si="82"/>
        <v>10238.588017040562</v>
      </c>
      <c r="AF266" s="445">
        <f t="shared" si="82"/>
        <v>8958.7645149104919</v>
      </c>
      <c r="AG266" s="445">
        <f t="shared" si="82"/>
        <v>7678.9410127804222</v>
      </c>
      <c r="AH266" s="445">
        <f t="shared" si="82"/>
        <v>6399.1175106503515</v>
      </c>
      <c r="AI266" s="445">
        <f t="shared" si="82"/>
        <v>5119.2940085202808</v>
      </c>
      <c r="AJ266" s="445">
        <f t="shared" si="82"/>
        <v>3839.4705063902111</v>
      </c>
      <c r="AK266" s="445">
        <f t="shared" si="82"/>
        <v>2559.6470042601404</v>
      </c>
      <c r="AL266" s="445">
        <f t="shared" si="82"/>
        <v>1279.8235021300702</v>
      </c>
      <c r="AM266" s="445">
        <f t="shared" si="82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6688135.7860580524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386671.96551818989</v>
      </c>
      <c r="M267" s="183"/>
      <c r="N267" s="183"/>
      <c r="O267" s="450">
        <f>$G$267*$H$267</f>
        <v>33440.678930290262</v>
      </c>
      <c r="P267" s="450">
        <f>$H$267*($L$75-SUM($O75:P$75))*$F$267</f>
        <v>29435.940548991653</v>
      </c>
      <c r="Q267" s="450">
        <f>$H$267*($L$75-SUM($O75:Q$75))*$F$267</f>
        <v>28156.117046861578</v>
      </c>
      <c r="R267" s="450">
        <f>$H$267*($L$75-SUM($O75:R$75))*$F$267</f>
        <v>26876.293544731503</v>
      </c>
      <c r="S267" s="450">
        <f>$H$267*($L$75-SUM($O75:S$75))*$F$267</f>
        <v>25596.470042601431</v>
      </c>
      <c r="T267" s="450">
        <f>$H$267*($L$75-SUM($O75:T$75))*$F$267</f>
        <v>24316.64654047136</v>
      </c>
      <c r="U267" s="450">
        <f>$H$267*($L$75-SUM($O75:U$75))*$F$267</f>
        <v>23036.823038341288</v>
      </c>
      <c r="V267" s="450">
        <f>$H$267*($L$75-SUM($O75:V$75))*$F$267</f>
        <v>21756.999536211213</v>
      </c>
      <c r="W267" s="450">
        <f>$H$267*($L$75-SUM($O75:W$75))*$F$267</f>
        <v>20477.176034081142</v>
      </c>
      <c r="X267" s="450">
        <f>$H$267*($L$75-SUM($O75:X$75))*$F$267</f>
        <v>19197.35253195107</v>
      </c>
      <c r="Y267" s="450">
        <f>$H$267*($L$75-SUM($O75:Y$75))*$F$267</f>
        <v>17917.529029820998</v>
      </c>
      <c r="Z267" s="450">
        <f>$H$267*($L$75-SUM($O75:Z$75))*$F$267</f>
        <v>16637.705527690927</v>
      </c>
      <c r="AA267" s="450">
        <f>$H$267*($L$75-SUM($O75:AA$75))*$F$267</f>
        <v>15357.882025560853</v>
      </c>
      <c r="AB267" s="450">
        <f>$H$267*($L$75-SUM($O75:AB$75))*$F$267</f>
        <v>14078.05852343078</v>
      </c>
      <c r="AC267" s="450">
        <f>$H$267*($L$75-SUM($O75:AC$75))*$F$267</f>
        <v>12798.235021300708</v>
      </c>
      <c r="AD267" s="450">
        <f>$H$267*($L$75-SUM($O75:AD$75))*$F$267</f>
        <v>11518.411519170633</v>
      </c>
      <c r="AE267" s="450">
        <f>$H$267*($L$75-SUM($O75:AE$75))*$F$267</f>
        <v>10238.588017040562</v>
      </c>
      <c r="AF267" s="450">
        <f>$H$267*($L$75-SUM($O75:AF$75))*$F$267</f>
        <v>8958.7645149104919</v>
      </c>
      <c r="AG267" s="450">
        <f>$H$267*($L$75-SUM($O75:AG$75))*$F$267</f>
        <v>7678.9410127804222</v>
      </c>
      <c r="AH267" s="450">
        <f>$H$267*($L$75-SUM($O75:AH$75))*$F$267</f>
        <v>6399.1175106503515</v>
      </c>
      <c r="AI267" s="450">
        <f>$H$267*($L$75-SUM($O75:AI$75))*$F$267</f>
        <v>5119.2940085202808</v>
      </c>
      <c r="AJ267" s="450">
        <f>$H$267*($L$75-SUM($O75:AJ$75))*$F$267</f>
        <v>3839.4705063902111</v>
      </c>
      <c r="AK267" s="450">
        <f>$H$267*($L$75-SUM($O75:AK$75))*$F$267</f>
        <v>2559.6470042601404</v>
      </c>
      <c r="AL267" s="450">
        <f>$H$267*($L$75-SUM($O75:AL$75))*$F$267</f>
        <v>1279.8235021300702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2229378.5953526841</v>
      </c>
      <c r="H268" s="452">
        <v>5.0000000000000001E-3</v>
      </c>
      <c r="I268" s="451"/>
      <c r="J268" s="451"/>
      <c r="K268" s="451"/>
      <c r="L268" s="453">
        <f>SUM(O268:AM268)</f>
        <v>11146.892976763422</v>
      </c>
      <c r="M268" s="183"/>
      <c r="N268" s="183"/>
      <c r="O268" s="454">
        <f>$H$268*$G$268</f>
        <v>11146.892976763422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4.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>SUM(AR:SM!O270)</f>
        <v>0</v>
      </c>
      <c r="P272" s="348">
        <f>SUM(AR:SM!P270)</f>
        <v>0</v>
      </c>
      <c r="Q272" s="348">
        <f>SUM(AR:SM!Q270)</f>
        <v>0</v>
      </c>
      <c r="R272" s="348">
        <f>SUM(AR:SM!R270)</f>
        <v>0</v>
      </c>
      <c r="S272" s="348">
        <f>SUM(AR:SM!S270)</f>
        <v>0</v>
      </c>
      <c r="T272" s="348">
        <f>SUM(AR:SM!T270)</f>
        <v>0</v>
      </c>
      <c r="U272" s="348">
        <f>SUM(AR:SM!U270)</f>
        <v>0</v>
      </c>
      <c r="V272" s="348">
        <f>SUM(AR:SM!V270)</f>
        <v>0</v>
      </c>
      <c r="W272" s="348">
        <f>SUM(AR:SM!W270)</f>
        <v>0</v>
      </c>
      <c r="X272" s="348">
        <f>SUM(AR:SM!X270)</f>
        <v>0</v>
      </c>
      <c r="Y272" s="348">
        <f>SUM(AR:SM!Y270)</f>
        <v>0</v>
      </c>
      <c r="Z272" s="348">
        <f>SUM(AR:SM!Z270)</f>
        <v>0</v>
      </c>
      <c r="AA272" s="348">
        <f>SUM(AR:SM!AA270)</f>
        <v>0</v>
      </c>
      <c r="AB272" s="348">
        <f>SUM(AR:SM!AB270)</f>
        <v>0</v>
      </c>
      <c r="AC272" s="348">
        <f>SUM(AR:SM!AC270)</f>
        <v>0</v>
      </c>
      <c r="AD272" s="348">
        <f>SUM(AR:SM!AD270)</f>
        <v>0</v>
      </c>
      <c r="AE272" s="348">
        <f>SUM(AR:SM!AE270)</f>
        <v>0</v>
      </c>
      <c r="AF272" s="348">
        <f>SUM(AR:SM!AF270)</f>
        <v>0</v>
      </c>
      <c r="AG272" s="348">
        <f>SUM(AR:SM!AG270)</f>
        <v>0</v>
      </c>
      <c r="AH272" s="348">
        <f>SUM(AR:SM!AH270)</f>
        <v>0</v>
      </c>
      <c r="AI272" s="348">
        <f>SUM(AR:SM!AI270)</f>
        <v>0</v>
      </c>
      <c r="AJ272" s="348">
        <f>SUM(AR:SM!AJ270)</f>
        <v>0</v>
      </c>
      <c r="AK272" s="348">
        <f>SUM(AR:SM!AK270)</f>
        <v>0</v>
      </c>
      <c r="AL272" s="348">
        <f>SUM(AR:SM!AL270)</f>
        <v>0</v>
      </c>
      <c r="AM272" s="348">
        <f>SUM(AR:SM!AM270)</f>
        <v>0</v>
      </c>
    </row>
    <row r="273" spans="1:39" ht="15" customHeight="1" x14ac:dyDescent="0.3">
      <c r="B273" s="100" t="s">
        <v>5184</v>
      </c>
      <c r="L273" s="303"/>
      <c r="O273" s="303">
        <f>SUM(AR:SM!O273)</f>
        <v>0</v>
      </c>
      <c r="P273" s="303">
        <f>SUM(AR:SM!P273)</f>
        <v>0</v>
      </c>
      <c r="Q273" s="303">
        <f>SUM(AR:SM!Q273)</f>
        <v>0</v>
      </c>
      <c r="R273" s="303">
        <f>SUM(AR:SM!R273)</f>
        <v>0</v>
      </c>
      <c r="S273" s="303">
        <f>SUM(AR:SM!S273)</f>
        <v>0</v>
      </c>
      <c r="T273" s="303">
        <f>SUM(AR:SM!T273)</f>
        <v>0</v>
      </c>
      <c r="U273" s="303">
        <f>SUM(AR:SM!U273)</f>
        <v>0</v>
      </c>
      <c r="V273" s="303">
        <f>SUM(AR:SM!V273)</f>
        <v>0</v>
      </c>
      <c r="W273" s="303">
        <f>SUM(AR:SM!W273)</f>
        <v>0</v>
      </c>
      <c r="X273" s="303">
        <f>SUM(AR:SM!X273)</f>
        <v>0</v>
      </c>
      <c r="Y273" s="303">
        <f>SUM(AR:SM!Y273)</f>
        <v>0</v>
      </c>
      <c r="Z273" s="303">
        <f>SUM(AR:SM!Z273)</f>
        <v>0</v>
      </c>
      <c r="AA273" s="303">
        <f>SUM(AR:SM!AA273)</f>
        <v>0</v>
      </c>
      <c r="AB273" s="303">
        <f>SUM(AR:SM!AB273)</f>
        <v>0</v>
      </c>
      <c r="AC273" s="303">
        <f>SUM(AR:SM!AC273)</f>
        <v>0</v>
      </c>
      <c r="AD273" s="303">
        <f>SUM(AR:SM!AD273)</f>
        <v>0</v>
      </c>
      <c r="AE273" s="303">
        <f>SUM(AR:SM!AE273)</f>
        <v>0</v>
      </c>
      <c r="AF273" s="303">
        <f>SUM(AR:SM!AF273)</f>
        <v>0</v>
      </c>
      <c r="AG273" s="303">
        <f>SUM(AR:SM!AG273)</f>
        <v>0</v>
      </c>
      <c r="AH273" s="303">
        <f>SUM(AR:SM!AH273)</f>
        <v>0</v>
      </c>
      <c r="AI273" s="303">
        <f>SUM(AR:SM!AI273)</f>
        <v>0</v>
      </c>
      <c r="AJ273" s="303">
        <f>SUM(AR:SM!AJ273)</f>
        <v>0</v>
      </c>
      <c r="AK273" s="303">
        <f>SUM(AR:SM!AK273)</f>
        <v>0</v>
      </c>
      <c r="AL273" s="303">
        <f>SUM(AR:SM!AL273)</f>
        <v>0</v>
      </c>
      <c r="AM273" s="303">
        <f>SUM(AR:SM!AM273)</f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f>SUM(AR:SM!O274)</f>
        <v>0</v>
      </c>
      <c r="P274" s="361">
        <f>SUM(AR:SM!P274)</f>
        <v>0</v>
      </c>
      <c r="Q274" s="361">
        <f>SUM(AR:SM!Q274)</f>
        <v>0</v>
      </c>
      <c r="R274" s="361">
        <f>SUM(AR:SM!R274)</f>
        <v>0</v>
      </c>
      <c r="S274" s="361">
        <f>SUM(AR:SM!S274)</f>
        <v>0</v>
      </c>
      <c r="T274" s="361">
        <f>SUM(AR:SM!T274)</f>
        <v>0</v>
      </c>
      <c r="U274" s="361">
        <f>SUM(AR:SM!U274)</f>
        <v>0</v>
      </c>
      <c r="V274" s="361">
        <f>SUM(AR:SM!V274)</f>
        <v>0</v>
      </c>
      <c r="W274" s="361">
        <f>SUM(AR:SM!W274)</f>
        <v>0</v>
      </c>
      <c r="X274" s="361">
        <f>SUM(AR:SM!X274)</f>
        <v>0</v>
      </c>
      <c r="Y274" s="361">
        <f>SUM(AR:SM!Y274)</f>
        <v>0</v>
      </c>
      <c r="Z274" s="361">
        <f>SUM(AR:SM!Z274)</f>
        <v>0</v>
      </c>
      <c r="AA274" s="361">
        <f>SUM(AR:SM!AA274)</f>
        <v>0</v>
      </c>
      <c r="AB274" s="361">
        <f>SUM(AR:SM!AB274)</f>
        <v>0</v>
      </c>
      <c r="AC274" s="361">
        <f>SUM(AR:SM!AC274)</f>
        <v>0</v>
      </c>
      <c r="AD274" s="361">
        <f>SUM(AR:SM!AD274)</f>
        <v>0</v>
      </c>
      <c r="AE274" s="361">
        <f>SUM(AR:SM!AE274)</f>
        <v>0</v>
      </c>
      <c r="AF274" s="361">
        <f>SUM(AR:SM!AF274)</f>
        <v>0</v>
      </c>
      <c r="AG274" s="361">
        <f>SUM(AR:SM!AG274)</f>
        <v>0</v>
      </c>
      <c r="AH274" s="361">
        <f>SUM(AR:SM!AH274)</f>
        <v>0</v>
      </c>
      <c r="AI274" s="361">
        <f>SUM(AR:SM!AI274)</f>
        <v>0</v>
      </c>
      <c r="AJ274" s="361">
        <f>SUM(AR:SM!AJ274)</f>
        <v>0</v>
      </c>
      <c r="AK274" s="361">
        <f>SUM(AR:SM!AK274)</f>
        <v>0</v>
      </c>
      <c r="AL274" s="361">
        <f>SUM(AR:SM!AL274)</f>
        <v>0</v>
      </c>
      <c r="AM274" s="361">
        <f>SUM(AR:SM!AM274)</f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SUM(AR:SM!O275)</f>
        <v>17376473.474600445</v>
      </c>
      <c r="P275" s="347">
        <f>SUM(AR:SM!P275)</f>
        <v>17376473.474600445</v>
      </c>
      <c r="Q275" s="347">
        <f>SUM(AR:SM!Q275)</f>
        <v>17376473.474600445</v>
      </c>
      <c r="R275" s="347">
        <f>SUM(AR:SM!R275)</f>
        <v>17376473.474600445</v>
      </c>
      <c r="S275" s="347">
        <f>SUM(AR:SM!S275)</f>
        <v>24722062.292600445</v>
      </c>
      <c r="T275" s="347">
        <f>SUM(AR:SM!T275)</f>
        <v>24722062.292600445</v>
      </c>
      <c r="U275" s="347">
        <f>SUM(AR:SM!U275)</f>
        <v>24722062.292600445</v>
      </c>
      <c r="V275" s="347">
        <f>SUM(AR:SM!V275)</f>
        <v>25391038.382600442</v>
      </c>
      <c r="W275" s="347">
        <f>SUM(AR:SM!W275)</f>
        <v>26368280.212600447</v>
      </c>
      <c r="X275" s="347">
        <f>SUM(AR:SM!X275)</f>
        <v>26368280.212600447</v>
      </c>
      <c r="Y275" s="347">
        <f>SUM(AR:SM!Y275)</f>
        <v>33663140.830600448</v>
      </c>
      <c r="Z275" s="347">
        <f>SUM(AR:SM!Z275)</f>
        <v>33663140.830600448</v>
      </c>
      <c r="AA275" s="347">
        <f>SUM(AR:SM!AA275)</f>
        <v>36708850.646321751</v>
      </c>
      <c r="AB275" s="347">
        <f>SUM(AR:SM!AB275)</f>
        <v>36708850.646321751</v>
      </c>
      <c r="AC275" s="347">
        <f>SUM(AR:SM!AC275)</f>
        <v>36708850.646321751</v>
      </c>
      <c r="AD275" s="347">
        <f>SUM(AR:SM!AD275)</f>
        <v>44671959.154321752</v>
      </c>
      <c r="AE275" s="347">
        <f>SUM(AR:SM!AE275)</f>
        <v>44819332.044321746</v>
      </c>
      <c r="AF275" s="347">
        <f>SUM(AR:SM!AF275)</f>
        <v>45649929.184321746</v>
      </c>
      <c r="AG275" s="347">
        <f>SUM(AR:SM!AG275)</f>
        <v>45649929.184321746</v>
      </c>
      <c r="AH275" s="347">
        <f>SUM(AR:SM!AH275)</f>
        <v>45649929.184321746</v>
      </c>
      <c r="AI275" s="347">
        <f>SUM(AR:SM!AI275)</f>
        <v>52994789.802321747</v>
      </c>
      <c r="AJ275" s="347">
        <f>SUM(AR:SM!AJ275)</f>
        <v>52994789.802321747</v>
      </c>
      <c r="AK275" s="347">
        <f>SUM(AR:SM!AK275)</f>
        <v>53663765.892321758</v>
      </c>
      <c r="AL275" s="347">
        <f>SUM(AR:SM!AL275)</f>
        <v>53663765.892321758</v>
      </c>
      <c r="AM275" s="347">
        <f>SUM(AR:SM!AM275)</f>
        <v>53713765.892321758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SUM(AR:SM!O276)</f>
        <v>17376473.474600445</v>
      </c>
      <c r="P276" s="366">
        <f>SUM(AR:SM!P276)</f>
        <v>17376473.474600445</v>
      </c>
      <c r="Q276" s="366">
        <f>SUM(AR:SM!Q276)</f>
        <v>17376473.474600445</v>
      </c>
      <c r="R276" s="366">
        <f>SUM(AR:SM!R276)</f>
        <v>17376473.474600445</v>
      </c>
      <c r="S276" s="366">
        <f>SUM(AR:SM!S276)</f>
        <v>24722062.292600445</v>
      </c>
      <c r="T276" s="366">
        <f>SUM(AR:SM!T276)</f>
        <v>24722062.292600445</v>
      </c>
      <c r="U276" s="366">
        <f>SUM(AR:SM!U276)</f>
        <v>24722062.292600445</v>
      </c>
      <c r="V276" s="366">
        <f>SUM(AR:SM!V276)</f>
        <v>25391038.382600442</v>
      </c>
      <c r="W276" s="366">
        <f>SUM(AR:SM!W276)</f>
        <v>26368280.212600447</v>
      </c>
      <c r="X276" s="366">
        <f>SUM(AR:SM!X276)</f>
        <v>26368280.212600447</v>
      </c>
      <c r="Y276" s="366">
        <f>SUM(AR:SM!Y276)</f>
        <v>33663140.830600448</v>
      </c>
      <c r="Z276" s="366">
        <f>SUM(AR:SM!Z276)</f>
        <v>33663140.830600448</v>
      </c>
      <c r="AA276" s="366">
        <f>SUM(AR:SM!AA276)</f>
        <v>36708850.646321751</v>
      </c>
      <c r="AB276" s="366">
        <f>SUM(AR:SM!AB276)</f>
        <v>36708850.646321751</v>
      </c>
      <c r="AC276" s="366">
        <f>SUM(AR:SM!AC276)</f>
        <v>36708850.646321751</v>
      </c>
      <c r="AD276" s="366">
        <f>SUM(AR:SM!AD276)</f>
        <v>44671959.154321752</v>
      </c>
      <c r="AE276" s="366">
        <f>SUM(AR:SM!AE276)</f>
        <v>44819332.044321746</v>
      </c>
      <c r="AF276" s="366">
        <f>SUM(AR:SM!AF276)</f>
        <v>45649929.184321746</v>
      </c>
      <c r="AG276" s="366">
        <f>SUM(AR:SM!AG276)</f>
        <v>45649929.184321746</v>
      </c>
      <c r="AH276" s="366">
        <f>SUM(AR:SM!AH276)</f>
        <v>45649929.184321746</v>
      </c>
      <c r="AI276" s="366">
        <f>SUM(AR:SM!AI276)</f>
        <v>52994789.802321747</v>
      </c>
      <c r="AJ276" s="366">
        <f>SUM(AR:SM!AJ276)</f>
        <v>52994789.802321747</v>
      </c>
      <c r="AK276" s="366">
        <f>SUM(AR:SM!AK276)</f>
        <v>53663765.892321758</v>
      </c>
      <c r="AL276" s="366">
        <f>SUM(AR:SM!AL276)</f>
        <v>53663765.892321758</v>
      </c>
      <c r="AM276" s="366">
        <f>SUM(AR:SM!AM276)</f>
        <v>53713765.892321758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SUM(AR:SM!O278)</f>
        <v>17376473.474600445</v>
      </c>
      <c r="P278" s="348">
        <f>SUM(AR:SM!P278)</f>
        <v>17376473.474600445</v>
      </c>
      <c r="Q278" s="348">
        <f>SUM(AR:SM!Q278)</f>
        <v>17376473.474600445</v>
      </c>
      <c r="R278" s="348">
        <f>SUM(AR:SM!R278)</f>
        <v>17376473.474600445</v>
      </c>
      <c r="S278" s="348">
        <f>SUM(AR:SM!S278)</f>
        <v>24722062.292600445</v>
      </c>
      <c r="T278" s="348">
        <f>SUM(AR:SM!T278)</f>
        <v>24722062.292600445</v>
      </c>
      <c r="U278" s="348">
        <f>SUM(AR:SM!U278)</f>
        <v>24722062.292600445</v>
      </c>
      <c r="V278" s="348">
        <f>SUM(AR:SM!V278)</f>
        <v>25391038.382600442</v>
      </c>
      <c r="W278" s="348">
        <f>SUM(AR:SM!W278)</f>
        <v>26368280.212600447</v>
      </c>
      <c r="X278" s="348">
        <f>SUM(AR:SM!X278)</f>
        <v>26368280.212600447</v>
      </c>
      <c r="Y278" s="348">
        <f>SUM(AR:SM!Y278)</f>
        <v>33663140.830600448</v>
      </c>
      <c r="Z278" s="348">
        <f>SUM(AR:SM!Z278)</f>
        <v>33663140.830600448</v>
      </c>
      <c r="AA278" s="348">
        <f>SUM(AR:SM!AA278)</f>
        <v>36708850.646321751</v>
      </c>
      <c r="AB278" s="348">
        <f>SUM(AR:SM!AB278)</f>
        <v>36708850.646321751</v>
      </c>
      <c r="AC278" s="348">
        <f>SUM(AR:SM!AC278)</f>
        <v>36708850.646321751</v>
      </c>
      <c r="AD278" s="348">
        <f>SUM(AR:SM!AD278)</f>
        <v>44671959.154321752</v>
      </c>
      <c r="AE278" s="348">
        <f>SUM(AR:SM!AE278)</f>
        <v>44819332.044321746</v>
      </c>
      <c r="AF278" s="348">
        <f>SUM(AR:SM!AF278)</f>
        <v>45649929.184321746</v>
      </c>
      <c r="AG278" s="348">
        <f>SUM(AR:SM!AG278)</f>
        <v>45649929.184321746</v>
      </c>
      <c r="AH278" s="348">
        <f>SUM(AR:SM!AH278)</f>
        <v>45649929.184321746</v>
      </c>
      <c r="AI278" s="348">
        <f>SUM(AR:SM!AI278)</f>
        <v>52994789.802321747</v>
      </c>
      <c r="AJ278" s="348">
        <f>SUM(AR:SM!AJ278)</f>
        <v>52994789.802321747</v>
      </c>
      <c r="AK278" s="348">
        <f>SUM(AR:SM!AK278)</f>
        <v>53663765.892321758</v>
      </c>
      <c r="AL278" s="348">
        <f>SUM(AR:SM!AL278)</f>
        <v>53663765.892321758</v>
      </c>
      <c r="AM278" s="348">
        <f>SUM(AR:SM!AM278)</f>
        <v>53713765.892321758</v>
      </c>
    </row>
    <row r="279" spans="1:39" ht="15" customHeight="1" x14ac:dyDescent="0.3">
      <c r="B279" s="100" t="s">
        <v>5188</v>
      </c>
      <c r="O279" s="303">
        <f>SUM(AR:SM!O279)</f>
        <v>9812520.7936345823</v>
      </c>
      <c r="P279" s="303">
        <f>SUM(AR:SM!P279)</f>
        <v>8177100.6613621544</v>
      </c>
      <c r="Q279" s="303">
        <f>SUM(AR:SM!Q279)</f>
        <v>6541680.5290897228</v>
      </c>
      <c r="R279" s="303">
        <f>SUM(AR:SM!R279)</f>
        <v>4906260.3968172912</v>
      </c>
      <c r="S279" s="303">
        <f>SUM(AR:SM!S279)</f>
        <v>3270840.2645448619</v>
      </c>
      <c r="T279" s="303">
        <f>SUM(AR:SM!T279)</f>
        <v>1635420.1322724309</v>
      </c>
      <c r="U279" s="303">
        <f>SUM(AR:SM!U279)</f>
        <v>0</v>
      </c>
      <c r="V279" s="303">
        <f>SUM(AR:SM!V279)</f>
        <v>3.2014213502407074E-10</v>
      </c>
      <c r="W279" s="303">
        <f>SUM(AR:SM!W279)</f>
        <v>3.2014213502407074E-10</v>
      </c>
      <c r="X279" s="303">
        <f>SUM(AR:SM!X279)</f>
        <v>3.2014213502407074E-10</v>
      </c>
      <c r="Y279" s="303">
        <f>SUM(AR:SM!Y279)</f>
        <v>3.2014213502407074E-10</v>
      </c>
      <c r="Z279" s="303">
        <f>SUM(AR:SM!Z279)</f>
        <v>3.2014213502407074E-10</v>
      </c>
      <c r="AA279" s="303">
        <f>SUM(AR:SM!AA279)</f>
        <v>3.2014213502407074E-10</v>
      </c>
      <c r="AB279" s="303">
        <f>SUM(AR:SM!AB279)</f>
        <v>3.2014213502407074E-10</v>
      </c>
      <c r="AC279" s="303">
        <f>SUM(AR:SM!AC279)</f>
        <v>3.2014213502407074E-10</v>
      </c>
      <c r="AD279" s="303">
        <f>SUM(AR:SM!AD279)</f>
        <v>3.2014213502407074E-10</v>
      </c>
      <c r="AE279" s="303">
        <f>SUM(AR:SM!AE279)</f>
        <v>3.2014213502407074E-10</v>
      </c>
      <c r="AF279" s="303">
        <f>SUM(AR:SM!AF279)</f>
        <v>3.2014213502407074E-10</v>
      </c>
      <c r="AG279" s="303">
        <f>SUM(AR:SM!AG279)</f>
        <v>3.2014213502407074E-10</v>
      </c>
      <c r="AH279" s="303">
        <f>SUM(AR:SM!AH279)</f>
        <v>3.2014213502407074E-10</v>
      </c>
      <c r="AI279" s="303">
        <f>SUM(AR:SM!AI279)</f>
        <v>3.2014213502407074E-10</v>
      </c>
      <c r="AJ279" s="303">
        <f>SUM(AR:SM!AJ279)</f>
        <v>3.2014213502407074E-10</v>
      </c>
      <c r="AK279" s="303">
        <f>SUM(AR:SM!AK279)</f>
        <v>3.2014213502407074E-10</v>
      </c>
      <c r="AL279" s="303">
        <f>SUM(AR:SM!AL279)</f>
        <v>3.2014213502407074E-10</v>
      </c>
      <c r="AM279" s="303">
        <f>SUM(AR:SM!AM279)</f>
        <v>3.2014213502407074E-10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SUM(AR:SM!O280)</f>
        <v>7563952.6809658622</v>
      </c>
      <c r="P280" s="361">
        <f>SUM(AR:SM!P280)</f>
        <v>9199372.8132382929</v>
      </c>
      <c r="Q280" s="361">
        <f>SUM(AR:SM!Q280)</f>
        <v>10834792.945510723</v>
      </c>
      <c r="R280" s="361">
        <f>SUM(AR:SM!R280)</f>
        <v>12470213.077783156</v>
      </c>
      <c r="S280" s="361">
        <f>SUM(AR:SM!S280)</f>
        <v>21451222.028055586</v>
      </c>
      <c r="T280" s="361">
        <f>SUM(AR:SM!T280)</f>
        <v>23086642.160328016</v>
      </c>
      <c r="U280" s="361">
        <f>SUM(AR:SM!U280)</f>
        <v>24722062.292600445</v>
      </c>
      <c r="V280" s="361">
        <f>SUM(AR:SM!V280)</f>
        <v>25391038.382600442</v>
      </c>
      <c r="W280" s="361">
        <f>SUM(AR:SM!W280)</f>
        <v>26368280.212600447</v>
      </c>
      <c r="X280" s="361">
        <f>SUM(AR:SM!X280)</f>
        <v>26368280.212600447</v>
      </c>
      <c r="Y280" s="361">
        <f>SUM(AR:SM!Y280)</f>
        <v>33663140.830600448</v>
      </c>
      <c r="Z280" s="361">
        <f>SUM(AR:SM!Z280)</f>
        <v>33663140.830600448</v>
      </c>
      <c r="AA280" s="361">
        <f>SUM(AR:SM!AA280)</f>
        <v>36708850.646321751</v>
      </c>
      <c r="AB280" s="361">
        <f>SUM(AR:SM!AB280)</f>
        <v>36708850.646321751</v>
      </c>
      <c r="AC280" s="361">
        <f>SUM(AR:SM!AC280)</f>
        <v>36708850.646321751</v>
      </c>
      <c r="AD280" s="361">
        <f>SUM(AR:SM!AD280)</f>
        <v>44671959.154321752</v>
      </c>
      <c r="AE280" s="361">
        <f>SUM(AR:SM!AE280)</f>
        <v>44819332.044321746</v>
      </c>
      <c r="AF280" s="361">
        <f>SUM(AR:SM!AF280)</f>
        <v>45649929.184321746</v>
      </c>
      <c r="AG280" s="361">
        <f>SUM(AR:SM!AG280)</f>
        <v>45649929.184321746</v>
      </c>
      <c r="AH280" s="361">
        <f>SUM(AR:SM!AH280)</f>
        <v>45649929.184321746</v>
      </c>
      <c r="AI280" s="361">
        <f>SUM(AR:SM!AI280)</f>
        <v>52994789.802321747</v>
      </c>
      <c r="AJ280" s="361">
        <f>SUM(AR:SM!AJ280)</f>
        <v>52994789.802321747</v>
      </c>
      <c r="AK280" s="361">
        <f>SUM(AR:SM!AK280)</f>
        <v>53663765.892321758</v>
      </c>
      <c r="AL280" s="361">
        <f>SUM(AR:SM!AL280)</f>
        <v>53663765.892321758</v>
      </c>
      <c r="AM280" s="361">
        <f>SUM(AR:SM!AM280)</f>
        <v>53713765.892321758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4" spans="1:39" ht="9" customHeight="1" x14ac:dyDescent="0.3"/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f>SUM(AR:SM!O286)</f>
        <v>0</v>
      </c>
      <c r="P286" s="366">
        <f>SUM(AR:SM!P286)</f>
        <v>-10817.764207774429</v>
      </c>
      <c r="Q286" s="366">
        <f>SUM(AR:SM!Q286)</f>
        <v>11907248.136760205</v>
      </c>
      <c r="R286" s="366">
        <f>SUM(AR:SM!R286)</f>
        <v>14747532.355951283</v>
      </c>
      <c r="S286" s="366">
        <f>SUM(AR:SM!S286)</f>
        <v>17916590.775885534</v>
      </c>
      <c r="T286" s="366">
        <f>SUM(AR:SM!T286)</f>
        <v>21319968.917904802</v>
      </c>
      <c r="U286" s="366">
        <f>SUM(AR:SM!U286)</f>
        <v>24220919.642304309</v>
      </c>
      <c r="V286" s="366">
        <f>SUM(AR:SM!V286)</f>
        <v>27411680.272284295</v>
      </c>
      <c r="W286" s="366">
        <f>SUM(AR:SM!W286)</f>
        <v>30808212.273915607</v>
      </c>
      <c r="X286" s="366">
        <f>SUM(AR:SM!X286)</f>
        <v>34477078.228638574</v>
      </c>
      <c r="Y286" s="366">
        <f>SUM(AR:SM!Y286)</f>
        <v>38376817.549669497</v>
      </c>
      <c r="Z286" s="366">
        <f>SUM(AR:SM!Z286)</f>
        <v>42507754.886596695</v>
      </c>
      <c r="AA286" s="366">
        <f>SUM(AR:SM!AA286)</f>
        <v>46370106.321992099</v>
      </c>
      <c r="AB286" s="366">
        <f>SUM(AR:SM!AB286)</f>
        <v>50459688.149028264</v>
      </c>
      <c r="AC286" s="366">
        <f>SUM(AR:SM!AC286)</f>
        <v>54698351.79627201</v>
      </c>
      <c r="AD286" s="366">
        <f>SUM(AR:SM!AD286)</f>
        <v>59276298.170295119</v>
      </c>
      <c r="AE286" s="366">
        <f>SUM(AR:SM!AE286)</f>
        <v>64196775.524731144</v>
      </c>
      <c r="AF286" s="366">
        <f>SUM(AR:SM!AF286)</f>
        <v>68815469.846469581</v>
      </c>
      <c r="AG286" s="366">
        <f>SUM(AR:SM!AG286)</f>
        <v>73765850.838693291</v>
      </c>
      <c r="AH286" s="366">
        <f>SUM(AR:SM!AH286)</f>
        <v>79125571.961785644</v>
      </c>
      <c r="AI286" s="366">
        <f>SUM(AR:SM!AI286)</f>
        <v>84979893.071653068</v>
      </c>
      <c r="AJ286" s="366">
        <f>SUM(AR:SM!AJ286)</f>
        <v>91258271.856523693</v>
      </c>
      <c r="AK286" s="366">
        <f>SUM(AR:SM!AK286)</f>
        <v>97475113.346600294</v>
      </c>
      <c r="AL286" s="366">
        <f>SUM(AR:SM!AL286)</f>
        <v>104151764.12990832</v>
      </c>
      <c r="AM286" s="366">
        <f>SUM(AR:SM!AM286)</f>
        <v>111469234.87179869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>SUM(AR:SM!O287)</f>
        <v>-10817.764207774429</v>
      </c>
      <c r="P287" s="367">
        <f>SUM(AR:SM!P287)</f>
        <v>11918065.900967978</v>
      </c>
      <c r="Q287" s="367">
        <f>SUM(AR:SM!Q287)</f>
        <v>2840284.219191079</v>
      </c>
      <c r="R287" s="367">
        <f>SUM(AR:SM!R287)</f>
        <v>3169058.4199342518</v>
      </c>
      <c r="S287" s="367">
        <f>SUM(AR:SM!S287)</f>
        <v>3403378.1420192667</v>
      </c>
      <c r="T287" s="367">
        <f>SUM(AR:SM!T287)</f>
        <v>2900950.7243995043</v>
      </c>
      <c r="U287" s="367">
        <f>SUM(AR:SM!U287)</f>
        <v>3190760.6299799895</v>
      </c>
      <c r="V287" s="367">
        <f>SUM(AR:SM!V287)</f>
        <v>3396532.0016313107</v>
      </c>
      <c r="W287" s="367">
        <f>SUM(AR:SM!W287)</f>
        <v>3668865.9547229698</v>
      </c>
      <c r="X287" s="367">
        <f>SUM(AR:SM!X287)</f>
        <v>3899739.3210309213</v>
      </c>
      <c r="Y287" s="367">
        <f>SUM(AR:SM!Y287)</f>
        <v>4130937.3369271904</v>
      </c>
      <c r="Z287" s="367">
        <f>SUM(AR:SM!Z287)</f>
        <v>3862351.4353954098</v>
      </c>
      <c r="AA287" s="367">
        <f>SUM(AR:SM!AA287)</f>
        <v>4089581.8270361661</v>
      </c>
      <c r="AB287" s="367">
        <f>SUM(AR:SM!AB287)</f>
        <v>4238663.6472437466</v>
      </c>
      <c r="AC287" s="367">
        <f>SUM(AR:SM!AC287)</f>
        <v>4577946.3740231134</v>
      </c>
      <c r="AD287" s="367">
        <f>SUM(AR:SM!AD287)</f>
        <v>4920477.3544360213</v>
      </c>
      <c r="AE287" s="367">
        <f>SUM(AR:SM!AE287)</f>
        <v>4618694.321738448</v>
      </c>
      <c r="AF287" s="367">
        <f>SUM(AR:SM!AF287)</f>
        <v>4950380.9922237014</v>
      </c>
      <c r="AG287" s="367">
        <f>SUM(AR:SM!AG287)</f>
        <v>5359721.1230923366</v>
      </c>
      <c r="AH287" s="367">
        <f>SUM(AR:SM!AH287)</f>
        <v>5854321.1098674294</v>
      </c>
      <c r="AI287" s="367">
        <f>SUM(AR:SM!AI287)</f>
        <v>6278378.7848706283</v>
      </c>
      <c r="AJ287" s="367">
        <f>SUM(AR:SM!AJ287)</f>
        <v>6216841.4900766108</v>
      </c>
      <c r="AK287" s="367">
        <f>SUM(AR:SM!AK287)</f>
        <v>6676650.7833080003</v>
      </c>
      <c r="AL287" s="367">
        <f>SUM(AR:SM!AL287)</f>
        <v>7317470.7418903802</v>
      </c>
      <c r="AM287" s="367">
        <f>SUM(AR:SM!AM287)</f>
        <v>8221289.2603187822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-10817.764207774429</v>
      </c>
      <c r="P288" s="367">
        <f t="shared" ref="P288:AM288" si="83">P287+P286</f>
        <v>11907248.136760203</v>
      </c>
      <c r="Q288" s="367">
        <f t="shared" si="83"/>
        <v>14747532.355951283</v>
      </c>
      <c r="R288" s="367">
        <f t="shared" si="83"/>
        <v>17916590.775885534</v>
      </c>
      <c r="S288" s="367">
        <f t="shared" si="83"/>
        <v>21319968.917904802</v>
      </c>
      <c r="T288" s="367">
        <f t="shared" si="83"/>
        <v>24220919.642304305</v>
      </c>
      <c r="U288" s="367">
        <f t="shared" si="83"/>
        <v>27411680.272284299</v>
      </c>
      <c r="V288" s="367">
        <f t="shared" si="83"/>
        <v>30808212.273915607</v>
      </c>
      <c r="W288" s="367">
        <f t="shared" si="83"/>
        <v>34477078.228638574</v>
      </c>
      <c r="X288" s="367">
        <f t="shared" si="83"/>
        <v>38376817.549669497</v>
      </c>
      <c r="Y288" s="367">
        <f t="shared" si="83"/>
        <v>42507754.886596687</v>
      </c>
      <c r="Z288" s="367">
        <f t="shared" si="83"/>
        <v>46370106.321992107</v>
      </c>
      <c r="AA288" s="367">
        <f t="shared" si="83"/>
        <v>50459688.149028264</v>
      </c>
      <c r="AB288" s="367">
        <f t="shared" si="83"/>
        <v>54698351.79627201</v>
      </c>
      <c r="AC288" s="367">
        <f t="shared" si="83"/>
        <v>59276298.170295119</v>
      </c>
      <c r="AD288" s="367">
        <f t="shared" si="83"/>
        <v>64196775.524731144</v>
      </c>
      <c r="AE288" s="367">
        <f t="shared" si="83"/>
        <v>68815469.846469596</v>
      </c>
      <c r="AF288" s="367">
        <f t="shared" si="83"/>
        <v>73765850.838693276</v>
      </c>
      <c r="AG288" s="367">
        <f t="shared" si="83"/>
        <v>79125571.961785629</v>
      </c>
      <c r="AH288" s="367">
        <f t="shared" si="83"/>
        <v>84979893.071653068</v>
      </c>
      <c r="AI288" s="367">
        <f t="shared" si="83"/>
        <v>91258271.856523693</v>
      </c>
      <c r="AJ288" s="367">
        <f t="shared" si="83"/>
        <v>97475113.346600309</v>
      </c>
      <c r="AK288" s="367">
        <f t="shared" si="83"/>
        <v>104151764.12990829</v>
      </c>
      <c r="AL288" s="367">
        <f t="shared" si="83"/>
        <v>111469234.87179871</v>
      </c>
      <c r="AM288" s="367">
        <f t="shared" si="83"/>
        <v>119690524.13211748</v>
      </c>
    </row>
    <row r="289" spans="2:49" ht="14.25" customHeight="1" x14ac:dyDescent="0.3"/>
    <row r="290" spans="2:49" ht="15" customHeight="1" x14ac:dyDescent="0.3">
      <c r="B290" s="326" t="s">
        <v>5161</v>
      </c>
    </row>
    <row r="291" spans="2:49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f>SUM(AR:SM!O291)</f>
        <v>0</v>
      </c>
      <c r="P291" s="365">
        <f>SUM(AR:SM!P291)</f>
        <v>0</v>
      </c>
      <c r="Q291" s="365">
        <f>SUM(AR:SM!Q291)</f>
        <v>0</v>
      </c>
      <c r="R291" s="365">
        <f>SUM(AR:SM!R291)</f>
        <v>0</v>
      </c>
      <c r="S291" s="365">
        <f>SUM(AR:SM!S291)</f>
        <v>0</v>
      </c>
      <c r="T291" s="365">
        <f>SUM(AR:SM!T291)</f>
        <v>0</v>
      </c>
      <c r="U291" s="365">
        <f>SUM(AR:SM!U291)</f>
        <v>0</v>
      </c>
      <c r="V291" s="365">
        <f>SUM(AR:SM!V291)</f>
        <v>0</v>
      </c>
      <c r="W291" s="365">
        <f>SUM(AR:SM!W291)</f>
        <v>0</v>
      </c>
      <c r="X291" s="365">
        <f>SUM(AR:SM!X291)</f>
        <v>0</v>
      </c>
      <c r="Y291" s="365">
        <f>SUM(AR:SM!Y291)</f>
        <v>0</v>
      </c>
      <c r="Z291" s="365">
        <f>SUM(AR:SM!Z291)</f>
        <v>0</v>
      </c>
      <c r="AA291" s="365">
        <f>SUM(AR:SM!AA291)</f>
        <v>0</v>
      </c>
      <c r="AB291" s="365">
        <f>SUM(AR:SM!AB291)</f>
        <v>0</v>
      </c>
      <c r="AC291" s="365">
        <f>SUM(AR:SM!AC291)</f>
        <v>0</v>
      </c>
      <c r="AD291" s="365">
        <f>SUM(AR:SM!AD291)</f>
        <v>0</v>
      </c>
      <c r="AE291" s="365">
        <f>SUM(AR:SM!AE291)</f>
        <v>0</v>
      </c>
      <c r="AF291" s="365">
        <f>SUM(AR:SM!AF291)</f>
        <v>0</v>
      </c>
      <c r="AG291" s="365">
        <f>SUM(AR:SM!AG291)</f>
        <v>0</v>
      </c>
      <c r="AH291" s="365">
        <f>SUM(AR:SM!AH291)</f>
        <v>0</v>
      </c>
      <c r="AI291" s="365">
        <f>SUM(AR:SM!AI291)</f>
        <v>0</v>
      </c>
      <c r="AJ291" s="365">
        <f>SUM(AR:SM!AJ291)</f>
        <v>0</v>
      </c>
      <c r="AK291" s="365">
        <f>SUM(AR:SM!AK291)</f>
        <v>0</v>
      </c>
      <c r="AL291" s="365">
        <f>SUM(AR:SM!AL291)</f>
        <v>0</v>
      </c>
      <c r="AM291" s="365">
        <f>SUM(AR:SM!AM291)</f>
        <v>0</v>
      </c>
    </row>
    <row r="292" spans="2:49" ht="15" customHeight="1" x14ac:dyDescent="0.3">
      <c r="B292" s="359" t="s">
        <v>5163</v>
      </c>
      <c r="C292" s="360"/>
      <c r="D292" s="360"/>
      <c r="E292" s="360"/>
      <c r="F292" s="360"/>
      <c r="G292" s="360"/>
      <c r="H292" s="360"/>
      <c r="I292" s="360"/>
      <c r="J292" s="360"/>
      <c r="K292" s="360"/>
      <c r="L292" s="360"/>
      <c r="O292" s="368">
        <f>SUM(AR:SM!O292)</f>
        <v>0</v>
      </c>
      <c r="P292" s="368">
        <f>SUM(AR:SM!P292)</f>
        <v>0</v>
      </c>
      <c r="Q292" s="368">
        <f>SUM(AR:SM!Q292)</f>
        <v>0</v>
      </c>
      <c r="R292" s="368">
        <f>SUM(AR:SM!R292)</f>
        <v>0</v>
      </c>
      <c r="S292" s="368">
        <f>SUM(AR:SM!S292)</f>
        <v>0</v>
      </c>
      <c r="T292" s="368">
        <f>SUM(AR:SM!T292)</f>
        <v>0</v>
      </c>
      <c r="U292" s="368">
        <f>SUM(AR:SM!U292)</f>
        <v>0</v>
      </c>
      <c r="V292" s="368">
        <f>SUM(AR:SM!V292)</f>
        <v>0</v>
      </c>
      <c r="W292" s="368">
        <f>SUM(AR:SM!W292)</f>
        <v>0</v>
      </c>
      <c r="X292" s="368">
        <f>SUM(AR:SM!X292)</f>
        <v>0</v>
      </c>
      <c r="Y292" s="368">
        <f>SUM(AR:SM!Y292)</f>
        <v>0</v>
      </c>
      <c r="Z292" s="368">
        <f>SUM(AR:SM!Z292)</f>
        <v>0</v>
      </c>
      <c r="AA292" s="368">
        <f>SUM(AR:SM!AA292)</f>
        <v>0</v>
      </c>
      <c r="AB292" s="368">
        <f>SUM(AR:SM!AB292)</f>
        <v>0</v>
      </c>
      <c r="AC292" s="368">
        <f>SUM(AR:SM!AC292)</f>
        <v>0</v>
      </c>
      <c r="AD292" s="368">
        <f>SUM(AR:SM!AD292)</f>
        <v>0</v>
      </c>
      <c r="AE292" s="368">
        <f>SUM(AR:SM!AE292)</f>
        <v>0</v>
      </c>
      <c r="AF292" s="368">
        <f>SUM(AR:SM!AF292)</f>
        <v>0</v>
      </c>
      <c r="AG292" s="368">
        <f>SUM(AR:SM!AG292)</f>
        <v>0</v>
      </c>
      <c r="AH292" s="368">
        <f>SUM(AR:SM!AH292)</f>
        <v>0</v>
      </c>
      <c r="AI292" s="368">
        <f>SUM(AR:SM!AI292)</f>
        <v>0</v>
      </c>
      <c r="AJ292" s="368">
        <f>SUM(AR:SM!AJ292)</f>
        <v>0</v>
      </c>
      <c r="AK292" s="368">
        <f>SUM(AR:SM!AK292)</f>
        <v>0</v>
      </c>
      <c r="AL292" s="368">
        <f>SUM(AR:SM!AL292)</f>
        <v>0</v>
      </c>
      <c r="AM292" s="368">
        <f>SUM(AR:SM!AM292)</f>
        <v>0</v>
      </c>
    </row>
    <row r="293" spans="2:49" ht="15" customHeight="1" x14ac:dyDescent="0.3">
      <c r="B293" s="364" t="s">
        <v>5164</v>
      </c>
      <c r="C293" s="365"/>
      <c r="D293" s="365"/>
      <c r="E293" s="365"/>
      <c r="F293" s="365"/>
      <c r="G293" s="365"/>
      <c r="H293" s="365"/>
      <c r="I293" s="365"/>
      <c r="J293" s="365"/>
      <c r="K293" s="365"/>
      <c r="L293" s="365"/>
      <c r="O293" s="367">
        <f>SUM(AR:SM!O293)</f>
        <v>10817.764207774429</v>
      </c>
      <c r="P293" s="367">
        <f>SUM(AR:SM!P293)</f>
        <v>-11907248.136760205</v>
      </c>
      <c r="Q293" s="367">
        <f>SUM(AR:SM!Q293)</f>
        <v>-14747532.355951283</v>
      </c>
      <c r="R293" s="367">
        <f>SUM(AR:SM!R293)</f>
        <v>-17916590.775885534</v>
      </c>
      <c r="S293" s="367">
        <f>SUM(AR:SM!S293)</f>
        <v>-21319968.917904802</v>
      </c>
      <c r="T293" s="367">
        <f>SUM(AR:SM!T293)</f>
        <v>-24220919.642304309</v>
      </c>
      <c r="U293" s="367">
        <f>SUM(AR:SM!U293)</f>
        <v>-27411680.272284295</v>
      </c>
      <c r="V293" s="367">
        <f>SUM(AR:SM!V293)</f>
        <v>-30808212.273915607</v>
      </c>
      <c r="W293" s="367">
        <f>SUM(AR:SM!W293)</f>
        <v>-34477078.228638574</v>
      </c>
      <c r="X293" s="367">
        <f>SUM(AR:SM!X293)</f>
        <v>-38376817.549669497</v>
      </c>
      <c r="Y293" s="367">
        <f>SUM(AR:SM!Y293)</f>
        <v>-42507754.886596695</v>
      </c>
      <c r="Z293" s="367">
        <f>SUM(AR:SM!Z293)</f>
        <v>-46370106.321992099</v>
      </c>
      <c r="AA293" s="367">
        <f>SUM(AR:SM!AA293)</f>
        <v>-50459688.149028264</v>
      </c>
      <c r="AB293" s="367">
        <f>SUM(AR:SM!AB293)</f>
        <v>-54698351.79627201</v>
      </c>
      <c r="AC293" s="367">
        <f>SUM(AR:SM!AC293)</f>
        <v>-59276298.170295119</v>
      </c>
      <c r="AD293" s="367">
        <f>SUM(AR:SM!AD293)</f>
        <v>-64196775.524731144</v>
      </c>
      <c r="AE293" s="367">
        <f>SUM(AR:SM!AE293)</f>
        <v>-68815469.846469581</v>
      </c>
      <c r="AF293" s="367">
        <f>SUM(AR:SM!AF293)</f>
        <v>-73765850.838693291</v>
      </c>
      <c r="AG293" s="367">
        <f>SUM(AR:SM!AG293)</f>
        <v>-79125571.961785644</v>
      </c>
      <c r="AH293" s="367">
        <f>SUM(AR:SM!AH293)</f>
        <v>-84979893.071653068</v>
      </c>
      <c r="AI293" s="367">
        <f>SUM(AR:SM!AI293)</f>
        <v>-91258271.856523693</v>
      </c>
      <c r="AJ293" s="367">
        <f>SUM(AR:SM!AJ293)</f>
        <v>-97475113.346600294</v>
      </c>
      <c r="AK293" s="367">
        <f>SUM(AR:SM!AK293)</f>
        <v>-104151764.12990832</v>
      </c>
      <c r="AL293" s="367">
        <f>SUM(AR:SM!AL293)</f>
        <v>-111469234.87179869</v>
      </c>
      <c r="AM293" s="367">
        <f>SUM(AR:SM!AM293)</f>
        <v>-119690524.13211748</v>
      </c>
    </row>
    <row r="294" spans="2:49" ht="4.5" customHeight="1" x14ac:dyDescent="0.3"/>
    <row r="295" spans="2:49" ht="15" customHeight="1" x14ac:dyDescent="0.3">
      <c r="B295" s="324"/>
      <c r="C295" s="323" t="s">
        <v>5165</v>
      </c>
      <c r="D295" s="324"/>
      <c r="E295" s="324"/>
      <c r="F295" s="324"/>
      <c r="G295" s="324"/>
      <c r="H295" s="324"/>
      <c r="I295" s="324"/>
      <c r="J295" s="324"/>
      <c r="K295" s="324"/>
      <c r="L295" s="324"/>
      <c r="O295" s="369">
        <f>-O293</f>
        <v>-10817.764207774429</v>
      </c>
      <c r="P295" s="369">
        <f t="shared" ref="P295:AM295" si="84">-P293</f>
        <v>11907248.136760205</v>
      </c>
      <c r="Q295" s="369">
        <f t="shared" si="84"/>
        <v>14747532.355951283</v>
      </c>
      <c r="R295" s="369">
        <f t="shared" si="84"/>
        <v>17916590.775885534</v>
      </c>
      <c r="S295" s="369">
        <f t="shared" si="84"/>
        <v>21319968.917904802</v>
      </c>
      <c r="T295" s="369">
        <f t="shared" si="84"/>
        <v>24220919.642304309</v>
      </c>
      <c r="U295" s="369">
        <f t="shared" si="84"/>
        <v>27411680.272284295</v>
      </c>
      <c r="V295" s="369">
        <f t="shared" si="84"/>
        <v>30808212.273915607</v>
      </c>
      <c r="W295" s="369">
        <f t="shared" si="84"/>
        <v>34477078.228638574</v>
      </c>
      <c r="X295" s="369">
        <f t="shared" si="84"/>
        <v>38376817.549669497</v>
      </c>
      <c r="Y295" s="369">
        <f t="shared" si="84"/>
        <v>42507754.886596695</v>
      </c>
      <c r="Z295" s="369">
        <f t="shared" si="84"/>
        <v>46370106.321992099</v>
      </c>
      <c r="AA295" s="369">
        <f t="shared" si="84"/>
        <v>50459688.149028264</v>
      </c>
      <c r="AB295" s="369">
        <f t="shared" si="84"/>
        <v>54698351.79627201</v>
      </c>
      <c r="AC295" s="369">
        <f t="shared" si="84"/>
        <v>59276298.170295119</v>
      </c>
      <c r="AD295" s="369">
        <f t="shared" si="84"/>
        <v>64196775.524731144</v>
      </c>
      <c r="AE295" s="369">
        <f t="shared" si="84"/>
        <v>68815469.846469581</v>
      </c>
      <c r="AF295" s="369">
        <f t="shared" si="84"/>
        <v>73765850.838693291</v>
      </c>
      <c r="AG295" s="369">
        <f t="shared" si="84"/>
        <v>79125571.961785644</v>
      </c>
      <c r="AH295" s="369">
        <f t="shared" si="84"/>
        <v>84979893.071653068</v>
      </c>
      <c r="AI295" s="369">
        <f t="shared" si="84"/>
        <v>91258271.856523693</v>
      </c>
      <c r="AJ295" s="369">
        <f t="shared" si="84"/>
        <v>97475113.346600294</v>
      </c>
      <c r="AK295" s="369">
        <f t="shared" si="84"/>
        <v>104151764.12990832</v>
      </c>
      <c r="AL295" s="369">
        <f t="shared" si="84"/>
        <v>111469234.87179869</v>
      </c>
      <c r="AM295" s="369">
        <f t="shared" si="84"/>
        <v>119690524.13211748</v>
      </c>
    </row>
    <row r="296" spans="2:49" ht="12.75" customHeight="1" x14ac:dyDescent="0.3"/>
    <row r="297" spans="2:49" ht="15" customHeight="1" x14ac:dyDescent="0.3">
      <c r="B297" s="321" t="s">
        <v>5189</v>
      </c>
      <c r="C297" s="321"/>
      <c r="D297" s="321"/>
      <c r="E297" s="321"/>
      <c r="F297" s="321"/>
      <c r="G297" s="321"/>
      <c r="H297" s="321"/>
      <c r="I297" s="321"/>
      <c r="J297" s="321"/>
      <c r="K297" s="321"/>
      <c r="L297" s="321"/>
      <c r="M297" s="1"/>
      <c r="N297" s="1"/>
      <c r="O297" s="321"/>
      <c r="P297" s="321"/>
      <c r="Q297" s="321"/>
      <c r="R297" s="321"/>
      <c r="S297" s="321"/>
      <c r="T297" s="321"/>
      <c r="U297" s="321"/>
      <c r="V297" s="321"/>
      <c r="W297" s="321"/>
      <c r="X297" s="321"/>
      <c r="Y297" s="321"/>
      <c r="Z297" s="321"/>
      <c r="AA297" s="321"/>
      <c r="AB297" s="321"/>
      <c r="AC297" s="321"/>
      <c r="AD297" s="321"/>
      <c r="AE297" s="321"/>
      <c r="AF297" s="321"/>
      <c r="AG297" s="321"/>
      <c r="AH297" s="321"/>
      <c r="AI297" s="321"/>
      <c r="AJ297" s="321"/>
      <c r="AK297" s="321"/>
      <c r="AL297" s="321"/>
      <c r="AM297" s="321"/>
      <c r="AN297" s="5"/>
      <c r="AO297" s="9"/>
      <c r="AP297" s="9"/>
      <c r="AQ297" s="9"/>
      <c r="AR297" s="9"/>
      <c r="AS297" s="9"/>
      <c r="AT297" s="9"/>
      <c r="AU297" s="9"/>
      <c r="AV297" s="9"/>
      <c r="AW297" s="9"/>
    </row>
    <row r="298" spans="2:49" ht="1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5"/>
      <c r="AO298" s="1"/>
      <c r="AP298" s="1"/>
      <c r="AQ298" s="1"/>
      <c r="AR298" s="1"/>
      <c r="AS298" s="1"/>
      <c r="AT298" s="1"/>
      <c r="AU298" s="1"/>
      <c r="AV298" s="1"/>
      <c r="AW298" s="1"/>
    </row>
    <row r="299" spans="2:49" ht="15" customHeight="1" x14ac:dyDescent="0.3">
      <c r="B299" s="1"/>
      <c r="C299" s="376" t="s">
        <v>5190</v>
      </c>
      <c r="D299" s="377" t="s">
        <v>5191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</row>
    <row r="300" spans="2:49" ht="13.8" x14ac:dyDescent="0.3">
      <c r="B300" s="1"/>
      <c r="C300" s="110">
        <v>0</v>
      </c>
      <c r="D300" s="110">
        <v>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</row>
    <row r="301" spans="2:49" ht="8.25" customHeight="1" x14ac:dyDescent="0.3">
      <c r="B301" s="1"/>
      <c r="C301" s="370"/>
      <c r="D301" s="370"/>
      <c r="E301" s="60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</row>
    <row r="302" spans="2:49" ht="15" customHeight="1" x14ac:dyDescent="0.3">
      <c r="B302" s="1"/>
      <c r="C302" s="376" t="s">
        <v>5192</v>
      </c>
      <c r="D302" s="376" t="s">
        <v>5193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</row>
    <row r="303" spans="2:49" ht="15" customHeight="1" x14ac:dyDescent="0.3">
      <c r="B303" s="1"/>
      <c r="C303" s="371">
        <f>L29</f>
        <v>53113765.892321751</v>
      </c>
      <c r="D303" s="371">
        <f>L11</f>
        <v>94731767.834145293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5"/>
      <c r="AO303" s="1"/>
      <c r="AP303" s="1"/>
      <c r="AQ303" s="1"/>
      <c r="AR303" s="1"/>
      <c r="AS303" s="1"/>
      <c r="AT303" s="1"/>
      <c r="AU303" s="1"/>
      <c r="AV303" s="1"/>
      <c r="AW303" s="1"/>
    </row>
    <row r="304" spans="2:49" ht="9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5"/>
      <c r="AO304" s="1"/>
      <c r="AP304" s="1"/>
      <c r="AQ304" s="1"/>
      <c r="AR304" s="1"/>
      <c r="AS304" s="1"/>
      <c r="AT304" s="1"/>
      <c r="AU304" s="1"/>
      <c r="AV304" s="1"/>
      <c r="AW304" s="1"/>
    </row>
    <row r="305" spans="2:49" ht="15" customHeight="1" x14ac:dyDescent="0.3">
      <c r="B305" s="1"/>
      <c r="C305" s="376" t="s">
        <v>5194</v>
      </c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</row>
    <row r="306" spans="2:49" ht="15" customHeight="1" x14ac:dyDescent="0.3">
      <c r="B306" s="1"/>
      <c r="C306" s="379">
        <f>$L$157</f>
        <v>9.9320884002751519E-2</v>
      </c>
      <c r="D306" s="60"/>
      <c r="E306" s="60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49" ht="3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5"/>
      <c r="AO307" s="1"/>
      <c r="AP307" s="1"/>
      <c r="AQ307" s="1"/>
      <c r="AR307" s="1"/>
      <c r="AS307" s="1"/>
      <c r="AT307" s="1"/>
      <c r="AU307" s="1"/>
      <c r="AV307" s="1"/>
      <c r="AW307" s="1"/>
    </row>
    <row r="308" spans="2:49" ht="15" customHeight="1" x14ac:dyDescent="0.3">
      <c r="B308" s="234"/>
      <c r="C308" s="378"/>
      <c r="D308" s="624" t="s">
        <v>104</v>
      </c>
      <c r="E308" s="624"/>
      <c r="F308" s="624"/>
      <c r="G308" s="624"/>
      <c r="H308" s="624"/>
      <c r="I308" s="624"/>
      <c r="J308" s="624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49" ht="15" customHeight="1" x14ac:dyDescent="0.3">
      <c r="B309" s="625" t="s">
        <v>5195</v>
      </c>
      <c r="C309" s="375">
        <f>$C$306</f>
        <v>9.9320884002751519E-2</v>
      </c>
      <c r="D309" s="372">
        <v>-15</v>
      </c>
      <c r="E309" s="372">
        <v>-10</v>
      </c>
      <c r="F309" s="372">
        <v>-5</v>
      </c>
      <c r="G309" s="372">
        <v>0</v>
      </c>
      <c r="H309" s="372">
        <v>5</v>
      </c>
      <c r="I309" s="372">
        <v>10</v>
      </c>
      <c r="J309" s="372">
        <v>15</v>
      </c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49" ht="15" customHeight="1" x14ac:dyDescent="0.3">
      <c r="B310" s="625"/>
      <c r="C310" s="373">
        <v>-15</v>
      </c>
      <c r="D310" s="374">
        <v>0.1938</v>
      </c>
      <c r="E310" s="374">
        <v>0.1762</v>
      </c>
      <c r="F310" s="374">
        <v>0.1603</v>
      </c>
      <c r="G310" s="374">
        <v>0.14560000000000001</v>
      </c>
      <c r="H310" s="374">
        <v>0.1321</v>
      </c>
      <c r="I310" s="374">
        <v>0.1195</v>
      </c>
      <c r="J310" s="374">
        <v>0.10780000000000001</v>
      </c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49" ht="15" customHeight="1" x14ac:dyDescent="0.3">
      <c r="B311" s="625"/>
      <c r="C311" s="373">
        <v>-10</v>
      </c>
      <c r="D311" s="374">
        <v>0.17630000000000001</v>
      </c>
      <c r="E311" s="374">
        <v>0.15959999999999999</v>
      </c>
      <c r="F311" s="374">
        <v>0.1444</v>
      </c>
      <c r="G311" s="374">
        <v>0.1303</v>
      </c>
      <c r="H311" s="374">
        <v>0.1173</v>
      </c>
      <c r="I311" s="374">
        <v>0.1052</v>
      </c>
      <c r="J311" s="374">
        <v>9.3799999999999994E-2</v>
      </c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49" ht="15" customHeight="1" x14ac:dyDescent="0.3">
      <c r="B312" s="625"/>
      <c r="C312" s="373">
        <v>-5</v>
      </c>
      <c r="D312" s="374">
        <v>0.15890000000000001</v>
      </c>
      <c r="E312" s="374">
        <v>0.14299999999999999</v>
      </c>
      <c r="F312" s="374">
        <v>0.12839999999999999</v>
      </c>
      <c r="G312" s="374">
        <v>0.1149</v>
      </c>
      <c r="H312" s="374">
        <v>0.1024</v>
      </c>
      <c r="I312" s="374">
        <v>9.06E-2</v>
      </c>
      <c r="J312" s="374">
        <v>7.9600000000000004E-2</v>
      </c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5"/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49" ht="15" customHeight="1" x14ac:dyDescent="0.3">
      <c r="B313" s="625"/>
      <c r="C313" s="373">
        <v>0</v>
      </c>
      <c r="D313" s="374">
        <v>0.14149999999999999</v>
      </c>
      <c r="E313" s="374">
        <v>0.1263</v>
      </c>
      <c r="F313" s="374">
        <v>0.1123</v>
      </c>
      <c r="G313" s="374">
        <v>9.9320883986207198E-2</v>
      </c>
      <c r="H313" s="374">
        <v>8.72E-2</v>
      </c>
      <c r="I313" s="374">
        <v>7.5800000000000006E-2</v>
      </c>
      <c r="J313" s="374">
        <v>6.5129999999999993E-2</v>
      </c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5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49" ht="15" customHeight="1" x14ac:dyDescent="0.3">
      <c r="B314" s="625"/>
      <c r="C314" s="373">
        <v>5</v>
      </c>
      <c r="D314" s="374">
        <v>0.124</v>
      </c>
      <c r="E314" s="374">
        <v>0.1095</v>
      </c>
      <c r="F314" s="374">
        <v>9.6000000000000002E-2</v>
      </c>
      <c r="G314" s="374">
        <v>8.3500000000000005E-2</v>
      </c>
      <c r="H314" s="374">
        <v>7.17E-2</v>
      </c>
      <c r="I314" s="374">
        <v>6.0600000000000001E-2</v>
      </c>
      <c r="J314" s="374">
        <v>5.0099999999999999E-2</v>
      </c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5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49" ht="15" customHeight="1" x14ac:dyDescent="0.3">
      <c r="B315" s="625"/>
      <c r="C315" s="373">
        <v>10</v>
      </c>
      <c r="D315" s="374">
        <v>0.10630000000000001</v>
      </c>
      <c r="E315" s="374">
        <v>9.2399999999999996E-2</v>
      </c>
      <c r="F315" s="374">
        <v>7.9399999999999998E-2</v>
      </c>
      <c r="G315" s="374">
        <v>6.7199999999999996E-2</v>
      </c>
      <c r="H315" s="374">
        <v>5.5800000000000002E-2</v>
      </c>
      <c r="I315" s="374">
        <v>4.4900000000000002E-2</v>
      </c>
      <c r="J315" s="374">
        <v>3.4599999999999999E-2</v>
      </c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5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49" ht="15" customHeight="1" x14ac:dyDescent="0.3">
      <c r="B316" s="625"/>
      <c r="C316" s="373">
        <v>15</v>
      </c>
      <c r="D316" s="374">
        <v>8.8400000000000006E-2</v>
      </c>
      <c r="E316" s="374">
        <v>7.4899999999999994E-2</v>
      </c>
      <c r="F316" s="374">
        <v>6.2300000000000001E-2</v>
      </c>
      <c r="G316" s="374">
        <v>5.0500000000000003E-2</v>
      </c>
      <c r="H316" s="374">
        <v>3.9300000000000002E-2</v>
      </c>
      <c r="I316" s="374">
        <v>2.86E-2</v>
      </c>
      <c r="J316" s="374">
        <v>1.84E-2</v>
      </c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5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49" ht="1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5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49" ht="1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5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49" ht="15" customHeight="1" x14ac:dyDescent="0.3">
      <c r="B319" s="321" t="s">
        <v>5196</v>
      </c>
      <c r="C319" s="321"/>
      <c r="D319" s="321"/>
      <c r="E319" s="321"/>
      <c r="F319" s="321"/>
      <c r="G319" s="321"/>
      <c r="H319" s="321"/>
      <c r="I319" s="321"/>
      <c r="J319" s="321"/>
      <c r="K319" s="321"/>
      <c r="L319" s="321"/>
      <c r="M319" s="1"/>
      <c r="N319" s="1"/>
      <c r="O319" s="321"/>
      <c r="P319" s="321"/>
      <c r="Q319" s="321"/>
      <c r="R319" s="321"/>
      <c r="S319" s="321"/>
      <c r="T319" s="321"/>
      <c r="U319" s="321"/>
      <c r="V319" s="321"/>
      <c r="W319" s="321"/>
      <c r="X319" s="321"/>
      <c r="Y319" s="321"/>
      <c r="Z319" s="321"/>
      <c r="AA319" s="321"/>
      <c r="AB319" s="321"/>
      <c r="AC319" s="321"/>
      <c r="AD319" s="321"/>
      <c r="AE319" s="321"/>
      <c r="AF319" s="321"/>
      <c r="AG319" s="321"/>
      <c r="AH319" s="321"/>
      <c r="AI319" s="321"/>
      <c r="AJ319" s="321"/>
      <c r="AK319" s="321"/>
      <c r="AL319" s="321"/>
      <c r="AM319" s="321"/>
      <c r="AN319" s="5"/>
      <c r="AO319" s="9"/>
      <c r="AP319" s="9"/>
      <c r="AQ319" s="9"/>
      <c r="AR319" s="9"/>
      <c r="AS319" s="9"/>
      <c r="AT319" s="9"/>
      <c r="AU319" s="9"/>
      <c r="AV319" s="9"/>
      <c r="AW319" s="9"/>
    </row>
    <row r="320" spans="2:49" ht="15" customHeight="1" x14ac:dyDescent="0.3">
      <c r="B320" s="1"/>
      <c r="C320" s="60"/>
      <c r="D320" s="60"/>
      <c r="E320" s="60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 t="s">
        <v>5224</v>
      </c>
      <c r="D321" s="435">
        <f>NPV(WACC!$D$35,Consolidado!O330:AM330)</f>
        <v>76715925.180844709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7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1"/>
      <c r="C322" s="1" t="s">
        <v>5225</v>
      </c>
      <c r="D322" s="435">
        <f>NPV(WACC!$D$35,O333:AM333)</f>
        <v>72678715.952731371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75"/>
      <c r="AO322" s="1"/>
      <c r="AP322" s="1"/>
      <c r="AQ322" s="1"/>
      <c r="AR322" s="1"/>
      <c r="AS322" s="1"/>
      <c r="AT322" s="1"/>
      <c r="AU322" s="1"/>
      <c r="AV322" s="1"/>
      <c r="AW322" s="1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7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436" t="s">
        <v>5226</v>
      </c>
      <c r="D324" s="437">
        <f>1-(D322/D321)</f>
        <v>5.2625438832892946E-2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7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5" customHeight="1" x14ac:dyDescent="0.3">
      <c r="B325" s="1"/>
      <c r="C325" s="60"/>
      <c r="D325" s="60"/>
      <c r="E325" s="60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7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15" customHeight="1" x14ac:dyDescent="0.3">
      <c r="B326" s="438"/>
      <c r="C326" s="439" t="s">
        <v>5227</v>
      </c>
      <c r="D326" s="440"/>
      <c r="E326" s="440"/>
      <c r="F326" s="440"/>
      <c r="G326" s="440"/>
      <c r="H326" s="440"/>
      <c r="I326" s="440"/>
      <c r="J326" s="440"/>
      <c r="K326" s="440"/>
      <c r="L326" s="440"/>
      <c r="M326" s="1"/>
      <c r="N326" s="1"/>
      <c r="O326" s="438"/>
      <c r="P326" s="438"/>
      <c r="Q326" s="438"/>
      <c r="R326" s="438"/>
      <c r="S326" s="438"/>
      <c r="T326" s="438"/>
      <c r="U326" s="438"/>
      <c r="V326" s="438"/>
      <c r="W326" s="438"/>
      <c r="X326" s="438"/>
      <c r="Y326" s="438"/>
      <c r="Z326" s="438"/>
      <c r="AA326" s="438"/>
      <c r="AB326" s="438"/>
      <c r="AC326" s="438"/>
      <c r="AD326" s="438"/>
      <c r="AE326" s="438"/>
      <c r="AF326" s="438"/>
      <c r="AG326" s="438"/>
      <c r="AH326" s="438"/>
      <c r="AI326" s="438"/>
      <c r="AJ326" s="438"/>
      <c r="AK326" s="438"/>
      <c r="AL326" s="438"/>
      <c r="AM326" s="438"/>
      <c r="AN326" s="17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234" t="s">
        <v>5228</v>
      </c>
      <c r="D327" s="1"/>
      <c r="E327" s="441">
        <v>0.25840000000000002</v>
      </c>
      <c r="F327" s="1"/>
      <c r="G327" s="1"/>
      <c r="H327" s="1"/>
      <c r="I327" s="1"/>
      <c r="J327" s="1"/>
      <c r="K327" s="1"/>
      <c r="L327" s="1"/>
      <c r="M327" s="1"/>
      <c r="N327" s="1"/>
      <c r="O327" s="195">
        <f t="shared" ref="O327:AM327" si="85">(O29)*(1+$E$327)</f>
        <v>21111514.220437199</v>
      </c>
      <c r="P327" s="195">
        <f t="shared" si="85"/>
        <v>0</v>
      </c>
      <c r="Q327" s="195">
        <f t="shared" si="85"/>
        <v>0</v>
      </c>
      <c r="R327" s="195">
        <f t="shared" si="85"/>
        <v>0</v>
      </c>
      <c r="S327" s="195">
        <f t="shared" si="85"/>
        <v>9243688.9685711991</v>
      </c>
      <c r="T327" s="195">
        <f t="shared" si="85"/>
        <v>0</v>
      </c>
      <c r="U327" s="195">
        <f t="shared" si="85"/>
        <v>0</v>
      </c>
      <c r="V327" s="195">
        <f t="shared" si="85"/>
        <v>841839.51165599981</v>
      </c>
      <c r="W327" s="195">
        <f t="shared" si="85"/>
        <v>1229761.1188719997</v>
      </c>
      <c r="X327" s="195">
        <f t="shared" si="85"/>
        <v>0</v>
      </c>
      <c r="Y327" s="195">
        <f t="shared" si="85"/>
        <v>9179852.6016911976</v>
      </c>
      <c r="Z327" s="195">
        <f t="shared" si="85"/>
        <v>0</v>
      </c>
      <c r="AA327" s="195">
        <f t="shared" si="85"/>
        <v>3832721.232103697</v>
      </c>
      <c r="AB327" s="195">
        <f t="shared" si="85"/>
        <v>0</v>
      </c>
      <c r="AC327" s="195">
        <f t="shared" si="85"/>
        <v>0</v>
      </c>
      <c r="AD327" s="195">
        <f t="shared" si="85"/>
        <v>10020775.746467197</v>
      </c>
      <c r="AE327" s="195">
        <f t="shared" si="85"/>
        <v>185454.04477600002</v>
      </c>
      <c r="AF327" s="195">
        <f t="shared" si="85"/>
        <v>1045223.4409759997</v>
      </c>
      <c r="AG327" s="195">
        <f t="shared" si="85"/>
        <v>0</v>
      </c>
      <c r="AH327" s="195">
        <f t="shared" si="85"/>
        <v>0</v>
      </c>
      <c r="AI327" s="195">
        <f t="shared" si="85"/>
        <v>9242772.6016911995</v>
      </c>
      <c r="AJ327" s="195">
        <f t="shared" si="85"/>
        <v>0</v>
      </c>
      <c r="AK327" s="195">
        <f t="shared" si="85"/>
        <v>841839.51165599981</v>
      </c>
      <c r="AL327" s="195">
        <f t="shared" si="85"/>
        <v>0</v>
      </c>
      <c r="AM327" s="195">
        <f t="shared" si="85"/>
        <v>62920</v>
      </c>
      <c r="AN327" s="17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234" t="s">
        <v>161</v>
      </c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95">
        <f t="shared" ref="O328:AM328" si="86">(O11)*(1+$E$327)</f>
        <v>3073707.2958028018</v>
      </c>
      <c r="P328" s="195">
        <f t="shared" si="86"/>
        <v>4822456.1352368211</v>
      </c>
      <c r="Q328" s="195">
        <f t="shared" si="86"/>
        <v>4941878.353749739</v>
      </c>
      <c r="R328" s="195">
        <f t="shared" si="86"/>
        <v>4819235.0754466588</v>
      </c>
      <c r="S328" s="195">
        <f t="shared" si="86"/>
        <v>4844364.2493995782</v>
      </c>
      <c r="T328" s="195">
        <f t="shared" si="86"/>
        <v>4910307.0602164976</v>
      </c>
      <c r="U328" s="195">
        <f t="shared" si="86"/>
        <v>4841143.1896094177</v>
      </c>
      <c r="V328" s="195">
        <f t="shared" si="86"/>
        <v>4907086.0004263371</v>
      </c>
      <c r="W328" s="195">
        <f t="shared" si="86"/>
        <v>4837922.1298192563</v>
      </c>
      <c r="X328" s="195">
        <f t="shared" si="86"/>
        <v>4809571.8960761772</v>
      </c>
      <c r="Y328" s="195">
        <f t="shared" si="86"/>
        <v>4928994.114589096</v>
      </c>
      <c r="Z328" s="195">
        <f t="shared" si="86"/>
        <v>4806350.8362860149</v>
      </c>
      <c r="AA328" s="195">
        <f t="shared" si="86"/>
        <v>4925773.0547989346</v>
      </c>
      <c r="AB328" s="195">
        <f t="shared" si="86"/>
        <v>4803129.7764958534</v>
      </c>
      <c r="AC328" s="195">
        <f t="shared" si="86"/>
        <v>4828258.9504487738</v>
      </c>
      <c r="AD328" s="195">
        <f t="shared" si="86"/>
        <v>4894201.7612656923</v>
      </c>
      <c r="AE328" s="195">
        <f t="shared" si="86"/>
        <v>4825037.8906586124</v>
      </c>
      <c r="AF328" s="195">
        <f t="shared" si="86"/>
        <v>4890980.7014755327</v>
      </c>
      <c r="AG328" s="195">
        <f t="shared" si="86"/>
        <v>4821816.8308684519</v>
      </c>
      <c r="AH328" s="195">
        <f t="shared" si="86"/>
        <v>4793466.5971253719</v>
      </c>
      <c r="AI328" s="195">
        <f t="shared" si="86"/>
        <v>4912888.8156382907</v>
      </c>
      <c r="AJ328" s="195">
        <f t="shared" si="86"/>
        <v>4790245.5373352105</v>
      </c>
      <c r="AK328" s="195">
        <f t="shared" si="86"/>
        <v>4909667.7558481302</v>
      </c>
      <c r="AL328" s="195">
        <f t="shared" si="86"/>
        <v>4787024.47754505</v>
      </c>
      <c r="AM328" s="195">
        <f t="shared" si="86"/>
        <v>4484948.1563261477</v>
      </c>
      <c r="AN328" s="17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15" customHeight="1" x14ac:dyDescent="0.3">
      <c r="B329" s="1"/>
      <c r="C329" s="256" t="s">
        <v>5154</v>
      </c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95">
        <f t="shared" ref="O329:AM329" si="87">-O165</f>
        <v>0</v>
      </c>
      <c r="P329" s="195">
        <f t="shared" si="87"/>
        <v>0</v>
      </c>
      <c r="Q329" s="195">
        <f t="shared" si="87"/>
        <v>0</v>
      </c>
      <c r="R329" s="195">
        <f t="shared" si="87"/>
        <v>0</v>
      </c>
      <c r="S329" s="195">
        <f t="shared" si="87"/>
        <v>0</v>
      </c>
      <c r="T329" s="195">
        <f t="shared" si="87"/>
        <v>0</v>
      </c>
      <c r="U329" s="195">
        <f t="shared" si="87"/>
        <v>0</v>
      </c>
      <c r="V329" s="195">
        <f t="shared" si="87"/>
        <v>0</v>
      </c>
      <c r="W329" s="195">
        <f t="shared" si="87"/>
        <v>0</v>
      </c>
      <c r="X329" s="195">
        <f t="shared" si="87"/>
        <v>0</v>
      </c>
      <c r="Y329" s="195">
        <f t="shared" si="87"/>
        <v>0</v>
      </c>
      <c r="Z329" s="195">
        <f t="shared" si="87"/>
        <v>0</v>
      </c>
      <c r="AA329" s="195">
        <f t="shared" si="87"/>
        <v>0</v>
      </c>
      <c r="AB329" s="195">
        <f t="shared" si="87"/>
        <v>0</v>
      </c>
      <c r="AC329" s="195">
        <f t="shared" si="87"/>
        <v>0</v>
      </c>
      <c r="AD329" s="195">
        <f t="shared" si="87"/>
        <v>0</v>
      </c>
      <c r="AE329" s="195">
        <f t="shared" si="87"/>
        <v>0</v>
      </c>
      <c r="AF329" s="195">
        <f t="shared" si="87"/>
        <v>0</v>
      </c>
      <c r="AG329" s="195">
        <f t="shared" si="87"/>
        <v>0</v>
      </c>
      <c r="AH329" s="195">
        <f t="shared" si="87"/>
        <v>0</v>
      </c>
      <c r="AI329" s="195">
        <f t="shared" si="87"/>
        <v>0</v>
      </c>
      <c r="AJ329" s="195">
        <f t="shared" si="87"/>
        <v>0</v>
      </c>
      <c r="AK329" s="195">
        <f t="shared" si="87"/>
        <v>0</v>
      </c>
      <c r="AL329" s="195">
        <f t="shared" si="87"/>
        <v>0</v>
      </c>
      <c r="AM329" s="195">
        <f t="shared" si="87"/>
        <v>0</v>
      </c>
      <c r="AN329" s="17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234" t="s">
        <v>129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95">
        <f t="shared" ref="O330:AM330" si="88">SUM(O327:O329)</f>
        <v>24185221.516240001</v>
      </c>
      <c r="P330" s="195">
        <f t="shared" si="88"/>
        <v>4822456.1352368211</v>
      </c>
      <c r="Q330" s="195">
        <f t="shared" si="88"/>
        <v>4941878.353749739</v>
      </c>
      <c r="R330" s="195">
        <f t="shared" si="88"/>
        <v>4819235.0754466588</v>
      </c>
      <c r="S330" s="195">
        <f t="shared" si="88"/>
        <v>14088053.217970777</v>
      </c>
      <c r="T330" s="195">
        <f t="shared" si="88"/>
        <v>4910307.0602164976</v>
      </c>
      <c r="U330" s="195">
        <f t="shared" si="88"/>
        <v>4841143.1896094177</v>
      </c>
      <c r="V330" s="195">
        <f t="shared" si="88"/>
        <v>5748925.5120823365</v>
      </c>
      <c r="W330" s="195">
        <f t="shared" si="88"/>
        <v>6067683.2486912562</v>
      </c>
      <c r="X330" s="195">
        <f t="shared" si="88"/>
        <v>4809571.8960761772</v>
      </c>
      <c r="Y330" s="195">
        <f t="shared" si="88"/>
        <v>14108846.716280293</v>
      </c>
      <c r="Z330" s="195">
        <f t="shared" si="88"/>
        <v>4806350.8362860149</v>
      </c>
      <c r="AA330" s="195">
        <f t="shared" si="88"/>
        <v>8758494.2869026326</v>
      </c>
      <c r="AB330" s="195">
        <f t="shared" si="88"/>
        <v>4803129.7764958534</v>
      </c>
      <c r="AC330" s="195">
        <f t="shared" si="88"/>
        <v>4828258.9504487738</v>
      </c>
      <c r="AD330" s="195">
        <f t="shared" si="88"/>
        <v>14914977.507732891</v>
      </c>
      <c r="AE330" s="195">
        <f t="shared" si="88"/>
        <v>5010491.9354346124</v>
      </c>
      <c r="AF330" s="195">
        <f t="shared" si="88"/>
        <v>5936204.1424515322</v>
      </c>
      <c r="AG330" s="195">
        <f t="shared" si="88"/>
        <v>4821816.8308684519</v>
      </c>
      <c r="AH330" s="195">
        <f t="shared" si="88"/>
        <v>4793466.5971253719</v>
      </c>
      <c r="AI330" s="195">
        <f t="shared" si="88"/>
        <v>14155661.41732949</v>
      </c>
      <c r="AJ330" s="195">
        <f t="shared" si="88"/>
        <v>4790245.5373352105</v>
      </c>
      <c r="AK330" s="195">
        <f t="shared" si="88"/>
        <v>5751507.2675041296</v>
      </c>
      <c r="AL330" s="195">
        <f t="shared" si="88"/>
        <v>4787024.47754505</v>
      </c>
      <c r="AM330" s="195">
        <f t="shared" si="88"/>
        <v>4547868.1563261477</v>
      </c>
      <c r="AN330" s="17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60"/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7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15" customHeight="1" x14ac:dyDescent="0.3">
      <c r="B332" s="438"/>
      <c r="C332" s="440" t="s">
        <v>5229</v>
      </c>
      <c r="D332" s="438"/>
      <c r="E332" s="438"/>
      <c r="F332" s="438"/>
      <c r="G332" s="438"/>
      <c r="H332" s="438"/>
      <c r="I332" s="438"/>
      <c r="J332" s="438"/>
      <c r="K332" s="438"/>
      <c r="L332" s="438"/>
      <c r="M332" s="1"/>
      <c r="N332" s="1"/>
      <c r="O332" s="438"/>
      <c r="P332" s="438"/>
      <c r="Q332" s="438"/>
      <c r="R332" s="438"/>
      <c r="S332" s="438"/>
      <c r="T332" s="438"/>
      <c r="U332" s="438"/>
      <c r="V332" s="438"/>
      <c r="W332" s="438"/>
      <c r="X332" s="438"/>
      <c r="Y332" s="438"/>
      <c r="Z332" s="438"/>
      <c r="AA332" s="438"/>
      <c r="AB332" s="438"/>
      <c r="AC332" s="438"/>
      <c r="AD332" s="438"/>
      <c r="AE332" s="438"/>
      <c r="AF332" s="438"/>
      <c r="AG332" s="438"/>
      <c r="AH332" s="438"/>
      <c r="AI332" s="438"/>
      <c r="AJ332" s="438"/>
      <c r="AK332" s="438"/>
      <c r="AL332" s="438"/>
      <c r="AM332" s="438"/>
      <c r="AN332" s="17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1"/>
      <c r="C333" s="1" t="s">
        <v>5230</v>
      </c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95">
        <f>O75</f>
        <v>2844052.2269557137</v>
      </c>
      <c r="P333" s="195">
        <f t="shared" ref="P333:AM333" si="89">P75</f>
        <v>8532156.6808671486</v>
      </c>
      <c r="Q333" s="195">
        <f t="shared" si="89"/>
        <v>8532156.6808671486</v>
      </c>
      <c r="R333" s="195">
        <f t="shared" si="89"/>
        <v>8532156.6808671486</v>
      </c>
      <c r="S333" s="195">
        <f t="shared" si="89"/>
        <v>8532156.6808671486</v>
      </c>
      <c r="T333" s="195">
        <f t="shared" si="89"/>
        <v>8532156.6808671486</v>
      </c>
      <c r="U333" s="195">
        <f t="shared" si="89"/>
        <v>8532156.6808671486</v>
      </c>
      <c r="V333" s="195">
        <f t="shared" si="89"/>
        <v>8532156.6808671486</v>
      </c>
      <c r="W333" s="195">
        <f t="shared" si="89"/>
        <v>8532156.6808671486</v>
      </c>
      <c r="X333" s="195">
        <f t="shared" si="89"/>
        <v>8532156.6808671486</v>
      </c>
      <c r="Y333" s="195">
        <f t="shared" si="89"/>
        <v>8532156.6808671486</v>
      </c>
      <c r="Z333" s="195">
        <f t="shared" si="89"/>
        <v>8532156.6808671486</v>
      </c>
      <c r="AA333" s="195">
        <f t="shared" si="89"/>
        <v>8532156.6808671486</v>
      </c>
      <c r="AB333" s="195">
        <f t="shared" si="89"/>
        <v>8532156.6808671486</v>
      </c>
      <c r="AC333" s="195">
        <f t="shared" si="89"/>
        <v>8532156.6808671486</v>
      </c>
      <c r="AD333" s="195">
        <f t="shared" si="89"/>
        <v>8532156.6808671486</v>
      </c>
      <c r="AE333" s="195">
        <f t="shared" si="89"/>
        <v>8532156.6808671486</v>
      </c>
      <c r="AF333" s="195">
        <f t="shared" si="89"/>
        <v>8532156.6808671486</v>
      </c>
      <c r="AG333" s="195">
        <f t="shared" si="89"/>
        <v>8532156.6808671486</v>
      </c>
      <c r="AH333" s="195">
        <f t="shared" si="89"/>
        <v>8532156.6808671486</v>
      </c>
      <c r="AI333" s="195">
        <f t="shared" si="89"/>
        <v>8532156.6808671486</v>
      </c>
      <c r="AJ333" s="195">
        <f t="shared" si="89"/>
        <v>8532156.6808671486</v>
      </c>
      <c r="AK333" s="195">
        <f t="shared" si="89"/>
        <v>8532156.6808671486</v>
      </c>
      <c r="AL333" s="195">
        <f t="shared" si="89"/>
        <v>8532156.6808671486</v>
      </c>
      <c r="AM333" s="195">
        <f t="shared" si="89"/>
        <v>8532156.6808671486</v>
      </c>
      <c r="AN333" s="17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1"/>
      <c r="C335" s="60"/>
      <c r="D335" s="60"/>
      <c r="E335" s="60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1"/>
      <c r="C340" s="60"/>
      <c r="D340" s="60"/>
      <c r="E340" s="60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5"/>
      <c r="AO344" s="1"/>
      <c r="AP344" s="1"/>
      <c r="AQ344" s="1"/>
      <c r="AR344" s="1"/>
      <c r="AS344" s="1"/>
      <c r="AT344" s="1"/>
      <c r="AU344" s="1"/>
      <c r="AV344" s="1"/>
      <c r="AW344" s="1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60"/>
      <c r="D355" s="60"/>
      <c r="E355" s="60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</sheetData>
  <mergeCells count="2">
    <mergeCell ref="D308:J308"/>
    <mergeCell ref="B309:B316"/>
  </mergeCells>
  <conditionalFormatting sqref="D310:J316 L31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disablePrompts="1" count="3">
    <dataValidation type="list" allowBlank="1" showInputMessage="1" showErrorMessage="1" sqref="C300:D300" xr:uid="{0FF79C90-31B1-4EA8-A7E5-B9E78842D298}">
      <formula1>"-15,-10,-5,0,5,10,15"</formula1>
    </dataValidation>
    <dataValidation type="list" allowBlank="1" showErrorMessage="1" sqref="G114" xr:uid="{99B5E484-7FE6-4B66-B874-1CDC1E6BAD11}">
      <formula1>"Regulatório,Gerencial"</formula1>
    </dataValidation>
    <dataValidation type="list" allowBlank="1" showErrorMessage="1" sqref="F83" xr:uid="{1556A803-7E27-4106-B61E-B0D1601F9CFE}">
      <formula1>"Real,Nominal"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L69 P85:AM92 K102:L105 K124:L12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13898-CEA5-41C7-A6AB-37F8A18B1F27}">
  <dimension ref="A1:XFD488"/>
  <sheetViews>
    <sheetView showGridLines="0" zoomScale="85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38" width="13" customWidth="1"/>
    <col min="39" max="39" width="13.88671875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7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(SUM(O11:AM11))*(1+$D$325/100)</f>
        <v>6656831.4832519218</v>
      </c>
      <c r="M11" s="1"/>
      <c r="N11" s="1"/>
      <c r="O11" s="13">
        <f>(O12+O13+O266)*(1+$D$325/100)</f>
        <v>171209.38183738224</v>
      </c>
      <c r="P11" s="13">
        <f t="shared" ref="P11:AM11" si="4">(P12+P13+P266)*(1+$D$325/100)</f>
        <v>268471.51080460433</v>
      </c>
      <c r="Q11" s="13">
        <f t="shared" si="4"/>
        <v>277328.55684445059</v>
      </c>
      <c r="R11" s="13">
        <f t="shared" si="4"/>
        <v>268294.81776544917</v>
      </c>
      <c r="S11" s="13">
        <f t="shared" si="4"/>
        <v>269686.00380529545</v>
      </c>
      <c r="T11" s="13">
        <f t="shared" si="4"/>
        <v>275583.98472629394</v>
      </c>
      <c r="U11" s="13">
        <f t="shared" si="4"/>
        <v>269509.31076614029</v>
      </c>
      <c r="V11" s="13">
        <f t="shared" si="4"/>
        <v>275407.29168713879</v>
      </c>
      <c r="W11" s="13">
        <f t="shared" si="4"/>
        <v>269332.61772698513</v>
      </c>
      <c r="X11" s="13">
        <f t="shared" si="4"/>
        <v>267764.73864798364</v>
      </c>
      <c r="Y11" s="13">
        <f t="shared" si="4"/>
        <v>276621.78468782996</v>
      </c>
      <c r="Z11" s="13">
        <f t="shared" si="4"/>
        <v>267588.04560882848</v>
      </c>
      <c r="AA11" s="13">
        <f t="shared" si="4"/>
        <v>276445.0916486748</v>
      </c>
      <c r="AB11" s="13">
        <f t="shared" si="4"/>
        <v>267411.35256967333</v>
      </c>
      <c r="AC11" s="13">
        <f t="shared" si="4"/>
        <v>268802.53860951966</v>
      </c>
      <c r="AD11" s="13">
        <f t="shared" si="4"/>
        <v>274700.51953051816</v>
      </c>
      <c r="AE11" s="13">
        <f t="shared" si="4"/>
        <v>268625.84557036444</v>
      </c>
      <c r="AF11" s="13">
        <f t="shared" si="4"/>
        <v>274523.826491363</v>
      </c>
      <c r="AG11" s="13">
        <f t="shared" si="4"/>
        <v>268449.15253120929</v>
      </c>
      <c r="AH11" s="13">
        <f t="shared" si="4"/>
        <v>266881.27345220785</v>
      </c>
      <c r="AI11" s="13">
        <f t="shared" si="4"/>
        <v>275738.31949205411</v>
      </c>
      <c r="AJ11" s="13">
        <f t="shared" si="4"/>
        <v>266704.5804130527</v>
      </c>
      <c r="AK11" s="13">
        <f t="shared" si="4"/>
        <v>275561.62645289896</v>
      </c>
      <c r="AL11" s="13">
        <f t="shared" si="4"/>
        <v>266527.88737389754</v>
      </c>
      <c r="AM11" s="13">
        <f t="shared" si="4"/>
        <v>249661.42420810624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3134074.1304756301</v>
      </c>
      <c r="M12" s="1"/>
      <c r="N12" s="1"/>
      <c r="O12" s="415">
        <f>O14</f>
        <v>67458.102142039977</v>
      </c>
      <c r="P12" s="415">
        <f t="shared" ref="P12:AM12" si="5">P14</f>
        <v>125339.60025122525</v>
      </c>
      <c r="Q12" s="415">
        <f t="shared" si="5"/>
        <v>132805.46025122525</v>
      </c>
      <c r="R12" s="415">
        <f t="shared" si="5"/>
        <v>125339.60025122525</v>
      </c>
      <c r="S12" s="415">
        <f t="shared" si="5"/>
        <v>125339.60025122525</v>
      </c>
      <c r="T12" s="415">
        <f t="shared" si="5"/>
        <v>132805.46025122525</v>
      </c>
      <c r="U12" s="415">
        <f t="shared" si="5"/>
        <v>125339.60025122525</v>
      </c>
      <c r="V12" s="415">
        <f t="shared" si="5"/>
        <v>132805.46025122525</v>
      </c>
      <c r="W12" s="415">
        <f t="shared" si="5"/>
        <v>125339.60025122525</v>
      </c>
      <c r="X12" s="415">
        <f t="shared" si="5"/>
        <v>125339.60025122525</v>
      </c>
      <c r="Y12" s="415">
        <f t="shared" si="5"/>
        <v>132805.46025122525</v>
      </c>
      <c r="Z12" s="415">
        <f t="shared" si="5"/>
        <v>125339.60025122525</v>
      </c>
      <c r="AA12" s="415">
        <f t="shared" si="5"/>
        <v>132805.46025122525</v>
      </c>
      <c r="AB12" s="415">
        <f t="shared" si="5"/>
        <v>125339.60025122525</v>
      </c>
      <c r="AC12" s="415">
        <f t="shared" si="5"/>
        <v>125339.60025122525</v>
      </c>
      <c r="AD12" s="415">
        <f t="shared" si="5"/>
        <v>132805.46025122525</v>
      </c>
      <c r="AE12" s="415">
        <f t="shared" si="5"/>
        <v>125339.60025122525</v>
      </c>
      <c r="AF12" s="415">
        <f t="shared" si="5"/>
        <v>132805.46025122525</v>
      </c>
      <c r="AG12" s="415">
        <f t="shared" si="5"/>
        <v>125339.60025122525</v>
      </c>
      <c r="AH12" s="415">
        <f t="shared" si="5"/>
        <v>125339.60025122525</v>
      </c>
      <c r="AI12" s="415">
        <f t="shared" si="5"/>
        <v>132805.46025122525</v>
      </c>
      <c r="AJ12" s="415">
        <f t="shared" si="5"/>
        <v>125339.60025122525</v>
      </c>
      <c r="AK12" s="415">
        <f t="shared" si="5"/>
        <v>132805.46025122525</v>
      </c>
      <c r="AL12" s="415">
        <f t="shared" si="5"/>
        <v>125339.60025122525</v>
      </c>
      <c r="AM12" s="415">
        <f t="shared" si="5"/>
        <v>116612.48255540944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3495295.8227201067</v>
      </c>
      <c r="M13" s="1"/>
      <c r="N13" s="1"/>
      <c r="O13" s="415">
        <f>'Fluxo Rateio'!O4*$G$16</f>
        <v>100673.38904257085</v>
      </c>
      <c r="P13" s="415">
        <f>'Fluxo Rateio'!P4*$G$16</f>
        <v>141099.9406030947</v>
      </c>
      <c r="Q13" s="415">
        <f>'Fluxo Rateio'!Q4*$G$16</f>
        <v>142579.47316251855</v>
      </c>
      <c r="R13" s="415">
        <f>'Fluxo Rateio'!R4*$G$16</f>
        <v>141099.9406030947</v>
      </c>
      <c r="S13" s="415">
        <f>'Fluxo Rateio'!S4*$G$16</f>
        <v>142579.47316251855</v>
      </c>
      <c r="T13" s="415">
        <f>'Fluxo Rateio'!T4*$G$16</f>
        <v>141099.9406030947</v>
      </c>
      <c r="U13" s="415">
        <f>'Fluxo Rateio'!U4*$G$16</f>
        <v>142579.47316251855</v>
      </c>
      <c r="V13" s="415">
        <f>'Fluxo Rateio'!V4*$G$16</f>
        <v>141099.9406030947</v>
      </c>
      <c r="W13" s="415">
        <f>'Fluxo Rateio'!W4*$G$16</f>
        <v>142579.47316251855</v>
      </c>
      <c r="X13" s="415">
        <f>'Fluxo Rateio'!X4*$G$16</f>
        <v>141099.9406030947</v>
      </c>
      <c r="Y13" s="415">
        <f>'Fluxo Rateio'!Y4*$G$16</f>
        <v>142579.47316251855</v>
      </c>
      <c r="Z13" s="415">
        <f>'Fluxo Rateio'!Z4*$G$16</f>
        <v>141099.9406030947</v>
      </c>
      <c r="AA13" s="415">
        <f>'Fluxo Rateio'!AA4*$G$16</f>
        <v>142579.47316251855</v>
      </c>
      <c r="AB13" s="415">
        <f>'Fluxo Rateio'!AB4*$G$16</f>
        <v>141099.9406030947</v>
      </c>
      <c r="AC13" s="415">
        <f>'Fluxo Rateio'!AC4*$G$16</f>
        <v>142579.47316251855</v>
      </c>
      <c r="AD13" s="415">
        <f>'Fluxo Rateio'!AD4*$G$16</f>
        <v>141099.9406030947</v>
      </c>
      <c r="AE13" s="415">
        <f>'Fluxo Rateio'!AE4*$G$16</f>
        <v>142579.47316251855</v>
      </c>
      <c r="AF13" s="415">
        <f>'Fluxo Rateio'!AF4*$G$16</f>
        <v>141099.9406030947</v>
      </c>
      <c r="AG13" s="415">
        <f>'Fluxo Rateio'!AG4*$G$16</f>
        <v>142579.47316251855</v>
      </c>
      <c r="AH13" s="415">
        <f>'Fluxo Rateio'!AH4*$G$16</f>
        <v>141099.9406030947</v>
      </c>
      <c r="AI13" s="415">
        <f>'Fluxo Rateio'!AI4*$G$16</f>
        <v>142579.47316251855</v>
      </c>
      <c r="AJ13" s="415">
        <f>'Fluxo Rateio'!AJ4*$G$16</f>
        <v>141099.9406030947</v>
      </c>
      <c r="AK13" s="415">
        <f>'Fluxo Rateio'!AK4*$G$16</f>
        <v>142579.47316251855</v>
      </c>
      <c r="AL13" s="415">
        <f>'Fluxo Rateio'!AL4*$G$16</f>
        <v>141099.9406030947</v>
      </c>
      <c r="AM13" s="415">
        <f>'Fluxo Rateio'!AM4*$G$16</f>
        <v>133048.94165269678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SUM(O14:AM14)*(1+$D$325/100)</f>
        <v>3134074.1304756301</v>
      </c>
      <c r="M14" s="183"/>
      <c r="N14" s="1"/>
      <c r="O14" s="486">
        <f>(SUM(O16:O20,O22)*(1+$D$325/100))</f>
        <v>67458.102142039977</v>
      </c>
      <c r="P14" s="486">
        <f t="shared" ref="P14:AM14" si="6">(SUM(P16:P20,P22)*(1+$D$325/100))</f>
        <v>125339.60025122525</v>
      </c>
      <c r="Q14" s="486">
        <f t="shared" si="6"/>
        <v>132805.46025122525</v>
      </c>
      <c r="R14" s="486">
        <f t="shared" si="6"/>
        <v>125339.60025122525</v>
      </c>
      <c r="S14" s="486">
        <f t="shared" si="6"/>
        <v>125339.60025122525</v>
      </c>
      <c r="T14" s="486">
        <f t="shared" si="6"/>
        <v>132805.46025122525</v>
      </c>
      <c r="U14" s="486">
        <f t="shared" si="6"/>
        <v>125339.60025122525</v>
      </c>
      <c r="V14" s="486">
        <f t="shared" si="6"/>
        <v>132805.46025122525</v>
      </c>
      <c r="W14" s="486">
        <f t="shared" si="6"/>
        <v>125339.60025122525</v>
      </c>
      <c r="X14" s="486">
        <f t="shared" si="6"/>
        <v>125339.60025122525</v>
      </c>
      <c r="Y14" s="486">
        <f t="shared" si="6"/>
        <v>132805.46025122525</v>
      </c>
      <c r="Z14" s="486">
        <f t="shared" si="6"/>
        <v>125339.60025122525</v>
      </c>
      <c r="AA14" s="486">
        <f t="shared" si="6"/>
        <v>132805.46025122525</v>
      </c>
      <c r="AB14" s="486">
        <f t="shared" si="6"/>
        <v>125339.60025122525</v>
      </c>
      <c r="AC14" s="486">
        <f t="shared" si="6"/>
        <v>125339.60025122525</v>
      </c>
      <c r="AD14" s="486">
        <f t="shared" si="6"/>
        <v>132805.46025122525</v>
      </c>
      <c r="AE14" s="486">
        <f t="shared" si="6"/>
        <v>125339.60025122525</v>
      </c>
      <c r="AF14" s="486">
        <f t="shared" si="6"/>
        <v>132805.46025122525</v>
      </c>
      <c r="AG14" s="486">
        <f t="shared" si="6"/>
        <v>125339.60025122525</v>
      </c>
      <c r="AH14" s="486">
        <f t="shared" si="6"/>
        <v>125339.60025122525</v>
      </c>
      <c r="AI14" s="486">
        <f t="shared" si="6"/>
        <v>132805.46025122525</v>
      </c>
      <c r="AJ14" s="486">
        <f t="shared" si="6"/>
        <v>125339.60025122525</v>
      </c>
      <c r="AK14" s="486">
        <f t="shared" si="6"/>
        <v>132805.46025122525</v>
      </c>
      <c r="AL14" s="486">
        <f t="shared" si="6"/>
        <v>125339.60025122525</v>
      </c>
      <c r="AM14" s="486">
        <f t="shared" si="6"/>
        <v>116612.48255540944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f>'Fluxo Rateio'!$F$31</f>
        <v>6.962843655122318E-2</v>
      </c>
      <c r="H16" s="397"/>
      <c r="I16" s="398"/>
      <c r="J16" s="427"/>
      <c r="K16" s="399">
        <f t="shared" ref="K16:K18" si="7">L16/$L$14</f>
        <v>0.45290001633069638</v>
      </c>
      <c r="L16" s="431">
        <f t="shared" ref="L16:L23" si="8">SUM(O16:AV16)</f>
        <v>1419422.2248740259</v>
      </c>
      <c r="M16" s="184"/>
      <c r="N16" s="200"/>
      <c r="O16" s="424">
        <v>27690.706174894727</v>
      </c>
      <c r="P16" s="424">
        <v>55381.412349789454</v>
      </c>
      <c r="Q16" s="424">
        <v>62847.272349789462</v>
      </c>
      <c r="R16" s="424">
        <v>55381.412349789454</v>
      </c>
      <c r="S16" s="424">
        <v>55381.412349789454</v>
      </c>
      <c r="T16" s="424">
        <v>62847.272349789462</v>
      </c>
      <c r="U16" s="424">
        <v>55381.412349789454</v>
      </c>
      <c r="V16" s="424">
        <v>62847.272349789462</v>
      </c>
      <c r="W16" s="424">
        <v>55381.412349789454</v>
      </c>
      <c r="X16" s="424">
        <v>55381.412349789454</v>
      </c>
      <c r="Y16" s="424">
        <v>62847.272349789462</v>
      </c>
      <c r="Z16" s="424">
        <v>55381.412349789454</v>
      </c>
      <c r="AA16" s="424">
        <v>62847.272349789462</v>
      </c>
      <c r="AB16" s="424">
        <v>55381.412349789454</v>
      </c>
      <c r="AC16" s="424">
        <v>55381.412349789454</v>
      </c>
      <c r="AD16" s="424">
        <v>62847.272349789462</v>
      </c>
      <c r="AE16" s="424">
        <v>55381.412349789454</v>
      </c>
      <c r="AF16" s="424">
        <v>62847.272349789462</v>
      </c>
      <c r="AG16" s="424">
        <v>55381.412349789454</v>
      </c>
      <c r="AH16" s="424">
        <v>55381.412349789454</v>
      </c>
      <c r="AI16" s="424">
        <v>62847.272349789462</v>
      </c>
      <c r="AJ16" s="424">
        <v>55381.412349789454</v>
      </c>
      <c r="AK16" s="424">
        <v>62847.272349789462</v>
      </c>
      <c r="AL16" s="424">
        <v>55381.412349789454</v>
      </c>
      <c r="AM16" s="424">
        <v>50766.294653973666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7"/>
        <v>0</v>
      </c>
      <c r="L17" s="421">
        <f t="shared" si="8"/>
        <v>0</v>
      </c>
      <c r="M17" s="184"/>
      <c r="N17" s="200"/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7"/>
        <v>0.31363010544068659</v>
      </c>
      <c r="L18" s="421">
        <f t="shared" si="8"/>
        <v>982940</v>
      </c>
      <c r="M18" s="184"/>
      <c r="N18" s="200"/>
      <c r="O18" s="411">
        <v>26656</v>
      </c>
      <c r="P18" s="411">
        <v>39984</v>
      </c>
      <c r="Q18" s="411">
        <v>39984</v>
      </c>
      <c r="R18" s="411">
        <v>39984</v>
      </c>
      <c r="S18" s="411">
        <v>39984</v>
      </c>
      <c r="T18" s="411">
        <v>39984</v>
      </c>
      <c r="U18" s="411">
        <v>39984</v>
      </c>
      <c r="V18" s="411">
        <v>39984</v>
      </c>
      <c r="W18" s="411">
        <v>39984</v>
      </c>
      <c r="X18" s="411">
        <v>39984</v>
      </c>
      <c r="Y18" s="411">
        <v>39984</v>
      </c>
      <c r="Z18" s="411">
        <v>39984</v>
      </c>
      <c r="AA18" s="411">
        <v>39984</v>
      </c>
      <c r="AB18" s="411">
        <v>39984</v>
      </c>
      <c r="AC18" s="411">
        <v>39984</v>
      </c>
      <c r="AD18" s="411">
        <v>39984</v>
      </c>
      <c r="AE18" s="411">
        <v>39984</v>
      </c>
      <c r="AF18" s="411">
        <v>39984</v>
      </c>
      <c r="AG18" s="411">
        <v>39984</v>
      </c>
      <c r="AH18" s="411">
        <v>39984</v>
      </c>
      <c r="AI18" s="411">
        <v>39984</v>
      </c>
      <c r="AJ18" s="411">
        <v>39984</v>
      </c>
      <c r="AK18" s="411">
        <v>39984</v>
      </c>
      <c r="AL18" s="411">
        <v>39984</v>
      </c>
      <c r="AM18" s="411">
        <v>36652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7.3418812197999866E-2</v>
      </c>
      <c r="L19" s="421">
        <f t="shared" si="8"/>
        <v>230100</v>
      </c>
      <c r="M19" s="183"/>
      <c r="N19" s="1"/>
      <c r="O19" s="411">
        <v>6240</v>
      </c>
      <c r="P19" s="411">
        <v>9360</v>
      </c>
      <c r="Q19" s="411">
        <v>9360</v>
      </c>
      <c r="R19" s="411">
        <v>9360</v>
      </c>
      <c r="S19" s="411">
        <v>9360</v>
      </c>
      <c r="T19" s="411">
        <v>9360</v>
      </c>
      <c r="U19" s="411">
        <v>9360</v>
      </c>
      <c r="V19" s="411">
        <v>9360</v>
      </c>
      <c r="W19" s="411">
        <v>9360</v>
      </c>
      <c r="X19" s="411">
        <v>9360</v>
      </c>
      <c r="Y19" s="411">
        <v>9360</v>
      </c>
      <c r="Z19" s="411">
        <v>9360</v>
      </c>
      <c r="AA19" s="411">
        <v>9360</v>
      </c>
      <c r="AB19" s="411">
        <v>9360</v>
      </c>
      <c r="AC19" s="411">
        <v>9360</v>
      </c>
      <c r="AD19" s="411">
        <v>9360</v>
      </c>
      <c r="AE19" s="411">
        <v>9360</v>
      </c>
      <c r="AF19" s="411">
        <v>9360</v>
      </c>
      <c r="AG19" s="411">
        <v>9360</v>
      </c>
      <c r="AH19" s="411">
        <v>9360</v>
      </c>
      <c r="AI19" s="411">
        <v>9360</v>
      </c>
      <c r="AJ19" s="411">
        <v>9360</v>
      </c>
      <c r="AK19" s="411">
        <v>9360</v>
      </c>
      <c r="AL19" s="411">
        <v>9360</v>
      </c>
      <c r="AM19" s="411">
        <v>8580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8"/>
        <v>0</v>
      </c>
      <c r="M20" s="1"/>
      <c r="N20" s="1"/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183" t="s">
        <v>162</v>
      </c>
      <c r="C21" s="183"/>
      <c r="D21" s="183"/>
      <c r="E21" s="183"/>
      <c r="F21" s="183"/>
      <c r="G21" s="183"/>
      <c r="H21" s="183"/>
      <c r="I21" s="183"/>
      <c r="J21" s="183"/>
      <c r="K21" s="596"/>
      <c r="L21" s="603">
        <f t="shared" si="8"/>
        <v>522213.27413417422</v>
      </c>
      <c r="M21" s="1"/>
      <c r="N21" s="1"/>
      <c r="O21" s="602">
        <f>'Fluxo Rateio'!O12*$G$16</f>
        <v>20888.530965366954</v>
      </c>
      <c r="P21" s="602">
        <f>'Fluxo Rateio'!P12*$G$16</f>
        <v>20888.530965366954</v>
      </c>
      <c r="Q21" s="602">
        <f>'Fluxo Rateio'!Q12*$G$16</f>
        <v>20888.530965366954</v>
      </c>
      <c r="R21" s="602">
        <f>'Fluxo Rateio'!R12*$G$16</f>
        <v>20888.530965366954</v>
      </c>
      <c r="S21" s="602">
        <f>'Fluxo Rateio'!S12*$G$16</f>
        <v>20888.530965366954</v>
      </c>
      <c r="T21" s="602">
        <f>'Fluxo Rateio'!T12*$G$16</f>
        <v>20888.530965366954</v>
      </c>
      <c r="U21" s="602">
        <f>'Fluxo Rateio'!U12*$G$16</f>
        <v>20888.530965366954</v>
      </c>
      <c r="V21" s="602">
        <f>'Fluxo Rateio'!V12*$G$16</f>
        <v>20888.530965366954</v>
      </c>
      <c r="W21" s="602">
        <f>'Fluxo Rateio'!W12*$G$16</f>
        <v>20888.530965366954</v>
      </c>
      <c r="X21" s="602">
        <f>'Fluxo Rateio'!X12*$G$16</f>
        <v>20888.530965366954</v>
      </c>
      <c r="Y21" s="602">
        <f>'Fluxo Rateio'!Y12*$G$16</f>
        <v>20888.530965366954</v>
      </c>
      <c r="Z21" s="602">
        <f>'Fluxo Rateio'!Z12*$G$16</f>
        <v>20888.530965366954</v>
      </c>
      <c r="AA21" s="602">
        <f>'Fluxo Rateio'!AA12*$G$16</f>
        <v>20888.530965366954</v>
      </c>
      <c r="AB21" s="602">
        <f>'Fluxo Rateio'!AB12*$G$16</f>
        <v>20888.530965366954</v>
      </c>
      <c r="AC21" s="602">
        <f>'Fluxo Rateio'!AC12*$G$16</f>
        <v>20888.530965366954</v>
      </c>
      <c r="AD21" s="602">
        <f>'Fluxo Rateio'!AD12*$G$16</f>
        <v>20888.530965366954</v>
      </c>
      <c r="AE21" s="602">
        <f>'Fluxo Rateio'!AE12*$G$16</f>
        <v>20888.530965366954</v>
      </c>
      <c r="AF21" s="602">
        <f>'Fluxo Rateio'!AF12*$G$16</f>
        <v>20888.530965366954</v>
      </c>
      <c r="AG21" s="602">
        <f>'Fluxo Rateio'!AG12*$G$16</f>
        <v>20888.530965366954</v>
      </c>
      <c r="AH21" s="602">
        <f>'Fluxo Rateio'!AH12*$G$16</f>
        <v>20888.530965366954</v>
      </c>
      <c r="AI21" s="602">
        <f>'Fluxo Rateio'!AI12*$G$16</f>
        <v>20888.530965366954</v>
      </c>
      <c r="AJ21" s="602">
        <f>'Fluxo Rateio'!AJ12*$G$16</f>
        <v>20888.530965366954</v>
      </c>
      <c r="AK21" s="602">
        <f>'Fluxo Rateio'!AK12*$G$16</f>
        <v>20888.530965366954</v>
      </c>
      <c r="AL21" s="602">
        <f>'Fluxo Rateio'!AL12*$G$16</f>
        <v>20888.530965366954</v>
      </c>
      <c r="AM21" s="602">
        <f>'Fluxo Rateio'!AM12*$G$16</f>
        <v>20888.530965366954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597">
        <f t="shared" si="8"/>
        <v>501611.90560160379</v>
      </c>
      <c r="M22" s="1"/>
      <c r="N22" s="1"/>
      <c r="O22" s="425">
        <f>O75*$G$22</f>
        <v>6871.395967145254</v>
      </c>
      <c r="P22" s="617">
        <f t="shared" ref="P22:AM22" si="9">P75*$G$22</f>
        <v>20614.18790143578</v>
      </c>
      <c r="Q22" s="425">
        <f t="shared" si="9"/>
        <v>20614.18790143578</v>
      </c>
      <c r="R22" s="425">
        <f t="shared" si="9"/>
        <v>20614.18790143578</v>
      </c>
      <c r="S22" s="425">
        <f t="shared" si="9"/>
        <v>20614.18790143578</v>
      </c>
      <c r="T22" s="425">
        <f t="shared" si="9"/>
        <v>20614.18790143578</v>
      </c>
      <c r="U22" s="425">
        <f t="shared" si="9"/>
        <v>20614.18790143578</v>
      </c>
      <c r="V22" s="425">
        <f t="shared" si="9"/>
        <v>20614.18790143578</v>
      </c>
      <c r="W22" s="425">
        <f t="shared" si="9"/>
        <v>20614.18790143578</v>
      </c>
      <c r="X22" s="425">
        <f t="shared" si="9"/>
        <v>20614.18790143578</v>
      </c>
      <c r="Y22" s="425">
        <f t="shared" si="9"/>
        <v>20614.18790143578</v>
      </c>
      <c r="Z22" s="425">
        <f t="shared" si="9"/>
        <v>20614.18790143578</v>
      </c>
      <c r="AA22" s="425">
        <f t="shared" si="9"/>
        <v>20614.18790143578</v>
      </c>
      <c r="AB22" s="425">
        <f t="shared" si="9"/>
        <v>20614.18790143578</v>
      </c>
      <c r="AC22" s="425">
        <f t="shared" si="9"/>
        <v>20614.18790143578</v>
      </c>
      <c r="AD22" s="425">
        <f t="shared" si="9"/>
        <v>20614.18790143578</v>
      </c>
      <c r="AE22" s="425">
        <f t="shared" si="9"/>
        <v>20614.18790143578</v>
      </c>
      <c r="AF22" s="425">
        <f t="shared" si="9"/>
        <v>20614.18790143578</v>
      </c>
      <c r="AG22" s="425">
        <f t="shared" si="9"/>
        <v>20614.18790143578</v>
      </c>
      <c r="AH22" s="425">
        <f t="shared" si="9"/>
        <v>20614.18790143578</v>
      </c>
      <c r="AI22" s="425">
        <f t="shared" si="9"/>
        <v>20614.18790143578</v>
      </c>
      <c r="AJ22" s="425">
        <f t="shared" si="9"/>
        <v>20614.18790143578</v>
      </c>
      <c r="AK22" s="425">
        <f t="shared" si="9"/>
        <v>20614.18790143578</v>
      </c>
      <c r="AL22" s="425">
        <f t="shared" si="9"/>
        <v>20614.18790143578</v>
      </c>
      <c r="AM22" s="425">
        <f t="shared" si="9"/>
        <v>20614.18790143578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609" t="s">
        <v>5363</v>
      </c>
      <c r="H23" s="599"/>
      <c r="I23" s="599"/>
      <c r="J23" s="599"/>
      <c r="K23" s="600"/>
      <c r="L23" s="601">
        <f t="shared" si="8"/>
        <v>104442.65482683477</v>
      </c>
      <c r="M23" s="1"/>
      <c r="N23" s="1"/>
      <c r="O23" s="604">
        <f>$G$16*'Fluxo Rateio'!O13</f>
        <v>4177.7061930733908</v>
      </c>
      <c r="P23" s="604">
        <f>$G$16*'Fluxo Rateio'!P13</f>
        <v>4177.7061930733908</v>
      </c>
      <c r="Q23" s="604">
        <f>$G$16*'Fluxo Rateio'!Q13</f>
        <v>4177.7061930733908</v>
      </c>
      <c r="R23" s="604">
        <f>$G$16*'Fluxo Rateio'!R13</f>
        <v>4177.7061930733908</v>
      </c>
      <c r="S23" s="604">
        <f>$G$16*'Fluxo Rateio'!S13</f>
        <v>4177.7061930733908</v>
      </c>
      <c r="T23" s="604">
        <f>$G$16*'Fluxo Rateio'!T13</f>
        <v>4177.7061930733908</v>
      </c>
      <c r="U23" s="604">
        <f>$G$16*'Fluxo Rateio'!U13</f>
        <v>4177.7061930733908</v>
      </c>
      <c r="V23" s="604">
        <f>$G$16*'Fluxo Rateio'!V13</f>
        <v>4177.7061930733908</v>
      </c>
      <c r="W23" s="604">
        <f>$G$16*'Fluxo Rateio'!W13</f>
        <v>4177.7061930733908</v>
      </c>
      <c r="X23" s="604">
        <f>$G$16*'Fluxo Rateio'!X13</f>
        <v>4177.7061930733908</v>
      </c>
      <c r="Y23" s="604">
        <f>$G$16*'Fluxo Rateio'!Y13</f>
        <v>4177.7061930733908</v>
      </c>
      <c r="Z23" s="604">
        <f>$G$16*'Fluxo Rateio'!Z13</f>
        <v>4177.7061930733908</v>
      </c>
      <c r="AA23" s="604">
        <f>$G$16*'Fluxo Rateio'!AA13</f>
        <v>4177.7061930733908</v>
      </c>
      <c r="AB23" s="604">
        <f>$G$16*'Fluxo Rateio'!AB13</f>
        <v>4177.7061930733908</v>
      </c>
      <c r="AC23" s="604">
        <f>$G$16*'Fluxo Rateio'!AC13</f>
        <v>4177.7061930733908</v>
      </c>
      <c r="AD23" s="604">
        <f>$G$16*'Fluxo Rateio'!AD13</f>
        <v>4177.7061930733908</v>
      </c>
      <c r="AE23" s="604">
        <f>$G$16*'Fluxo Rateio'!AE13</f>
        <v>4177.7061930733908</v>
      </c>
      <c r="AF23" s="604">
        <f>$G$16*'Fluxo Rateio'!AF13</f>
        <v>4177.7061930733908</v>
      </c>
      <c r="AG23" s="604">
        <f>$G$16*'Fluxo Rateio'!AG13</f>
        <v>4177.7061930733908</v>
      </c>
      <c r="AH23" s="604">
        <f>$G$16*'Fluxo Rateio'!AH13</f>
        <v>4177.7061930733908</v>
      </c>
      <c r="AI23" s="604">
        <f>$G$16*'Fluxo Rateio'!AI13</f>
        <v>4177.7061930733908</v>
      </c>
      <c r="AJ23" s="604">
        <f>$G$16*'Fluxo Rateio'!AJ13</f>
        <v>4177.7061930733908</v>
      </c>
      <c r="AK23" s="604">
        <f>$G$16*'Fluxo Rateio'!AK13</f>
        <v>4177.7061930733908</v>
      </c>
      <c r="AL23" s="604">
        <f>$G$16*'Fluxo Rateio'!AL13</f>
        <v>4177.7061930733908</v>
      </c>
      <c r="AM23" s="604">
        <f>$G$16*'Fluxo Rateio'!AM13</f>
        <v>4177.7061930733908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(SUM(O29:AM29))*(1+$C$325/100)</f>
        <v>3782622.643678057</v>
      </c>
      <c r="M29" s="1"/>
      <c r="N29" s="1"/>
      <c r="O29" s="300">
        <f t="shared" ref="O29:AM29" si="10">(O30+O31)*(1+$C$325/100)</f>
        <v>1197307.7337502912</v>
      </c>
      <c r="P29" s="300">
        <f t="shared" si="10"/>
        <v>0</v>
      </c>
      <c r="Q29" s="300">
        <f t="shared" si="10"/>
        <v>0</v>
      </c>
      <c r="R29" s="300">
        <f t="shared" si="10"/>
        <v>0</v>
      </c>
      <c r="S29" s="300">
        <f t="shared" si="10"/>
        <v>519752.23857777513</v>
      </c>
      <c r="T29" s="300">
        <f t="shared" si="10"/>
        <v>0</v>
      </c>
      <c r="U29" s="300">
        <f t="shared" si="10"/>
        <v>0</v>
      </c>
      <c r="V29" s="300">
        <f t="shared" si="10"/>
        <v>46579.759236850354</v>
      </c>
      <c r="W29" s="300">
        <f t="shared" si="10"/>
        <v>67537.758662181994</v>
      </c>
      <c r="X29" s="300">
        <f t="shared" si="10"/>
        <v>0</v>
      </c>
      <c r="Y29" s="300">
        <f t="shared" si="10"/>
        <v>516220.11332271731</v>
      </c>
      <c r="Z29" s="300">
        <f t="shared" si="10"/>
        <v>0</v>
      </c>
      <c r="AA29" s="300">
        <f t="shared" si="10"/>
        <v>235124.69269180158</v>
      </c>
      <c r="AB29" s="300">
        <f t="shared" si="10"/>
        <v>0</v>
      </c>
      <c r="AC29" s="300">
        <f t="shared" si="10"/>
        <v>0</v>
      </c>
      <c r="AD29" s="300">
        <f t="shared" si="10"/>
        <v>562749.16913207108</v>
      </c>
      <c r="AE29" s="300">
        <f t="shared" si="10"/>
        <v>9755.2818275611589</v>
      </c>
      <c r="AF29" s="300">
        <f t="shared" si="10"/>
        <v>57833.180262117428</v>
      </c>
      <c r="AG29" s="300">
        <f t="shared" si="10"/>
        <v>0</v>
      </c>
      <c r="AH29" s="300">
        <f t="shared" si="10"/>
        <v>0</v>
      </c>
      <c r="AI29" s="300">
        <f t="shared" si="10"/>
        <v>519701.53515027848</v>
      </c>
      <c r="AJ29" s="300">
        <f t="shared" si="10"/>
        <v>0</v>
      </c>
      <c r="AK29" s="300">
        <f t="shared" si="10"/>
        <v>46579.759236850354</v>
      </c>
      <c r="AL29" s="300">
        <f t="shared" si="10"/>
        <v>0</v>
      </c>
      <c r="AM29" s="300">
        <f t="shared" si="10"/>
        <v>3481.4218275611588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1792470.3689658693</v>
      </c>
      <c r="M30" s="1"/>
      <c r="N30" s="1"/>
      <c r="O30" s="414">
        <f>O32</f>
        <v>653663.46814812592</v>
      </c>
      <c r="P30" s="414">
        <f t="shared" ref="P30:AM30" si="11">P32</f>
        <v>0</v>
      </c>
      <c r="Q30" s="414">
        <f t="shared" si="11"/>
        <v>0</v>
      </c>
      <c r="R30" s="414">
        <f t="shared" si="11"/>
        <v>0</v>
      </c>
      <c r="S30" s="414">
        <f t="shared" si="11"/>
        <v>238738.46764705877</v>
      </c>
      <c r="T30" s="414">
        <f t="shared" si="11"/>
        <v>0</v>
      </c>
      <c r="U30" s="414">
        <f t="shared" si="11"/>
        <v>0</v>
      </c>
      <c r="V30" s="414">
        <f t="shared" si="11"/>
        <v>0</v>
      </c>
      <c r="W30" s="414">
        <f t="shared" si="11"/>
        <v>6273.86</v>
      </c>
      <c r="X30" s="414">
        <f t="shared" si="11"/>
        <v>0</v>
      </c>
      <c r="Y30" s="414">
        <f t="shared" si="11"/>
        <v>238738.46764705877</v>
      </c>
      <c r="Z30" s="414">
        <f t="shared" si="11"/>
        <v>0</v>
      </c>
      <c r="AA30" s="414">
        <f t="shared" si="11"/>
        <v>171305.31022950821</v>
      </c>
      <c r="AB30" s="414">
        <f t="shared" si="11"/>
        <v>0</v>
      </c>
      <c r="AC30" s="414">
        <f t="shared" si="11"/>
        <v>0</v>
      </c>
      <c r="AD30" s="414">
        <f t="shared" si="11"/>
        <v>238738.46764705877</v>
      </c>
      <c r="AE30" s="414">
        <f t="shared" si="11"/>
        <v>6273.86</v>
      </c>
      <c r="AF30" s="414">
        <f t="shared" si="11"/>
        <v>0</v>
      </c>
      <c r="AG30" s="414">
        <f t="shared" si="11"/>
        <v>0</v>
      </c>
      <c r="AH30" s="414">
        <f t="shared" si="11"/>
        <v>0</v>
      </c>
      <c r="AI30" s="414">
        <f t="shared" si="11"/>
        <v>238738.46764705877</v>
      </c>
      <c r="AJ30" s="414">
        <f t="shared" si="11"/>
        <v>0</v>
      </c>
      <c r="AK30" s="414">
        <f t="shared" si="11"/>
        <v>0</v>
      </c>
      <c r="AL30" s="414">
        <f t="shared" si="11"/>
        <v>0</v>
      </c>
      <c r="AM30" s="414">
        <f t="shared" si="11"/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1990152.2747121877</v>
      </c>
      <c r="M31" s="1"/>
      <c r="N31" s="1"/>
      <c r="O31" s="414">
        <f>'Fluxo Rateio'!O15*$G$34</f>
        <v>543644.26560216513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281013.77093071636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46579.759236850354</v>
      </c>
      <c r="W31" s="414">
        <f>'Fluxo Rateio'!W15*$G$34</f>
        <v>61263.898662181993</v>
      </c>
      <c r="X31" s="414">
        <f>'Fluxo Rateio'!X15*$G$34</f>
        <v>0</v>
      </c>
      <c r="Y31" s="414">
        <f>'Fluxo Rateio'!Y15*$G$34</f>
        <v>277481.64567565854</v>
      </c>
      <c r="Z31" s="414">
        <f>'Fluxo Rateio'!Z15*$G$34</f>
        <v>0</v>
      </c>
      <c r="AA31" s="414">
        <f>'Fluxo Rateio'!AA15*$G$34</f>
        <v>63819.382462293368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324010.70148501225</v>
      </c>
      <c r="AE31" s="414">
        <f>'Fluxo Rateio'!AE15*$G$34</f>
        <v>3481.4218275611588</v>
      </c>
      <c r="AF31" s="414">
        <f>'Fluxo Rateio'!AF15*$G$34</f>
        <v>57833.180262117428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280963.0675032197</v>
      </c>
      <c r="AJ31" s="414">
        <f>'Fluxo Rateio'!AJ15*$G$34</f>
        <v>0</v>
      </c>
      <c r="AK31" s="414">
        <f>'Fluxo Rateio'!AK15*$G$34</f>
        <v>46579.759236850354</v>
      </c>
      <c r="AL31" s="414">
        <f>'Fluxo Rateio'!AL15*$G$34</f>
        <v>0</v>
      </c>
      <c r="AM31" s="414">
        <f>'Fluxo Rateio'!AM15*$G$34</f>
        <v>3481.4218275611588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(L34+L35+L38+L36+L37+L39)*(1+$C$325/100)</f>
        <v>1792470.3689658693</v>
      </c>
      <c r="M32" s="1"/>
      <c r="N32" s="1"/>
      <c r="O32" s="92">
        <f t="shared" ref="O32:AM32" si="12">(O34+O35+O38+O36+O37+O39)*(1+$C$325/100)</f>
        <v>653663.46814812592</v>
      </c>
      <c r="P32" s="92">
        <f t="shared" si="12"/>
        <v>0</v>
      </c>
      <c r="Q32" s="92">
        <f t="shared" si="12"/>
        <v>0</v>
      </c>
      <c r="R32" s="92">
        <f t="shared" si="12"/>
        <v>0</v>
      </c>
      <c r="S32" s="92">
        <f t="shared" si="12"/>
        <v>238738.46764705877</v>
      </c>
      <c r="T32" s="92">
        <f t="shared" si="12"/>
        <v>0</v>
      </c>
      <c r="U32" s="92">
        <f t="shared" si="12"/>
        <v>0</v>
      </c>
      <c r="V32" s="92">
        <f t="shared" si="12"/>
        <v>0</v>
      </c>
      <c r="W32" s="92">
        <f t="shared" si="12"/>
        <v>6273.86</v>
      </c>
      <c r="X32" s="92">
        <f t="shared" si="12"/>
        <v>0</v>
      </c>
      <c r="Y32" s="92">
        <f t="shared" si="12"/>
        <v>238738.46764705877</v>
      </c>
      <c r="Z32" s="92">
        <f t="shared" si="12"/>
        <v>0</v>
      </c>
      <c r="AA32" s="92">
        <f t="shared" si="12"/>
        <v>171305.31022950821</v>
      </c>
      <c r="AB32" s="92">
        <f t="shared" si="12"/>
        <v>0</v>
      </c>
      <c r="AC32" s="92">
        <f t="shared" si="12"/>
        <v>0</v>
      </c>
      <c r="AD32" s="92">
        <f t="shared" si="12"/>
        <v>238738.46764705877</v>
      </c>
      <c r="AE32" s="92">
        <f t="shared" si="12"/>
        <v>6273.86</v>
      </c>
      <c r="AF32" s="92">
        <f t="shared" si="12"/>
        <v>0</v>
      </c>
      <c r="AG32" s="92">
        <f t="shared" si="12"/>
        <v>0</v>
      </c>
      <c r="AH32" s="92">
        <f t="shared" si="12"/>
        <v>0</v>
      </c>
      <c r="AI32" s="92">
        <f t="shared" si="12"/>
        <v>238738.46764705877</v>
      </c>
      <c r="AJ32" s="92">
        <f t="shared" si="12"/>
        <v>0</v>
      </c>
      <c r="AK32" s="92">
        <f t="shared" si="12"/>
        <v>0</v>
      </c>
      <c r="AL32" s="92">
        <f t="shared" si="12"/>
        <v>0</v>
      </c>
      <c r="AM32" s="92">
        <f t="shared" si="12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f>'Fluxo Rateio'!$F$31</f>
        <v>6.962843655122318E-2</v>
      </c>
      <c r="H34" s="350"/>
      <c r="I34" s="401"/>
      <c r="J34" s="401"/>
      <c r="K34" s="402">
        <f>L34/$L$32</f>
        <v>0.15897029182772765</v>
      </c>
      <c r="L34" s="403">
        <f>SUM(O34:AM34)</f>
        <v>284949.5376470589</v>
      </c>
      <c r="M34" s="165"/>
      <c r="N34" s="165"/>
      <c r="O34" s="410">
        <v>284949.5376470589</v>
      </c>
      <c r="P34" s="410">
        <v>0</v>
      </c>
      <c r="Q34" s="410">
        <v>0</v>
      </c>
      <c r="R34" s="410">
        <v>0</v>
      </c>
      <c r="S34" s="410">
        <v>0</v>
      </c>
      <c r="T34" s="410">
        <v>0</v>
      </c>
      <c r="U34" s="410">
        <v>0</v>
      </c>
      <c r="V34" s="410">
        <v>0</v>
      </c>
      <c r="W34" s="410">
        <v>0</v>
      </c>
      <c r="X34" s="410">
        <v>0</v>
      </c>
      <c r="Y34" s="410">
        <v>0</v>
      </c>
      <c r="Z34" s="410">
        <v>0</v>
      </c>
      <c r="AA34" s="410">
        <v>0</v>
      </c>
      <c r="AB34" s="410">
        <v>0</v>
      </c>
      <c r="AC34" s="410">
        <v>0</v>
      </c>
      <c r="AD34" s="410">
        <v>0</v>
      </c>
      <c r="AE34" s="410">
        <v>0</v>
      </c>
      <c r="AF34" s="410">
        <v>0</v>
      </c>
      <c r="AG34" s="410">
        <v>0</v>
      </c>
      <c r="AH34" s="410">
        <v>0</v>
      </c>
      <c r="AI34" s="410">
        <v>0</v>
      </c>
      <c r="AJ34" s="410">
        <v>0</v>
      </c>
      <c r="AK34" s="410">
        <v>0</v>
      </c>
      <c r="AL34" s="410">
        <v>0</v>
      </c>
      <c r="AM34" s="410"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>L35/$L$32</f>
        <v>9.1679864322843543E-2</v>
      </c>
      <c r="L35" s="405">
        <f>SUM(O35:AM35)</f>
        <v>164333.44022950821</v>
      </c>
      <c r="M35" s="1"/>
      <c r="N35" s="1"/>
      <c r="O35" s="411">
        <v>164333.44022950821</v>
      </c>
      <c r="P35" s="411">
        <v>0</v>
      </c>
      <c r="Q35" s="411">
        <v>0</v>
      </c>
      <c r="R35" s="411">
        <v>0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>L36/$L$32</f>
        <v>1.4271477198676691E-3</v>
      </c>
      <c r="L36" s="405">
        <f t="shared" ref="L36:L39" si="13">SUM(O36:AM36)</f>
        <v>2558.12</v>
      </c>
      <c r="M36" s="1"/>
      <c r="N36" s="1"/>
      <c r="O36" s="411">
        <v>2558.12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>L37/$L$32</f>
        <v>0.11259453643743984</v>
      </c>
      <c r="L37" s="405">
        <f t="shared" si="13"/>
        <v>201822.37027155882</v>
      </c>
      <c r="M37" s="1"/>
      <c r="N37" s="1"/>
      <c r="O37" s="411">
        <v>201822.37027155882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>
        <v>0</v>
      </c>
      <c r="X37" s="411">
        <v>0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0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>L38/$L$32</f>
        <v>0</v>
      </c>
      <c r="L38" s="405">
        <f t="shared" si="13"/>
        <v>0</v>
      </c>
      <c r="M38" s="1"/>
      <c r="N38" s="1"/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408"/>
      <c r="L39" s="409">
        <f t="shared" si="13"/>
        <v>1138806.9008177433</v>
      </c>
      <c r="M39" s="1"/>
      <c r="N39" s="1"/>
      <c r="O39" s="412">
        <v>0</v>
      </c>
      <c r="P39" s="412">
        <v>0</v>
      </c>
      <c r="Q39" s="412">
        <v>0</v>
      </c>
      <c r="R39" s="412">
        <v>0</v>
      </c>
      <c r="S39" s="412">
        <v>238738.46764705877</v>
      </c>
      <c r="T39" s="412">
        <v>0</v>
      </c>
      <c r="U39" s="412">
        <v>0</v>
      </c>
      <c r="V39" s="412">
        <v>0</v>
      </c>
      <c r="W39" s="412">
        <v>6273.86</v>
      </c>
      <c r="X39" s="412">
        <v>0</v>
      </c>
      <c r="Y39" s="412">
        <v>238738.46764705877</v>
      </c>
      <c r="Z39" s="412">
        <v>0</v>
      </c>
      <c r="AA39" s="412">
        <v>171305.31022950821</v>
      </c>
      <c r="AB39" s="412">
        <v>0</v>
      </c>
      <c r="AC39" s="412">
        <v>0</v>
      </c>
      <c r="AD39" s="412">
        <v>238738.46764705877</v>
      </c>
      <c r="AE39" s="412">
        <v>6273.86</v>
      </c>
      <c r="AF39" s="412">
        <v>0</v>
      </c>
      <c r="AG39" s="412">
        <v>0</v>
      </c>
      <c r="AH39" s="412">
        <v>0</v>
      </c>
      <c r="AI39" s="412">
        <v>238738.46764705877</v>
      </c>
      <c r="AJ39" s="412">
        <v>0</v>
      </c>
      <c r="AK39" s="412">
        <v>0</v>
      </c>
      <c r="AL39" s="412">
        <v>0</v>
      </c>
      <c r="AM39" s="412"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41777.061930733908</v>
      </c>
      <c r="M41" s="1"/>
      <c r="N41" s="1"/>
      <c r="O41" s="15">
        <f t="shared" ref="O41:AM41" si="14">SUM(O42:O47)</f>
        <v>41777.061930733908</v>
      </c>
      <c r="P41" s="15">
        <f t="shared" si="14"/>
        <v>0</v>
      </c>
      <c r="Q41" s="15">
        <f t="shared" si="14"/>
        <v>0</v>
      </c>
      <c r="R41" s="15">
        <f t="shared" si="14"/>
        <v>0</v>
      </c>
      <c r="S41" s="15">
        <f t="shared" si="14"/>
        <v>0</v>
      </c>
      <c r="T41" s="15">
        <f t="shared" si="14"/>
        <v>0</v>
      </c>
      <c r="U41" s="15">
        <f t="shared" si="14"/>
        <v>0</v>
      </c>
      <c r="V41" s="15">
        <f t="shared" si="14"/>
        <v>0</v>
      </c>
      <c r="W41" s="15">
        <f t="shared" si="14"/>
        <v>0</v>
      </c>
      <c r="X41" s="15">
        <f t="shared" si="14"/>
        <v>0</v>
      </c>
      <c r="Y41" s="15">
        <f t="shared" si="14"/>
        <v>0</v>
      </c>
      <c r="Z41" s="15">
        <f t="shared" si="14"/>
        <v>0</v>
      </c>
      <c r="AA41" s="15">
        <f t="shared" si="14"/>
        <v>0</v>
      </c>
      <c r="AB41" s="15">
        <f t="shared" si="14"/>
        <v>0</v>
      </c>
      <c r="AC41" s="15">
        <f t="shared" si="14"/>
        <v>0</v>
      </c>
      <c r="AD41" s="15">
        <f t="shared" si="14"/>
        <v>0</v>
      </c>
      <c r="AE41" s="15">
        <f t="shared" si="14"/>
        <v>0</v>
      </c>
      <c r="AF41" s="15">
        <f t="shared" si="14"/>
        <v>0</v>
      </c>
      <c r="AG41" s="15">
        <f t="shared" si="14"/>
        <v>0</v>
      </c>
      <c r="AH41" s="15">
        <f t="shared" si="14"/>
        <v>0</v>
      </c>
      <c r="AI41" s="15">
        <f t="shared" si="14"/>
        <v>0</v>
      </c>
      <c r="AJ41" s="15">
        <f t="shared" si="14"/>
        <v>0</v>
      </c>
      <c r="AK41" s="15">
        <f t="shared" si="14"/>
        <v>0</v>
      </c>
      <c r="AL41" s="15">
        <f t="shared" si="14"/>
        <v>0</v>
      </c>
      <c r="AM41" s="15">
        <f t="shared" si="14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5">SUM(O42:AV42)</f>
        <v>41777.061930733908</v>
      </c>
      <c r="M42" s="1"/>
      <c r="N42" s="1"/>
      <c r="O42" s="44">
        <f>'Fluxo Rateio'!O24*$G$34</f>
        <v>41777.061930733908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5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5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5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5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5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 t="shared" ref="O49:AM49" si="16">O50+O59</f>
        <v>0</v>
      </c>
      <c r="P49" s="13">
        <f t="shared" si="16"/>
        <v>0</v>
      </c>
      <c r="Q49" s="13">
        <f t="shared" si="16"/>
        <v>0</v>
      </c>
      <c r="R49" s="13">
        <f t="shared" si="16"/>
        <v>0</v>
      </c>
      <c r="S49" s="13">
        <f t="shared" si="16"/>
        <v>0</v>
      </c>
      <c r="T49" s="13">
        <f t="shared" si="16"/>
        <v>0</v>
      </c>
      <c r="U49" s="13">
        <f t="shared" si="16"/>
        <v>0</v>
      </c>
      <c r="V49" s="13">
        <f t="shared" si="16"/>
        <v>0</v>
      </c>
      <c r="W49" s="13">
        <f t="shared" si="16"/>
        <v>0</v>
      </c>
      <c r="X49" s="13">
        <f t="shared" si="16"/>
        <v>0</v>
      </c>
      <c r="Y49" s="13">
        <f t="shared" si="16"/>
        <v>0</v>
      </c>
      <c r="Z49" s="13">
        <f t="shared" si="16"/>
        <v>0</v>
      </c>
      <c r="AA49" s="13">
        <f t="shared" si="16"/>
        <v>0</v>
      </c>
      <c r="AB49" s="13">
        <f t="shared" si="16"/>
        <v>0</v>
      </c>
      <c r="AC49" s="13">
        <f t="shared" si="16"/>
        <v>0</v>
      </c>
      <c r="AD49" s="13">
        <f t="shared" si="16"/>
        <v>0</v>
      </c>
      <c r="AE49" s="13">
        <f t="shared" si="16"/>
        <v>0</v>
      </c>
      <c r="AF49" s="13">
        <f t="shared" si="16"/>
        <v>0</v>
      </c>
      <c r="AG49" s="13">
        <f t="shared" si="16"/>
        <v>0</v>
      </c>
      <c r="AH49" s="13">
        <f t="shared" si="16"/>
        <v>0</v>
      </c>
      <c r="AI49" s="13">
        <f t="shared" si="16"/>
        <v>0</v>
      </c>
      <c r="AJ49" s="13">
        <f t="shared" si="16"/>
        <v>0</v>
      </c>
      <c r="AK49" s="13">
        <f t="shared" si="16"/>
        <v>0</v>
      </c>
      <c r="AL49" s="13">
        <f t="shared" si="16"/>
        <v>0</v>
      </c>
      <c r="AM49" s="13">
        <f t="shared" si="16"/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SUM(O50:AM50)</f>
        <v>0</v>
      </c>
      <c r="M50" s="1"/>
      <c r="N50" s="1"/>
      <c r="O50" s="15">
        <f>'Fluxo Rateio'!O26*$G$16</f>
        <v>0</v>
      </c>
      <c r="P50" s="15">
        <f>'Fluxo Rateio'!P26*$G$16</f>
        <v>0</v>
      </c>
      <c r="Q50" s="15">
        <f>'Fluxo Rateio'!Q26*$G$16</f>
        <v>0</v>
      </c>
      <c r="R50" s="15">
        <f>'Fluxo Rateio'!R26*$G$16</f>
        <v>0</v>
      </c>
      <c r="S50" s="15">
        <f>'Fluxo Rateio'!S26*$G$16</f>
        <v>0</v>
      </c>
      <c r="T50" s="15">
        <f>'Fluxo Rateio'!T26*$G$16</f>
        <v>0</v>
      </c>
      <c r="U50" s="15">
        <f>'Fluxo Rateio'!U26*$G$16</f>
        <v>0</v>
      </c>
      <c r="V50" s="15">
        <f>'Fluxo Rateio'!V26*$G$16</f>
        <v>0</v>
      </c>
      <c r="W50" s="15">
        <f>'Fluxo Rateio'!W26*$G$16</f>
        <v>0</v>
      </c>
      <c r="X50" s="15">
        <f>'Fluxo Rateio'!X26*$G$16</f>
        <v>0</v>
      </c>
      <c r="Y50" s="15">
        <f>'Fluxo Rateio'!Y26*$G$16</f>
        <v>0</v>
      </c>
      <c r="Z50" s="15">
        <f>'Fluxo Rateio'!Z26*$G$16</f>
        <v>0</v>
      </c>
      <c r="AA50" s="15">
        <f>'Fluxo Rateio'!AA26*$G$16</f>
        <v>0</v>
      </c>
      <c r="AB50" s="15">
        <f>'Fluxo Rateio'!AB26*$G$16</f>
        <v>0</v>
      </c>
      <c r="AC50" s="15">
        <f>'Fluxo Rateio'!AC26*$G$16</f>
        <v>0</v>
      </c>
      <c r="AD50" s="15">
        <f>'Fluxo Rateio'!AD26*$G$16</f>
        <v>0</v>
      </c>
      <c r="AE50" s="15">
        <f>'Fluxo Rateio'!AE26*$G$16</f>
        <v>0</v>
      </c>
      <c r="AF50" s="15">
        <f>'Fluxo Rateio'!AF26*$G$16</f>
        <v>0</v>
      </c>
      <c r="AG50" s="15">
        <f>'Fluxo Rateio'!AG26*$G$16</f>
        <v>0</v>
      </c>
      <c r="AH50" s="15">
        <f>'Fluxo Rateio'!AH26*$G$16</f>
        <v>0</v>
      </c>
      <c r="AI50" s="15">
        <f>'Fluxo Rateio'!AI26*$G$16</f>
        <v>0</v>
      </c>
      <c r="AJ50" s="15">
        <f>'Fluxo Rateio'!AJ26*$G$16</f>
        <v>0</v>
      </c>
      <c r="AK50" s="15">
        <f>'Fluxo Rateio'!AK26*$G$16</f>
        <v>0</v>
      </c>
      <c r="AL50" s="15">
        <f>'Fluxo Rateio'!AL26*$G$16</f>
        <v>0</v>
      </c>
      <c r="AM50" s="15">
        <f>'Fluxo Rateio'!AM26*$G$16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7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7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7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7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7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7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7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8">SUM(O60:AV60)</f>
        <v>3782622.643678057</v>
      </c>
      <c r="M60" s="1"/>
      <c r="N60" s="1"/>
      <c r="O60" s="52">
        <f t="shared" ref="O60:AM60" si="19">O29</f>
        <v>1197307.7337502912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519752.23857777513</v>
      </c>
      <c r="T60" s="52">
        <f t="shared" si="19"/>
        <v>0</v>
      </c>
      <c r="U60" s="52">
        <f t="shared" si="19"/>
        <v>0</v>
      </c>
      <c r="V60" s="52">
        <f t="shared" si="19"/>
        <v>46579.759236850354</v>
      </c>
      <c r="W60" s="52">
        <f t="shared" si="19"/>
        <v>67537.758662181994</v>
      </c>
      <c r="X60" s="52">
        <f t="shared" si="19"/>
        <v>0</v>
      </c>
      <c r="Y60" s="52">
        <f t="shared" si="19"/>
        <v>516220.11332271731</v>
      </c>
      <c r="Z60" s="52">
        <f t="shared" si="19"/>
        <v>0</v>
      </c>
      <c r="AA60" s="52">
        <f t="shared" si="19"/>
        <v>235124.69269180158</v>
      </c>
      <c r="AB60" s="52">
        <f t="shared" si="19"/>
        <v>0</v>
      </c>
      <c r="AC60" s="52">
        <f t="shared" si="19"/>
        <v>0</v>
      </c>
      <c r="AD60" s="52">
        <f t="shared" si="19"/>
        <v>562749.16913207108</v>
      </c>
      <c r="AE60" s="52">
        <f t="shared" si="19"/>
        <v>9755.2818275611589</v>
      </c>
      <c r="AF60" s="52">
        <f t="shared" si="19"/>
        <v>57833.180262117428</v>
      </c>
      <c r="AG60" s="52">
        <f t="shared" si="19"/>
        <v>0</v>
      </c>
      <c r="AH60" s="52">
        <f t="shared" si="19"/>
        <v>0</v>
      </c>
      <c r="AI60" s="52">
        <f t="shared" si="19"/>
        <v>519701.53515027848</v>
      </c>
      <c r="AJ60" s="52">
        <f t="shared" si="19"/>
        <v>0</v>
      </c>
      <c r="AK60" s="52">
        <f t="shared" si="19"/>
        <v>46579.759236850354</v>
      </c>
      <c r="AL60" s="52">
        <f t="shared" si="19"/>
        <v>0</v>
      </c>
      <c r="AM60" s="52">
        <f t="shared" si="19"/>
        <v>3481.4218275611588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8"/>
        <v>0</v>
      </c>
      <c r="M61" s="1"/>
      <c r="N61" s="1"/>
      <c r="O61" s="54">
        <f t="shared" ref="O61:AM61" si="20">O49</f>
        <v>0</v>
      </c>
      <c r="P61" s="54">
        <f t="shared" si="20"/>
        <v>0</v>
      </c>
      <c r="Q61" s="54">
        <f t="shared" si="20"/>
        <v>0</v>
      </c>
      <c r="R61" s="54">
        <f t="shared" si="20"/>
        <v>0</v>
      </c>
      <c r="S61" s="54">
        <f t="shared" si="20"/>
        <v>0</v>
      </c>
      <c r="T61" s="54">
        <f t="shared" si="20"/>
        <v>0</v>
      </c>
      <c r="U61" s="54">
        <f t="shared" si="20"/>
        <v>0</v>
      </c>
      <c r="V61" s="54">
        <f t="shared" si="20"/>
        <v>0</v>
      </c>
      <c r="W61" s="54">
        <f t="shared" si="20"/>
        <v>0</v>
      </c>
      <c r="X61" s="54">
        <f t="shared" si="20"/>
        <v>0</v>
      </c>
      <c r="Y61" s="54">
        <f t="shared" si="20"/>
        <v>0</v>
      </c>
      <c r="Z61" s="54">
        <f t="shared" si="20"/>
        <v>0</v>
      </c>
      <c r="AA61" s="54">
        <f t="shared" si="20"/>
        <v>0</v>
      </c>
      <c r="AB61" s="54">
        <f t="shared" si="20"/>
        <v>0</v>
      </c>
      <c r="AC61" s="54">
        <f t="shared" si="20"/>
        <v>0</v>
      </c>
      <c r="AD61" s="54">
        <f t="shared" si="20"/>
        <v>0</v>
      </c>
      <c r="AE61" s="54">
        <f t="shared" si="20"/>
        <v>0</v>
      </c>
      <c r="AF61" s="54">
        <f t="shared" si="20"/>
        <v>0</v>
      </c>
      <c r="AG61" s="54">
        <f t="shared" si="20"/>
        <v>0</v>
      </c>
      <c r="AH61" s="54">
        <f t="shared" si="20"/>
        <v>0</v>
      </c>
      <c r="AI61" s="54">
        <f t="shared" si="20"/>
        <v>0</v>
      </c>
      <c r="AJ61" s="54">
        <f t="shared" si="20"/>
        <v>0</v>
      </c>
      <c r="AK61" s="54">
        <f t="shared" si="20"/>
        <v>0</v>
      </c>
      <c r="AL61" s="54">
        <f t="shared" si="20"/>
        <v>0</v>
      </c>
      <c r="AM61" s="54">
        <f t="shared" si="20"/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8"/>
        <v>14331768.731474394</v>
      </c>
      <c r="M62" s="1"/>
      <c r="N62" s="1"/>
      <c r="O62" s="54">
        <f t="shared" ref="O62:AM62" si="21">O75</f>
        <v>196325.59906129295</v>
      </c>
      <c r="P62" s="54">
        <f t="shared" si="21"/>
        <v>588976.79718387942</v>
      </c>
      <c r="Q62" s="54">
        <f t="shared" si="21"/>
        <v>588976.79718387942</v>
      </c>
      <c r="R62" s="54">
        <f t="shared" si="21"/>
        <v>588976.79718387942</v>
      </c>
      <c r="S62" s="54">
        <f t="shared" si="21"/>
        <v>588976.79718387942</v>
      </c>
      <c r="T62" s="54">
        <f t="shared" si="21"/>
        <v>588976.79718387942</v>
      </c>
      <c r="U62" s="54">
        <f t="shared" si="21"/>
        <v>588976.79718387942</v>
      </c>
      <c r="V62" s="54">
        <f t="shared" si="21"/>
        <v>588976.79718387942</v>
      </c>
      <c r="W62" s="54">
        <f t="shared" si="21"/>
        <v>588976.79718387942</v>
      </c>
      <c r="X62" s="54">
        <f t="shared" si="21"/>
        <v>588976.79718387942</v>
      </c>
      <c r="Y62" s="54">
        <f t="shared" si="21"/>
        <v>588976.79718387942</v>
      </c>
      <c r="Z62" s="54">
        <f t="shared" si="21"/>
        <v>588976.79718387942</v>
      </c>
      <c r="AA62" s="54">
        <f t="shared" si="21"/>
        <v>588976.79718387942</v>
      </c>
      <c r="AB62" s="54">
        <f t="shared" si="21"/>
        <v>588976.79718387942</v>
      </c>
      <c r="AC62" s="54">
        <f t="shared" si="21"/>
        <v>588976.79718387942</v>
      </c>
      <c r="AD62" s="54">
        <f t="shared" si="21"/>
        <v>588976.79718387942</v>
      </c>
      <c r="AE62" s="54">
        <f t="shared" si="21"/>
        <v>588976.79718387942</v>
      </c>
      <c r="AF62" s="54">
        <f t="shared" si="21"/>
        <v>588976.79718387942</v>
      </c>
      <c r="AG62" s="54">
        <f t="shared" si="21"/>
        <v>588976.79718387942</v>
      </c>
      <c r="AH62" s="54">
        <f t="shared" si="21"/>
        <v>588976.79718387942</v>
      </c>
      <c r="AI62" s="54">
        <f t="shared" si="21"/>
        <v>588976.79718387942</v>
      </c>
      <c r="AJ62" s="54">
        <f t="shared" si="21"/>
        <v>588976.79718387942</v>
      </c>
      <c r="AK62" s="54">
        <f t="shared" si="21"/>
        <v>588976.79718387942</v>
      </c>
      <c r="AL62" s="54">
        <f t="shared" si="21"/>
        <v>588976.79718387942</v>
      </c>
      <c r="AM62" s="54">
        <f t="shared" si="21"/>
        <v>588976.79718387942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 t="s">
        <v>34</v>
      </c>
      <c r="H63" s="57">
        <v>0.32578942</v>
      </c>
      <c r="I63" s="55"/>
      <c r="J63" s="55"/>
      <c r="K63" s="58"/>
      <c r="L63" s="59">
        <f>SUM(O63:AV63)</f>
        <v>4669138.6226011794</v>
      </c>
      <c r="M63" s="1"/>
      <c r="N63" s="1"/>
      <c r="O63" s="59">
        <f t="shared" ref="O63:AM63" si="22">$H63*O62</f>
        <v>63960.803049331174</v>
      </c>
      <c r="P63" s="59">
        <f t="shared" si="22"/>
        <v>191882.40914799372</v>
      </c>
      <c r="Q63" s="59">
        <f t="shared" si="22"/>
        <v>191882.40914799372</v>
      </c>
      <c r="R63" s="59">
        <f t="shared" si="22"/>
        <v>191882.40914799372</v>
      </c>
      <c r="S63" s="59">
        <f t="shared" si="22"/>
        <v>191882.40914799372</v>
      </c>
      <c r="T63" s="59">
        <f t="shared" si="22"/>
        <v>191882.40914799372</v>
      </c>
      <c r="U63" s="59">
        <f t="shared" si="22"/>
        <v>191882.40914799372</v>
      </c>
      <c r="V63" s="59">
        <f t="shared" si="22"/>
        <v>191882.40914799372</v>
      </c>
      <c r="W63" s="59">
        <f t="shared" si="22"/>
        <v>191882.40914799372</v>
      </c>
      <c r="X63" s="59">
        <f t="shared" si="22"/>
        <v>191882.40914799372</v>
      </c>
      <c r="Y63" s="59">
        <f t="shared" si="22"/>
        <v>191882.40914799372</v>
      </c>
      <c r="Z63" s="59">
        <f t="shared" si="22"/>
        <v>191882.40914799372</v>
      </c>
      <c r="AA63" s="59">
        <f t="shared" si="22"/>
        <v>191882.40914799372</v>
      </c>
      <c r="AB63" s="59">
        <f t="shared" si="22"/>
        <v>191882.40914799372</v>
      </c>
      <c r="AC63" s="59">
        <f t="shared" si="22"/>
        <v>191882.40914799372</v>
      </c>
      <c r="AD63" s="59">
        <f t="shared" si="22"/>
        <v>191882.40914799372</v>
      </c>
      <c r="AE63" s="59">
        <f t="shared" si="22"/>
        <v>191882.40914799372</v>
      </c>
      <c r="AF63" s="59">
        <f t="shared" si="22"/>
        <v>191882.40914799372</v>
      </c>
      <c r="AG63" s="59">
        <f t="shared" si="22"/>
        <v>191882.40914799372</v>
      </c>
      <c r="AH63" s="59">
        <f t="shared" si="22"/>
        <v>191882.40914799372</v>
      </c>
      <c r="AI63" s="59">
        <f t="shared" si="22"/>
        <v>191882.40914799372</v>
      </c>
      <c r="AJ63" s="59">
        <f t="shared" si="22"/>
        <v>191882.40914799372</v>
      </c>
      <c r="AK63" s="59">
        <f t="shared" si="22"/>
        <v>191882.40914799372</v>
      </c>
      <c r="AL63" s="59">
        <f t="shared" si="22"/>
        <v>191882.40914799372</v>
      </c>
      <c r="AM63" s="59">
        <f t="shared" si="22"/>
        <v>191882.40914799372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61"/>
      <c r="I64" s="61"/>
      <c r="J64" s="61"/>
      <c r="K64" s="61"/>
      <c r="L64" s="62">
        <v>0</v>
      </c>
      <c r="M64" s="1"/>
      <c r="N64" s="1"/>
      <c r="O64" s="62">
        <v>0</v>
      </c>
      <c r="P64" s="62">
        <f t="shared" ref="P64:AM64" si="23">O69</f>
        <v>-1133346.9307009601</v>
      </c>
      <c r="Q64" s="62">
        <f t="shared" si="23"/>
        <v>-352487.72436908697</v>
      </c>
      <c r="R64" s="62">
        <f t="shared" si="23"/>
        <v>-195614.70760554919</v>
      </c>
      <c r="S64" s="62">
        <f t="shared" si="23"/>
        <v>-23160.924140878371</v>
      </c>
      <c r="T64" s="62">
        <f t="shared" si="23"/>
        <v>-353331.11703065241</v>
      </c>
      <c r="U64" s="62">
        <f t="shared" si="23"/>
        <v>-196541.86677182274</v>
      </c>
      <c r="V64" s="62">
        <f t="shared" si="23"/>
        <v>-24180.169575157459</v>
      </c>
      <c r="W64" s="62">
        <f t="shared" si="23"/>
        <v>118720.88451844483</v>
      </c>
      <c r="X64" s="62">
        <f t="shared" si="23"/>
        <v>254856.99820421706</v>
      </c>
      <c r="Y64" s="62">
        <f t="shared" si="23"/>
        <v>472052.02970814129</v>
      </c>
      <c r="Z64" s="62">
        <f t="shared" si="23"/>
        <v>194598.9504193234</v>
      </c>
      <c r="AA64" s="62">
        <f t="shared" si="23"/>
        <v>405809.09934897197</v>
      </c>
      <c r="AB64" s="62">
        <f t="shared" si="23"/>
        <v>402872.13428886444</v>
      </c>
      <c r="AC64" s="62">
        <f t="shared" si="23"/>
        <v>634768.15995450341</v>
      </c>
      <c r="AD64" s="62">
        <f t="shared" si="23"/>
        <v>889696.30388597841</v>
      </c>
      <c r="AE64" s="62">
        <f t="shared" si="23"/>
        <v>607194.96729783714</v>
      </c>
      <c r="AF64" s="62">
        <f t="shared" si="23"/>
        <v>849629.23553231265</v>
      </c>
      <c r="AG64" s="62">
        <f t="shared" si="23"/>
        <v>1068064.3911658402</v>
      </c>
      <c r="AH64" s="62">
        <f t="shared" si="23"/>
        <v>1366027.8998162858</v>
      </c>
      <c r="AI64" s="62">
        <f t="shared" si="23"/>
        <v>1693585.407546455</v>
      </c>
      <c r="AJ64" s="62">
        <f t="shared" si="23"/>
        <v>1533974.6813558445</v>
      </c>
      <c r="AK64" s="62">
        <f t="shared" si="23"/>
        <v>1878212.8118939397</v>
      </c>
      <c r="AL64" s="62">
        <f t="shared" si="23"/>
        <v>2210061.2186276829</v>
      </c>
      <c r="AM64" s="62">
        <f t="shared" si="23"/>
        <v>2621448.8617099761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24">SUM(O65:AV65)</f>
        <v>-3782622.643678057</v>
      </c>
      <c r="M65" s="1"/>
      <c r="N65" s="1"/>
      <c r="O65" s="54">
        <f t="shared" ref="O65:AM65" si="25">-O60</f>
        <v>-1197307.7337502912</v>
      </c>
      <c r="P65" s="54">
        <f t="shared" si="25"/>
        <v>0</v>
      </c>
      <c r="Q65" s="54">
        <f t="shared" si="25"/>
        <v>0</v>
      </c>
      <c r="R65" s="54">
        <f t="shared" si="25"/>
        <v>0</v>
      </c>
      <c r="S65" s="54">
        <f t="shared" si="25"/>
        <v>-519752.23857777513</v>
      </c>
      <c r="T65" s="54">
        <f t="shared" si="25"/>
        <v>0</v>
      </c>
      <c r="U65" s="54">
        <f t="shared" si="25"/>
        <v>0</v>
      </c>
      <c r="V65" s="54">
        <f t="shared" si="25"/>
        <v>-46579.759236850354</v>
      </c>
      <c r="W65" s="54">
        <f t="shared" si="25"/>
        <v>-67537.758662181994</v>
      </c>
      <c r="X65" s="54">
        <f t="shared" si="25"/>
        <v>0</v>
      </c>
      <c r="Y65" s="54">
        <f t="shared" si="25"/>
        <v>-516220.11332271731</v>
      </c>
      <c r="Z65" s="54">
        <f t="shared" si="25"/>
        <v>0</v>
      </c>
      <c r="AA65" s="54">
        <f t="shared" si="25"/>
        <v>-235124.69269180158</v>
      </c>
      <c r="AB65" s="54">
        <f t="shared" si="25"/>
        <v>0</v>
      </c>
      <c r="AC65" s="54">
        <f t="shared" si="25"/>
        <v>0</v>
      </c>
      <c r="AD65" s="54">
        <f t="shared" si="25"/>
        <v>-562749.16913207108</v>
      </c>
      <c r="AE65" s="54">
        <f t="shared" si="25"/>
        <v>-9755.2818275611589</v>
      </c>
      <c r="AF65" s="54">
        <f t="shared" si="25"/>
        <v>-57833.180262117428</v>
      </c>
      <c r="AG65" s="54">
        <f t="shared" si="25"/>
        <v>0</v>
      </c>
      <c r="AH65" s="54">
        <f t="shared" si="25"/>
        <v>0</v>
      </c>
      <c r="AI65" s="54">
        <f t="shared" si="25"/>
        <v>-519701.53515027848</v>
      </c>
      <c r="AJ65" s="54">
        <f t="shared" si="25"/>
        <v>0</v>
      </c>
      <c r="AK65" s="54">
        <f t="shared" si="25"/>
        <v>-46579.759236850354</v>
      </c>
      <c r="AL65" s="54">
        <f t="shared" si="25"/>
        <v>0</v>
      </c>
      <c r="AM65" s="54">
        <f t="shared" si="25"/>
        <v>-3481.4218275611588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24"/>
        <v>0</v>
      </c>
      <c r="M66" s="1"/>
      <c r="N66" s="1"/>
      <c r="O66" s="54">
        <f t="shared" ref="O66:AM66" si="26">O61</f>
        <v>0</v>
      </c>
      <c r="P66" s="54">
        <f t="shared" si="26"/>
        <v>0</v>
      </c>
      <c r="Q66" s="54">
        <f t="shared" si="26"/>
        <v>0</v>
      </c>
      <c r="R66" s="54">
        <f t="shared" si="26"/>
        <v>0</v>
      </c>
      <c r="S66" s="54">
        <f t="shared" si="26"/>
        <v>0</v>
      </c>
      <c r="T66" s="54">
        <f t="shared" si="26"/>
        <v>0</v>
      </c>
      <c r="U66" s="54">
        <f t="shared" si="26"/>
        <v>0</v>
      </c>
      <c r="V66" s="54">
        <f t="shared" si="26"/>
        <v>0</v>
      </c>
      <c r="W66" s="54">
        <f t="shared" si="26"/>
        <v>0</v>
      </c>
      <c r="X66" s="54">
        <f t="shared" si="26"/>
        <v>0</v>
      </c>
      <c r="Y66" s="54">
        <f t="shared" si="26"/>
        <v>0</v>
      </c>
      <c r="Z66" s="54">
        <f t="shared" si="26"/>
        <v>0</v>
      </c>
      <c r="AA66" s="54">
        <f t="shared" si="26"/>
        <v>0</v>
      </c>
      <c r="AB66" s="54">
        <f t="shared" si="26"/>
        <v>0</v>
      </c>
      <c r="AC66" s="54">
        <f t="shared" si="26"/>
        <v>0</v>
      </c>
      <c r="AD66" s="54">
        <f t="shared" si="26"/>
        <v>0</v>
      </c>
      <c r="AE66" s="54">
        <f t="shared" si="26"/>
        <v>0</v>
      </c>
      <c r="AF66" s="54">
        <f t="shared" si="26"/>
        <v>0</v>
      </c>
      <c r="AG66" s="54">
        <f t="shared" si="26"/>
        <v>0</v>
      </c>
      <c r="AH66" s="54">
        <f t="shared" si="26"/>
        <v>0</v>
      </c>
      <c r="AI66" s="54">
        <f t="shared" si="26"/>
        <v>0</v>
      </c>
      <c r="AJ66" s="54">
        <f t="shared" si="26"/>
        <v>0</v>
      </c>
      <c r="AK66" s="54">
        <f t="shared" si="26"/>
        <v>0</v>
      </c>
      <c r="AL66" s="54">
        <f t="shared" si="26"/>
        <v>0</v>
      </c>
      <c r="AM66" s="54">
        <f t="shared" si="26"/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24"/>
        <v>2183698.4884203272</v>
      </c>
      <c r="M67" s="1"/>
      <c r="N67" s="1"/>
      <c r="O67" s="54">
        <f>$H67*O64</f>
        <v>0</v>
      </c>
      <c r="P67" s="54">
        <f>P62</f>
        <v>588976.79718387942</v>
      </c>
      <c r="Q67" s="54">
        <f t="shared" ref="Q67:AM67" si="27">$H67*Q64</f>
        <v>-35009.392384455939</v>
      </c>
      <c r="R67" s="54">
        <f t="shared" si="27"/>
        <v>-19428.625683322905</v>
      </c>
      <c r="S67" s="54">
        <f t="shared" si="27"/>
        <v>-2300.3634599927082</v>
      </c>
      <c r="T67" s="54">
        <f t="shared" si="27"/>
        <v>-35093.158889164049</v>
      </c>
      <c r="U67" s="54">
        <f t="shared" si="27"/>
        <v>-19520.711951328449</v>
      </c>
      <c r="V67" s="54">
        <f t="shared" si="27"/>
        <v>-2401.5958175410756</v>
      </c>
      <c r="W67" s="54">
        <f t="shared" si="27"/>
        <v>11791.463199960517</v>
      </c>
      <c r="X67" s="54">
        <f t="shared" si="27"/>
        <v>25312.622355930496</v>
      </c>
      <c r="Y67" s="54">
        <f t="shared" si="27"/>
        <v>46884.624885905716</v>
      </c>
      <c r="Z67" s="54">
        <f t="shared" si="27"/>
        <v>19327.739781654815</v>
      </c>
      <c r="AA67" s="54">
        <f t="shared" si="27"/>
        <v>40305.318483700314</v>
      </c>
      <c r="AB67" s="54">
        <f t="shared" si="27"/>
        <v>40013.616517645241</v>
      </c>
      <c r="AC67" s="54">
        <f t="shared" si="27"/>
        <v>63045.734783481254</v>
      </c>
      <c r="AD67" s="54">
        <f t="shared" si="27"/>
        <v>88365.423395936028</v>
      </c>
      <c r="AE67" s="54">
        <f t="shared" si="27"/>
        <v>60307.140914042982</v>
      </c>
      <c r="AF67" s="54">
        <f t="shared" si="27"/>
        <v>84385.926747651276</v>
      </c>
      <c r="AG67" s="54">
        <f t="shared" si="27"/>
        <v>106081.09950245183</v>
      </c>
      <c r="AH67" s="54">
        <f t="shared" si="27"/>
        <v>135675.09858217559</v>
      </c>
      <c r="AI67" s="54">
        <f t="shared" si="27"/>
        <v>168208.39981167411</v>
      </c>
      <c r="AJ67" s="54">
        <f t="shared" si="27"/>
        <v>152355.72139010156</v>
      </c>
      <c r="AK67" s="54">
        <f t="shared" si="27"/>
        <v>186545.75682259974</v>
      </c>
      <c r="AL67" s="54">
        <f t="shared" si="27"/>
        <v>219505.23393429976</v>
      </c>
      <c r="AM67" s="54">
        <f t="shared" si="27"/>
        <v>260364.61831304154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24"/>
        <v>4669138.6226011794</v>
      </c>
      <c r="M68" s="1"/>
      <c r="N68" s="1"/>
      <c r="O68" s="54">
        <f t="shared" ref="O68:AM68" si="28">O63</f>
        <v>63960.803049331174</v>
      </c>
      <c r="P68" s="54">
        <f t="shared" si="28"/>
        <v>191882.40914799372</v>
      </c>
      <c r="Q68" s="54">
        <f t="shared" si="28"/>
        <v>191882.40914799372</v>
      </c>
      <c r="R68" s="54">
        <f t="shared" si="28"/>
        <v>191882.40914799372</v>
      </c>
      <c r="S68" s="54">
        <f t="shared" si="28"/>
        <v>191882.40914799372</v>
      </c>
      <c r="T68" s="54">
        <f t="shared" si="28"/>
        <v>191882.40914799372</v>
      </c>
      <c r="U68" s="54">
        <f t="shared" si="28"/>
        <v>191882.40914799372</v>
      </c>
      <c r="V68" s="54">
        <f t="shared" si="28"/>
        <v>191882.40914799372</v>
      </c>
      <c r="W68" s="54">
        <f t="shared" si="28"/>
        <v>191882.40914799372</v>
      </c>
      <c r="X68" s="54">
        <f t="shared" si="28"/>
        <v>191882.40914799372</v>
      </c>
      <c r="Y68" s="54">
        <f t="shared" si="28"/>
        <v>191882.40914799372</v>
      </c>
      <c r="Z68" s="54">
        <f t="shared" si="28"/>
        <v>191882.40914799372</v>
      </c>
      <c r="AA68" s="54">
        <f t="shared" si="28"/>
        <v>191882.40914799372</v>
      </c>
      <c r="AB68" s="54">
        <f t="shared" si="28"/>
        <v>191882.40914799372</v>
      </c>
      <c r="AC68" s="54">
        <f t="shared" si="28"/>
        <v>191882.40914799372</v>
      </c>
      <c r="AD68" s="54">
        <f t="shared" si="28"/>
        <v>191882.40914799372</v>
      </c>
      <c r="AE68" s="54">
        <f t="shared" si="28"/>
        <v>191882.40914799372</v>
      </c>
      <c r="AF68" s="54">
        <f t="shared" si="28"/>
        <v>191882.40914799372</v>
      </c>
      <c r="AG68" s="54">
        <f t="shared" si="28"/>
        <v>191882.40914799372</v>
      </c>
      <c r="AH68" s="54">
        <f t="shared" si="28"/>
        <v>191882.40914799372</v>
      </c>
      <c r="AI68" s="54">
        <f t="shared" si="28"/>
        <v>191882.40914799372</v>
      </c>
      <c r="AJ68" s="54">
        <f t="shared" si="28"/>
        <v>191882.40914799372</v>
      </c>
      <c r="AK68" s="54">
        <f t="shared" si="28"/>
        <v>191882.40914799372</v>
      </c>
      <c r="AL68" s="54">
        <f t="shared" si="28"/>
        <v>191882.40914799372</v>
      </c>
      <c r="AM68" s="54">
        <f t="shared" si="28"/>
        <v>191882.40914799372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3070214.4673434496</v>
      </c>
      <c r="M69" s="1"/>
      <c r="N69" s="1"/>
      <c r="O69" s="67">
        <f t="shared" ref="O69:AM69" si="29">SUM(O64:O68)</f>
        <v>-1133346.9307009601</v>
      </c>
      <c r="P69" s="67">
        <f t="shared" si="29"/>
        <v>-352487.72436908697</v>
      </c>
      <c r="Q69" s="67">
        <f t="shared" si="29"/>
        <v>-195614.70760554919</v>
      </c>
      <c r="R69" s="67">
        <f t="shared" si="29"/>
        <v>-23160.924140878371</v>
      </c>
      <c r="S69" s="67">
        <f t="shared" si="29"/>
        <v>-353331.11703065241</v>
      </c>
      <c r="T69" s="67">
        <f t="shared" si="29"/>
        <v>-196541.86677182274</v>
      </c>
      <c r="U69" s="67">
        <f t="shared" si="29"/>
        <v>-24180.169575157459</v>
      </c>
      <c r="V69" s="67">
        <f t="shared" si="29"/>
        <v>118720.88451844483</v>
      </c>
      <c r="W69" s="67">
        <f t="shared" si="29"/>
        <v>254856.99820421706</v>
      </c>
      <c r="X69" s="67">
        <f t="shared" si="29"/>
        <v>472052.02970814129</v>
      </c>
      <c r="Y69" s="67">
        <f t="shared" si="29"/>
        <v>194598.9504193234</v>
      </c>
      <c r="Z69" s="67">
        <f t="shared" si="29"/>
        <v>405809.09934897197</v>
      </c>
      <c r="AA69" s="67">
        <f t="shared" si="29"/>
        <v>402872.13428886444</v>
      </c>
      <c r="AB69" s="67">
        <f t="shared" si="29"/>
        <v>634768.15995450341</v>
      </c>
      <c r="AC69" s="67">
        <f t="shared" si="29"/>
        <v>889696.30388597841</v>
      </c>
      <c r="AD69" s="67">
        <f t="shared" si="29"/>
        <v>607194.96729783714</v>
      </c>
      <c r="AE69" s="67">
        <f t="shared" si="29"/>
        <v>849629.23553231265</v>
      </c>
      <c r="AF69" s="67">
        <f t="shared" si="29"/>
        <v>1068064.3911658402</v>
      </c>
      <c r="AG69" s="67">
        <f t="shared" si="29"/>
        <v>1366027.8998162858</v>
      </c>
      <c r="AH69" s="67">
        <f t="shared" si="29"/>
        <v>1693585.407546455</v>
      </c>
      <c r="AI69" s="67">
        <f t="shared" si="29"/>
        <v>1533974.6813558445</v>
      </c>
      <c r="AJ69" s="67">
        <f t="shared" si="29"/>
        <v>1878212.8118939397</v>
      </c>
      <c r="AK69" s="67">
        <f t="shared" si="29"/>
        <v>2210061.2186276829</v>
      </c>
      <c r="AL69" s="67">
        <f t="shared" si="29"/>
        <v>2621448.8617099761</v>
      </c>
      <c r="AM69" s="67">
        <f t="shared" si="29"/>
        <v>3070214.4673434501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6852837.1110215066</v>
      </c>
      <c r="M70" s="1"/>
      <c r="N70" s="1"/>
      <c r="O70" s="69">
        <f t="shared" ref="O70:AM70" si="30">MAX(O68+O67,0)</f>
        <v>63960.803049331174</v>
      </c>
      <c r="P70" s="69">
        <f t="shared" si="30"/>
        <v>780859.20633187308</v>
      </c>
      <c r="Q70" s="69">
        <f t="shared" si="30"/>
        <v>156873.01676353777</v>
      </c>
      <c r="R70" s="69">
        <f t="shared" si="30"/>
        <v>172453.78346467082</v>
      </c>
      <c r="S70" s="69">
        <f t="shared" si="30"/>
        <v>189582.045688001</v>
      </c>
      <c r="T70" s="69">
        <f t="shared" si="30"/>
        <v>156789.25025882968</v>
      </c>
      <c r="U70" s="69">
        <f t="shared" si="30"/>
        <v>172361.69719666528</v>
      </c>
      <c r="V70" s="69">
        <f t="shared" si="30"/>
        <v>189480.81333045266</v>
      </c>
      <c r="W70" s="69">
        <f t="shared" si="30"/>
        <v>203673.87234795422</v>
      </c>
      <c r="X70" s="69">
        <f t="shared" si="30"/>
        <v>217195.03150392423</v>
      </c>
      <c r="Y70" s="69">
        <f t="shared" si="30"/>
        <v>238767.03403389943</v>
      </c>
      <c r="Z70" s="69">
        <f t="shared" si="30"/>
        <v>211210.14892964854</v>
      </c>
      <c r="AA70" s="69">
        <f t="shared" si="30"/>
        <v>232187.72763169403</v>
      </c>
      <c r="AB70" s="69">
        <f t="shared" si="30"/>
        <v>231896.02566563897</v>
      </c>
      <c r="AC70" s="69">
        <f t="shared" si="30"/>
        <v>254928.14393147497</v>
      </c>
      <c r="AD70" s="69">
        <f t="shared" si="30"/>
        <v>280247.83254392975</v>
      </c>
      <c r="AE70" s="69">
        <f t="shared" si="30"/>
        <v>252189.55006203669</v>
      </c>
      <c r="AF70" s="69">
        <f t="shared" si="30"/>
        <v>276268.33589564497</v>
      </c>
      <c r="AG70" s="69">
        <f t="shared" si="30"/>
        <v>297963.50865044555</v>
      </c>
      <c r="AH70" s="69">
        <f t="shared" si="30"/>
        <v>327557.50773016934</v>
      </c>
      <c r="AI70" s="69">
        <f t="shared" si="30"/>
        <v>360090.8089596678</v>
      </c>
      <c r="AJ70" s="69">
        <f t="shared" si="30"/>
        <v>344238.13053809525</v>
      </c>
      <c r="AK70" s="69">
        <f t="shared" si="30"/>
        <v>378428.16597059346</v>
      </c>
      <c r="AL70" s="69">
        <f t="shared" si="30"/>
        <v>411387.64308229345</v>
      </c>
      <c r="AM70" s="69">
        <f t="shared" si="30"/>
        <v>452247.02746103529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v>49081.399765323287</v>
      </c>
      <c r="H75" s="71">
        <v>0</v>
      </c>
      <c r="I75" s="174">
        <f>G75*(1+H75)</f>
        <v>49081.399765323287</v>
      </c>
      <c r="J75" s="232">
        <f>I75*12</f>
        <v>588976.79718387942</v>
      </c>
      <c r="K75" s="61"/>
      <c r="L75" s="174">
        <f t="shared" ref="L75:L78" si="31">SUM(O75:AV75)</f>
        <v>14331768.731474394</v>
      </c>
      <c r="M75" s="1"/>
      <c r="N75" s="1"/>
      <c r="O75" s="222">
        <f t="shared" ref="O75:AM75" si="32">SUM(O76)</f>
        <v>196325.59906129295</v>
      </c>
      <c r="P75" s="222">
        <f t="shared" si="32"/>
        <v>588976.79718387942</v>
      </c>
      <c r="Q75" s="62">
        <f t="shared" si="32"/>
        <v>588976.79718387942</v>
      </c>
      <c r="R75" s="62">
        <f t="shared" si="32"/>
        <v>588976.79718387942</v>
      </c>
      <c r="S75" s="62">
        <f t="shared" si="32"/>
        <v>588976.79718387942</v>
      </c>
      <c r="T75" s="62">
        <f t="shared" si="32"/>
        <v>588976.79718387942</v>
      </c>
      <c r="U75" s="62">
        <f t="shared" si="32"/>
        <v>588976.79718387942</v>
      </c>
      <c r="V75" s="62">
        <f t="shared" si="32"/>
        <v>588976.79718387942</v>
      </c>
      <c r="W75" s="62">
        <f t="shared" si="32"/>
        <v>588976.79718387942</v>
      </c>
      <c r="X75" s="62">
        <f t="shared" si="32"/>
        <v>588976.79718387942</v>
      </c>
      <c r="Y75" s="62">
        <f t="shared" si="32"/>
        <v>588976.79718387942</v>
      </c>
      <c r="Z75" s="62">
        <f t="shared" si="32"/>
        <v>588976.79718387942</v>
      </c>
      <c r="AA75" s="62">
        <f t="shared" si="32"/>
        <v>588976.79718387942</v>
      </c>
      <c r="AB75" s="62">
        <f t="shared" si="32"/>
        <v>588976.79718387942</v>
      </c>
      <c r="AC75" s="62">
        <f t="shared" si="32"/>
        <v>588976.79718387942</v>
      </c>
      <c r="AD75" s="62">
        <f t="shared" si="32"/>
        <v>588976.79718387942</v>
      </c>
      <c r="AE75" s="62">
        <f t="shared" si="32"/>
        <v>588976.79718387942</v>
      </c>
      <c r="AF75" s="62">
        <f t="shared" si="32"/>
        <v>588976.79718387942</v>
      </c>
      <c r="AG75" s="62">
        <f t="shared" si="32"/>
        <v>588976.79718387942</v>
      </c>
      <c r="AH75" s="62">
        <f t="shared" si="32"/>
        <v>588976.79718387942</v>
      </c>
      <c r="AI75" s="62">
        <f t="shared" si="32"/>
        <v>588976.79718387942</v>
      </c>
      <c r="AJ75" s="62">
        <f t="shared" si="32"/>
        <v>588976.79718387942</v>
      </c>
      <c r="AK75" s="62">
        <f t="shared" si="32"/>
        <v>588976.79718387942</v>
      </c>
      <c r="AL75" s="62">
        <f t="shared" si="32"/>
        <v>588976.79718387942</v>
      </c>
      <c r="AM75" s="62">
        <f t="shared" si="32"/>
        <v>588976.79718387942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49081.399765323287</v>
      </c>
      <c r="J76" s="51"/>
      <c r="K76" s="51"/>
      <c r="L76" s="227">
        <f t="shared" si="31"/>
        <v>14331768.731474394</v>
      </c>
      <c r="M76" s="1"/>
      <c r="N76" s="1"/>
      <c r="O76" s="52">
        <f t="shared" ref="O76:AM76" si="33">$I76*O78*12</f>
        <v>196325.59906129295</v>
      </c>
      <c r="P76" s="52">
        <f t="shared" si="33"/>
        <v>588976.79718387942</v>
      </c>
      <c r="Q76" s="52">
        <f t="shared" si="33"/>
        <v>588976.79718387942</v>
      </c>
      <c r="R76" s="52">
        <f t="shared" si="33"/>
        <v>588976.79718387942</v>
      </c>
      <c r="S76" s="52">
        <f t="shared" si="33"/>
        <v>588976.79718387942</v>
      </c>
      <c r="T76" s="52">
        <f t="shared" si="33"/>
        <v>588976.79718387942</v>
      </c>
      <c r="U76" s="52">
        <f t="shared" si="33"/>
        <v>588976.79718387942</v>
      </c>
      <c r="V76" s="52">
        <f t="shared" si="33"/>
        <v>588976.79718387942</v>
      </c>
      <c r="W76" s="52">
        <f t="shared" si="33"/>
        <v>588976.79718387942</v>
      </c>
      <c r="X76" s="52">
        <f t="shared" si="33"/>
        <v>588976.79718387942</v>
      </c>
      <c r="Y76" s="52">
        <f t="shared" si="33"/>
        <v>588976.79718387942</v>
      </c>
      <c r="Z76" s="52">
        <f t="shared" si="33"/>
        <v>588976.79718387942</v>
      </c>
      <c r="AA76" s="52">
        <f t="shared" si="33"/>
        <v>588976.79718387942</v>
      </c>
      <c r="AB76" s="52">
        <f t="shared" si="33"/>
        <v>588976.79718387942</v>
      </c>
      <c r="AC76" s="52">
        <f t="shared" si="33"/>
        <v>588976.79718387942</v>
      </c>
      <c r="AD76" s="52">
        <f t="shared" si="33"/>
        <v>588976.79718387942</v>
      </c>
      <c r="AE76" s="52">
        <f t="shared" si="33"/>
        <v>588976.79718387942</v>
      </c>
      <c r="AF76" s="52">
        <f t="shared" si="33"/>
        <v>588976.79718387942</v>
      </c>
      <c r="AG76" s="52">
        <f t="shared" si="33"/>
        <v>588976.79718387942</v>
      </c>
      <c r="AH76" s="52">
        <f t="shared" si="33"/>
        <v>588976.79718387942</v>
      </c>
      <c r="AI76" s="52">
        <f t="shared" si="33"/>
        <v>588976.79718387942</v>
      </c>
      <c r="AJ76" s="52">
        <f t="shared" si="33"/>
        <v>588976.79718387942</v>
      </c>
      <c r="AK76" s="52">
        <f t="shared" si="33"/>
        <v>588976.79718387942</v>
      </c>
      <c r="AL76" s="52">
        <f t="shared" si="33"/>
        <v>588976.79718387942</v>
      </c>
      <c r="AM76" s="52">
        <f t="shared" si="33"/>
        <v>588976.79718387942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74"/>
      <c r="L77" s="75">
        <f t="shared" si="31"/>
        <v>24.333333333333332</v>
      </c>
      <c r="M77" s="1"/>
      <c r="N77" s="1"/>
      <c r="O77" s="75">
        <f t="shared" ref="O77:AM77" si="34">SUM(O78)</f>
        <v>0.33333333333333298</v>
      </c>
      <c r="P77" s="75">
        <f t="shared" si="34"/>
        <v>1</v>
      </c>
      <c r="Q77" s="75">
        <f t="shared" si="34"/>
        <v>1</v>
      </c>
      <c r="R77" s="75">
        <f t="shared" si="34"/>
        <v>1</v>
      </c>
      <c r="S77" s="75">
        <f t="shared" si="34"/>
        <v>1</v>
      </c>
      <c r="T77" s="75">
        <f t="shared" si="34"/>
        <v>1</v>
      </c>
      <c r="U77" s="75">
        <f t="shared" si="34"/>
        <v>1</v>
      </c>
      <c r="V77" s="75">
        <f t="shared" si="34"/>
        <v>1</v>
      </c>
      <c r="W77" s="75">
        <f t="shared" si="34"/>
        <v>1</v>
      </c>
      <c r="X77" s="75">
        <f t="shared" si="34"/>
        <v>1</v>
      </c>
      <c r="Y77" s="75">
        <f t="shared" si="34"/>
        <v>1</v>
      </c>
      <c r="Z77" s="75">
        <f t="shared" si="34"/>
        <v>1</v>
      </c>
      <c r="AA77" s="75">
        <f t="shared" si="34"/>
        <v>1</v>
      </c>
      <c r="AB77" s="75">
        <f t="shared" si="34"/>
        <v>1</v>
      </c>
      <c r="AC77" s="75">
        <f t="shared" si="34"/>
        <v>1</v>
      </c>
      <c r="AD77" s="75">
        <f t="shared" si="34"/>
        <v>1</v>
      </c>
      <c r="AE77" s="75">
        <f t="shared" si="34"/>
        <v>1</v>
      </c>
      <c r="AF77" s="75">
        <f t="shared" si="34"/>
        <v>1</v>
      </c>
      <c r="AG77" s="75">
        <f t="shared" si="34"/>
        <v>1</v>
      </c>
      <c r="AH77" s="75">
        <f t="shared" si="34"/>
        <v>1</v>
      </c>
      <c r="AI77" s="75">
        <f t="shared" si="34"/>
        <v>1</v>
      </c>
      <c r="AJ77" s="75">
        <f t="shared" si="34"/>
        <v>1</v>
      </c>
      <c r="AK77" s="75">
        <f t="shared" si="34"/>
        <v>1</v>
      </c>
      <c r="AL77" s="75">
        <f t="shared" si="34"/>
        <v>1</v>
      </c>
      <c r="AM77" s="75">
        <f t="shared" si="34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31"/>
        <v>24.333333333333332</v>
      </c>
      <c r="M78" s="1"/>
      <c r="N78" s="1"/>
      <c r="O78" s="170">
        <v>0.33333333333333298</v>
      </c>
      <c r="P78" s="78">
        <f t="shared" ref="P78:AM78" si="35">IF(AND( $G78&lt;=P$3,P$3&lt;=$H78),1,0)</f>
        <v>1</v>
      </c>
      <c r="Q78" s="78">
        <f t="shared" si="35"/>
        <v>1</v>
      </c>
      <c r="R78" s="78">
        <f t="shared" si="35"/>
        <v>1</v>
      </c>
      <c r="S78" s="78">
        <f t="shared" si="35"/>
        <v>1</v>
      </c>
      <c r="T78" s="78">
        <f t="shared" si="35"/>
        <v>1</v>
      </c>
      <c r="U78" s="78">
        <f t="shared" si="35"/>
        <v>1</v>
      </c>
      <c r="V78" s="78">
        <f t="shared" si="35"/>
        <v>1</v>
      </c>
      <c r="W78" s="78">
        <f t="shared" si="35"/>
        <v>1</v>
      </c>
      <c r="X78" s="78">
        <f t="shared" si="35"/>
        <v>1</v>
      </c>
      <c r="Y78" s="78">
        <f t="shared" si="35"/>
        <v>1</v>
      </c>
      <c r="Z78" s="78">
        <f t="shared" si="35"/>
        <v>1</v>
      </c>
      <c r="AA78" s="78">
        <f t="shared" si="35"/>
        <v>1</v>
      </c>
      <c r="AB78" s="78">
        <f t="shared" si="35"/>
        <v>1</v>
      </c>
      <c r="AC78" s="78">
        <f t="shared" si="35"/>
        <v>1</v>
      </c>
      <c r="AD78" s="78">
        <f t="shared" si="35"/>
        <v>1</v>
      </c>
      <c r="AE78" s="78">
        <f t="shared" si="35"/>
        <v>1</v>
      </c>
      <c r="AF78" s="78">
        <f t="shared" si="35"/>
        <v>1</v>
      </c>
      <c r="AG78" s="78">
        <f t="shared" si="35"/>
        <v>1</v>
      </c>
      <c r="AH78" s="78">
        <f t="shared" si="35"/>
        <v>1</v>
      </c>
      <c r="AI78" s="78">
        <f t="shared" si="35"/>
        <v>1</v>
      </c>
      <c r="AJ78" s="78">
        <f t="shared" si="35"/>
        <v>1</v>
      </c>
      <c r="AK78" s="78">
        <f t="shared" si="35"/>
        <v>1</v>
      </c>
      <c r="AL78" s="78">
        <f t="shared" si="35"/>
        <v>1</v>
      </c>
      <c r="AM78" s="78">
        <f t="shared" si="35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36">O$3</f>
        <v>1</v>
      </c>
      <c r="P82" s="80">
        <f t="shared" si="36"/>
        <v>2</v>
      </c>
      <c r="Q82" s="80">
        <f t="shared" si="36"/>
        <v>3</v>
      </c>
      <c r="R82" s="80">
        <f t="shared" si="36"/>
        <v>4</v>
      </c>
      <c r="S82" s="80">
        <f t="shared" si="36"/>
        <v>5</v>
      </c>
      <c r="T82" s="80">
        <f t="shared" si="36"/>
        <v>6</v>
      </c>
      <c r="U82" s="80">
        <f t="shared" si="36"/>
        <v>7</v>
      </c>
      <c r="V82" s="80">
        <f t="shared" si="36"/>
        <v>8</v>
      </c>
      <c r="W82" s="80">
        <f t="shared" si="36"/>
        <v>9</v>
      </c>
      <c r="X82" s="80">
        <f t="shared" si="36"/>
        <v>10</v>
      </c>
      <c r="Y82" s="80">
        <f t="shared" si="36"/>
        <v>11</v>
      </c>
      <c r="Z82" s="80">
        <f t="shared" si="36"/>
        <v>12</v>
      </c>
      <c r="AA82" s="80">
        <f t="shared" si="36"/>
        <v>13</v>
      </c>
      <c r="AB82" s="80">
        <f t="shared" si="36"/>
        <v>14</v>
      </c>
      <c r="AC82" s="80">
        <f t="shared" si="36"/>
        <v>15</v>
      </c>
      <c r="AD82" s="80">
        <f t="shared" si="36"/>
        <v>16</v>
      </c>
      <c r="AE82" s="80">
        <f t="shared" si="36"/>
        <v>17</v>
      </c>
      <c r="AF82" s="80">
        <f t="shared" si="36"/>
        <v>18</v>
      </c>
      <c r="AG82" s="80">
        <f t="shared" si="36"/>
        <v>19</v>
      </c>
      <c r="AH82" s="80">
        <f t="shared" si="36"/>
        <v>20</v>
      </c>
      <c r="AI82" s="80">
        <f t="shared" si="36"/>
        <v>21</v>
      </c>
      <c r="AJ82" s="80">
        <f t="shared" si="36"/>
        <v>22</v>
      </c>
      <c r="AK82" s="80">
        <f t="shared" si="36"/>
        <v>23</v>
      </c>
      <c r="AL82" s="80">
        <f t="shared" si="36"/>
        <v>24</v>
      </c>
      <c r="AM82" s="80">
        <f t="shared" si="36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37">O$2</f>
        <v>46023</v>
      </c>
      <c r="P83" s="84">
        <f t="shared" si="37"/>
        <v>46388</v>
      </c>
      <c r="Q83" s="84">
        <f t="shared" si="37"/>
        <v>46753</v>
      </c>
      <c r="R83" s="84">
        <f t="shared" si="37"/>
        <v>47119</v>
      </c>
      <c r="S83" s="84">
        <f t="shared" si="37"/>
        <v>47484</v>
      </c>
      <c r="T83" s="84">
        <f t="shared" si="37"/>
        <v>47849</v>
      </c>
      <c r="U83" s="84">
        <f t="shared" si="37"/>
        <v>48214</v>
      </c>
      <c r="V83" s="84">
        <f t="shared" si="37"/>
        <v>48580</v>
      </c>
      <c r="W83" s="84">
        <f t="shared" si="37"/>
        <v>48945</v>
      </c>
      <c r="X83" s="84">
        <f t="shared" si="37"/>
        <v>49310</v>
      </c>
      <c r="Y83" s="84">
        <f t="shared" si="37"/>
        <v>49675</v>
      </c>
      <c r="Z83" s="84">
        <f t="shared" si="37"/>
        <v>50041</v>
      </c>
      <c r="AA83" s="84">
        <f t="shared" si="37"/>
        <v>50406</v>
      </c>
      <c r="AB83" s="84">
        <f t="shared" si="37"/>
        <v>50771</v>
      </c>
      <c r="AC83" s="84">
        <f t="shared" si="37"/>
        <v>51136</v>
      </c>
      <c r="AD83" s="84">
        <f t="shared" si="37"/>
        <v>51502</v>
      </c>
      <c r="AE83" s="84">
        <f t="shared" si="37"/>
        <v>51867</v>
      </c>
      <c r="AF83" s="84">
        <f t="shared" si="37"/>
        <v>52232</v>
      </c>
      <c r="AG83" s="84">
        <f t="shared" si="37"/>
        <v>52597</v>
      </c>
      <c r="AH83" s="84">
        <f t="shared" si="37"/>
        <v>52963</v>
      </c>
      <c r="AI83" s="84">
        <f t="shared" si="37"/>
        <v>53328</v>
      </c>
      <c r="AJ83" s="84">
        <f t="shared" si="37"/>
        <v>53693</v>
      </c>
      <c r="AK83" s="84">
        <f t="shared" si="37"/>
        <v>54058</v>
      </c>
      <c r="AL83" s="84">
        <f t="shared" si="37"/>
        <v>54424</v>
      </c>
      <c r="AM83" s="84">
        <f t="shared" si="37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38">S84</f>
        <v>3.5000000000000003E-2</v>
      </c>
      <c r="U84" s="85">
        <f t="shared" si="38"/>
        <v>3.5000000000000003E-2</v>
      </c>
      <c r="V84" s="85">
        <f t="shared" si="38"/>
        <v>3.5000000000000003E-2</v>
      </c>
      <c r="W84" s="85">
        <f t="shared" si="38"/>
        <v>3.5000000000000003E-2</v>
      </c>
      <c r="X84" s="85">
        <f t="shared" si="38"/>
        <v>3.5000000000000003E-2</v>
      </c>
      <c r="Y84" s="85">
        <f t="shared" si="38"/>
        <v>3.5000000000000003E-2</v>
      </c>
      <c r="Z84" s="85">
        <f t="shared" si="38"/>
        <v>3.5000000000000003E-2</v>
      </c>
      <c r="AA84" s="85">
        <f t="shared" si="38"/>
        <v>3.5000000000000003E-2</v>
      </c>
      <c r="AB84" s="85">
        <f t="shared" si="38"/>
        <v>3.5000000000000003E-2</v>
      </c>
      <c r="AC84" s="85">
        <f t="shared" si="38"/>
        <v>3.5000000000000003E-2</v>
      </c>
      <c r="AD84" s="85">
        <f t="shared" si="38"/>
        <v>3.5000000000000003E-2</v>
      </c>
      <c r="AE84" s="85">
        <f t="shared" si="38"/>
        <v>3.5000000000000003E-2</v>
      </c>
      <c r="AF84" s="85">
        <f t="shared" si="38"/>
        <v>3.5000000000000003E-2</v>
      </c>
      <c r="AG84" s="85">
        <f t="shared" si="38"/>
        <v>3.5000000000000003E-2</v>
      </c>
      <c r="AH84" s="85">
        <f t="shared" si="38"/>
        <v>3.5000000000000003E-2</v>
      </c>
      <c r="AI84" s="85">
        <f t="shared" si="38"/>
        <v>3.5000000000000003E-2</v>
      </c>
      <c r="AJ84" s="85">
        <f t="shared" si="38"/>
        <v>3.5000000000000003E-2</v>
      </c>
      <c r="AK84" s="85">
        <f t="shared" si="38"/>
        <v>3.5000000000000003E-2</v>
      </c>
      <c r="AL84" s="85">
        <f t="shared" si="38"/>
        <v>3.5000000000000003E-2</v>
      </c>
      <c r="AM84" s="85">
        <f t="shared" si="38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39">O85*(1+O84)</f>
        <v>1.0390999999999999</v>
      </c>
      <c r="Q85" s="88">
        <f t="shared" si="39"/>
        <v>1.0784818899999999</v>
      </c>
      <c r="R85" s="88">
        <f t="shared" si="39"/>
        <v>1.1162287561499999</v>
      </c>
      <c r="S85" s="88">
        <f t="shared" si="39"/>
        <v>1.1552967626152499</v>
      </c>
      <c r="T85" s="88">
        <f t="shared" si="39"/>
        <v>1.1957321493067836</v>
      </c>
      <c r="U85" s="88">
        <f t="shared" si="39"/>
        <v>1.237582774532521</v>
      </c>
      <c r="V85" s="88">
        <f t="shared" si="39"/>
        <v>1.2808981716411592</v>
      </c>
      <c r="W85" s="88">
        <f t="shared" si="39"/>
        <v>1.3257296076485996</v>
      </c>
      <c r="X85" s="88">
        <f t="shared" si="39"/>
        <v>1.3721301439163005</v>
      </c>
      <c r="Y85" s="88">
        <f t="shared" si="39"/>
        <v>1.4201546989533709</v>
      </c>
      <c r="Z85" s="88">
        <f t="shared" si="39"/>
        <v>1.4698601134167388</v>
      </c>
      <c r="AA85" s="88">
        <f t="shared" si="39"/>
        <v>1.5213052173863246</v>
      </c>
      <c r="AB85" s="88">
        <f t="shared" si="39"/>
        <v>1.5745508999948459</v>
      </c>
      <c r="AC85" s="88">
        <f t="shared" si="39"/>
        <v>1.6296601814946654</v>
      </c>
      <c r="AD85" s="88">
        <f t="shared" si="39"/>
        <v>1.6866982878469785</v>
      </c>
      <c r="AE85" s="88">
        <f t="shared" si="39"/>
        <v>1.7457327279216226</v>
      </c>
      <c r="AF85" s="88">
        <f t="shared" si="39"/>
        <v>1.8068333733988793</v>
      </c>
      <c r="AG85" s="88">
        <f t="shared" si="39"/>
        <v>1.8700725414678399</v>
      </c>
      <c r="AH85" s="88">
        <f t="shared" si="39"/>
        <v>1.9355250804192141</v>
      </c>
      <c r="AI85" s="88">
        <f t="shared" si="39"/>
        <v>2.0032684582338867</v>
      </c>
      <c r="AJ85" s="88">
        <f t="shared" si="39"/>
        <v>2.0733828542720727</v>
      </c>
      <c r="AK85" s="88">
        <f t="shared" si="39"/>
        <v>2.145951254171595</v>
      </c>
      <c r="AL85" s="88">
        <f t="shared" si="39"/>
        <v>2.2210595480676005</v>
      </c>
      <c r="AM85" s="88">
        <f t="shared" si="39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40">R86</f>
        <v>0.05</v>
      </c>
      <c r="T86" s="85">
        <f t="shared" si="40"/>
        <v>0.05</v>
      </c>
      <c r="U86" s="85">
        <f t="shared" si="40"/>
        <v>0.05</v>
      </c>
      <c r="V86" s="85">
        <f t="shared" si="40"/>
        <v>0.05</v>
      </c>
      <c r="W86" s="85">
        <f t="shared" si="40"/>
        <v>0.05</v>
      </c>
      <c r="X86" s="85">
        <f t="shared" si="40"/>
        <v>0.05</v>
      </c>
      <c r="Y86" s="85">
        <f t="shared" si="40"/>
        <v>0.05</v>
      </c>
      <c r="Z86" s="85">
        <f t="shared" si="40"/>
        <v>0.05</v>
      </c>
      <c r="AA86" s="85">
        <f t="shared" si="40"/>
        <v>0.05</v>
      </c>
      <c r="AB86" s="85">
        <f t="shared" si="40"/>
        <v>0.05</v>
      </c>
      <c r="AC86" s="85">
        <f t="shared" si="40"/>
        <v>0.05</v>
      </c>
      <c r="AD86" s="85">
        <f t="shared" si="40"/>
        <v>0.05</v>
      </c>
      <c r="AE86" s="85">
        <f t="shared" si="40"/>
        <v>0.05</v>
      </c>
      <c r="AF86" s="85">
        <f t="shared" si="40"/>
        <v>0.05</v>
      </c>
      <c r="AG86" s="85">
        <f t="shared" si="40"/>
        <v>0.05</v>
      </c>
      <c r="AH86" s="85">
        <f t="shared" si="40"/>
        <v>0.05</v>
      </c>
      <c r="AI86" s="85">
        <f t="shared" si="40"/>
        <v>0.05</v>
      </c>
      <c r="AJ86" s="85">
        <f t="shared" si="40"/>
        <v>0.05</v>
      </c>
      <c r="AK86" s="85">
        <f t="shared" si="40"/>
        <v>0.05</v>
      </c>
      <c r="AL86" s="85">
        <f t="shared" si="40"/>
        <v>0.05</v>
      </c>
      <c r="AM86" s="85">
        <f t="shared" si="40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41">O87*(1+O86)</f>
        <v>1.0583</v>
      </c>
      <c r="Q87" s="88">
        <f t="shared" si="41"/>
        <v>1.1090984000000002</v>
      </c>
      <c r="R87" s="88">
        <f t="shared" si="41"/>
        <v>1.1566787213600001</v>
      </c>
      <c r="S87" s="88">
        <f t="shared" si="41"/>
        <v>1.2145126574280001</v>
      </c>
      <c r="T87" s="88">
        <f t="shared" si="41"/>
        <v>1.2752382902994002</v>
      </c>
      <c r="U87" s="88">
        <f t="shared" si="41"/>
        <v>1.3390002048143703</v>
      </c>
      <c r="V87" s="88">
        <f t="shared" si="41"/>
        <v>1.4059502150550889</v>
      </c>
      <c r="W87" s="88">
        <f t="shared" si="41"/>
        <v>1.4762477258078435</v>
      </c>
      <c r="X87" s="88">
        <f t="shared" si="41"/>
        <v>1.5500601120982358</v>
      </c>
      <c r="Y87" s="88">
        <f t="shared" si="41"/>
        <v>1.6275631177031478</v>
      </c>
      <c r="Z87" s="88">
        <f t="shared" si="41"/>
        <v>1.7089412735883052</v>
      </c>
      <c r="AA87" s="88">
        <f t="shared" si="41"/>
        <v>1.7943883372677205</v>
      </c>
      <c r="AB87" s="88">
        <f t="shared" si="41"/>
        <v>1.8841077541311066</v>
      </c>
      <c r="AC87" s="88">
        <f t="shared" si="41"/>
        <v>1.978313141837662</v>
      </c>
      <c r="AD87" s="88">
        <f t="shared" si="41"/>
        <v>2.077228798929545</v>
      </c>
      <c r="AE87" s="88">
        <f t="shared" si="41"/>
        <v>2.1810902388760223</v>
      </c>
      <c r="AF87" s="88">
        <f t="shared" si="41"/>
        <v>2.2901447508198234</v>
      </c>
      <c r="AG87" s="88">
        <f t="shared" si="41"/>
        <v>2.4046519883608148</v>
      </c>
      <c r="AH87" s="88">
        <f t="shared" si="41"/>
        <v>2.5248845877788555</v>
      </c>
      <c r="AI87" s="88">
        <f t="shared" si="41"/>
        <v>2.6511288171677982</v>
      </c>
      <c r="AJ87" s="88">
        <f t="shared" si="41"/>
        <v>2.7836852580261882</v>
      </c>
      <c r="AK87" s="88">
        <f t="shared" si="41"/>
        <v>2.9228695209274975</v>
      </c>
      <c r="AL87" s="88">
        <f t="shared" si="41"/>
        <v>3.0690129969738726</v>
      </c>
      <c r="AM87" s="88">
        <f t="shared" si="41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42">R88</f>
        <v>3.73E-2</v>
      </c>
      <c r="T88" s="85">
        <f t="shared" si="42"/>
        <v>3.73E-2</v>
      </c>
      <c r="U88" s="85">
        <f t="shared" si="42"/>
        <v>3.73E-2</v>
      </c>
      <c r="V88" s="85">
        <f t="shared" si="42"/>
        <v>3.73E-2</v>
      </c>
      <c r="W88" s="85">
        <f t="shared" si="42"/>
        <v>3.73E-2</v>
      </c>
      <c r="X88" s="85">
        <f t="shared" si="42"/>
        <v>3.73E-2</v>
      </c>
      <c r="Y88" s="85">
        <f t="shared" si="42"/>
        <v>3.73E-2</v>
      </c>
      <c r="Z88" s="85">
        <f t="shared" si="42"/>
        <v>3.73E-2</v>
      </c>
      <c r="AA88" s="85">
        <f t="shared" si="42"/>
        <v>3.73E-2</v>
      </c>
      <c r="AB88" s="85">
        <f t="shared" si="42"/>
        <v>3.73E-2</v>
      </c>
      <c r="AC88" s="85">
        <f t="shared" si="42"/>
        <v>3.73E-2</v>
      </c>
      <c r="AD88" s="85">
        <f t="shared" si="42"/>
        <v>3.73E-2</v>
      </c>
      <c r="AE88" s="85">
        <f t="shared" si="42"/>
        <v>3.73E-2</v>
      </c>
      <c r="AF88" s="85">
        <f t="shared" si="42"/>
        <v>3.73E-2</v>
      </c>
      <c r="AG88" s="85">
        <f t="shared" si="42"/>
        <v>3.73E-2</v>
      </c>
      <c r="AH88" s="85">
        <f t="shared" si="42"/>
        <v>3.73E-2</v>
      </c>
      <c r="AI88" s="85">
        <f t="shared" si="42"/>
        <v>3.73E-2</v>
      </c>
      <c r="AJ88" s="85">
        <f t="shared" si="42"/>
        <v>3.73E-2</v>
      </c>
      <c r="AK88" s="85">
        <f t="shared" si="42"/>
        <v>3.73E-2</v>
      </c>
      <c r="AL88" s="85">
        <f t="shared" si="42"/>
        <v>3.73E-2</v>
      </c>
      <c r="AM88" s="85">
        <f t="shared" si="42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43">O89*(1+O88)</f>
        <v>1.0318000000000001</v>
      </c>
      <c r="Q89" s="88">
        <f t="shared" si="43"/>
        <v>1.073072</v>
      </c>
      <c r="R89" s="88">
        <f t="shared" si="43"/>
        <v>1.113848736</v>
      </c>
      <c r="S89" s="88">
        <f t="shared" si="43"/>
        <v>1.1553952938528</v>
      </c>
      <c r="T89" s="88">
        <f t="shared" si="43"/>
        <v>1.1984915383135095</v>
      </c>
      <c r="U89" s="88">
        <f t="shared" si="43"/>
        <v>1.2431952726926037</v>
      </c>
      <c r="V89" s="88">
        <f t="shared" si="43"/>
        <v>1.2895664563640379</v>
      </c>
      <c r="W89" s="88">
        <f t="shared" si="43"/>
        <v>1.3376672851864166</v>
      </c>
      <c r="X89" s="88">
        <f t="shared" si="43"/>
        <v>1.3875622749238701</v>
      </c>
      <c r="Y89" s="88">
        <f t="shared" si="43"/>
        <v>1.4393183477785305</v>
      </c>
      <c r="Z89" s="88">
        <f t="shared" si="43"/>
        <v>1.4930049221506698</v>
      </c>
      <c r="AA89" s="88">
        <f t="shared" si="43"/>
        <v>1.5486940057468899</v>
      </c>
      <c r="AB89" s="88">
        <f t="shared" si="43"/>
        <v>1.606460292161249</v>
      </c>
      <c r="AC89" s="88">
        <f t="shared" si="43"/>
        <v>1.6663812610588637</v>
      </c>
      <c r="AD89" s="88">
        <f t="shared" si="43"/>
        <v>1.7285372820963596</v>
      </c>
      <c r="AE89" s="88">
        <f t="shared" si="43"/>
        <v>1.793011722718554</v>
      </c>
      <c r="AF89" s="88">
        <f t="shared" si="43"/>
        <v>1.8598910599759564</v>
      </c>
      <c r="AG89" s="88">
        <f t="shared" si="43"/>
        <v>1.9292649965130597</v>
      </c>
      <c r="AH89" s="88">
        <f t="shared" si="43"/>
        <v>2.0012265808829972</v>
      </c>
      <c r="AI89" s="88">
        <f t="shared" si="43"/>
        <v>2.0758723323499333</v>
      </c>
      <c r="AJ89" s="88">
        <f t="shared" si="43"/>
        <v>2.1533023703465859</v>
      </c>
      <c r="AK89" s="88">
        <f t="shared" si="43"/>
        <v>2.2336205487605136</v>
      </c>
      <c r="AL89" s="88">
        <f t="shared" si="43"/>
        <v>2.3169345952292812</v>
      </c>
      <c r="AM89" s="88">
        <f t="shared" si="43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44">R90</f>
        <v>9.5000000000000001E-2</v>
      </c>
      <c r="T90" s="85">
        <f t="shared" si="44"/>
        <v>9.5000000000000001E-2</v>
      </c>
      <c r="U90" s="85">
        <f t="shared" si="44"/>
        <v>9.5000000000000001E-2</v>
      </c>
      <c r="V90" s="85">
        <f t="shared" si="44"/>
        <v>9.5000000000000001E-2</v>
      </c>
      <c r="W90" s="85">
        <f t="shared" si="44"/>
        <v>9.5000000000000001E-2</v>
      </c>
      <c r="X90" s="85">
        <f t="shared" si="44"/>
        <v>9.5000000000000001E-2</v>
      </c>
      <c r="Y90" s="85">
        <f t="shared" si="44"/>
        <v>9.5000000000000001E-2</v>
      </c>
      <c r="Z90" s="85">
        <f t="shared" si="44"/>
        <v>9.5000000000000001E-2</v>
      </c>
      <c r="AA90" s="85">
        <f t="shared" si="44"/>
        <v>9.5000000000000001E-2</v>
      </c>
      <c r="AB90" s="85">
        <f t="shared" si="44"/>
        <v>9.5000000000000001E-2</v>
      </c>
      <c r="AC90" s="85">
        <f t="shared" si="44"/>
        <v>9.5000000000000001E-2</v>
      </c>
      <c r="AD90" s="85">
        <f t="shared" si="44"/>
        <v>9.5000000000000001E-2</v>
      </c>
      <c r="AE90" s="85">
        <f t="shared" si="44"/>
        <v>9.5000000000000001E-2</v>
      </c>
      <c r="AF90" s="85">
        <f t="shared" si="44"/>
        <v>9.5000000000000001E-2</v>
      </c>
      <c r="AG90" s="85">
        <f t="shared" si="44"/>
        <v>9.5000000000000001E-2</v>
      </c>
      <c r="AH90" s="85">
        <f t="shared" si="44"/>
        <v>9.5000000000000001E-2</v>
      </c>
      <c r="AI90" s="85">
        <f t="shared" si="44"/>
        <v>9.5000000000000001E-2</v>
      </c>
      <c r="AJ90" s="85">
        <f t="shared" si="44"/>
        <v>9.5000000000000001E-2</v>
      </c>
      <c r="AK90" s="85">
        <f t="shared" si="44"/>
        <v>9.5000000000000001E-2</v>
      </c>
      <c r="AL90" s="85">
        <f t="shared" si="44"/>
        <v>9.5000000000000001E-2</v>
      </c>
      <c r="AM90" s="85">
        <f t="shared" si="44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45">O91*(1+O90)</f>
        <v>1.1200000000000001</v>
      </c>
      <c r="Q91" s="88">
        <f t="shared" si="45"/>
        <v>1.2376</v>
      </c>
      <c r="R91" s="88">
        <f t="shared" si="45"/>
        <v>1.3613600000000001</v>
      </c>
      <c r="S91" s="88">
        <f t="shared" si="45"/>
        <v>1.4906892</v>
      </c>
      <c r="T91" s="88">
        <f t="shared" si="45"/>
        <v>1.632304674</v>
      </c>
      <c r="U91" s="88">
        <f t="shared" si="45"/>
        <v>1.7873736180299999</v>
      </c>
      <c r="V91" s="88">
        <f t="shared" si="45"/>
        <v>1.9571741117428498</v>
      </c>
      <c r="W91" s="88">
        <f t="shared" si="45"/>
        <v>2.1431056523584204</v>
      </c>
      <c r="X91" s="88">
        <f t="shared" si="45"/>
        <v>2.3467006893324704</v>
      </c>
      <c r="Y91" s="88">
        <f t="shared" si="45"/>
        <v>2.5696372548190549</v>
      </c>
      <c r="Z91" s="88">
        <f t="shared" si="45"/>
        <v>2.8137527940268652</v>
      </c>
      <c r="AA91" s="88">
        <f t="shared" si="45"/>
        <v>3.0810593094594174</v>
      </c>
      <c r="AB91" s="88">
        <f t="shared" si="45"/>
        <v>3.3737599438580621</v>
      </c>
      <c r="AC91" s="88">
        <f t="shared" si="45"/>
        <v>3.694267138524578</v>
      </c>
      <c r="AD91" s="88">
        <f t="shared" si="45"/>
        <v>4.0452225166844125</v>
      </c>
      <c r="AE91" s="88">
        <f t="shared" si="45"/>
        <v>4.4295186557694315</v>
      </c>
      <c r="AF91" s="88">
        <f t="shared" si="45"/>
        <v>4.8503229280675271</v>
      </c>
      <c r="AG91" s="88">
        <f t="shared" si="45"/>
        <v>5.3111036062339423</v>
      </c>
      <c r="AH91" s="88">
        <f t="shared" si="45"/>
        <v>5.8156584488261664</v>
      </c>
      <c r="AI91" s="88">
        <f t="shared" si="45"/>
        <v>6.3681460014646518</v>
      </c>
      <c r="AJ91" s="88">
        <f t="shared" si="45"/>
        <v>6.9731198716037932</v>
      </c>
      <c r="AK91" s="88">
        <f t="shared" si="45"/>
        <v>7.6355662594061533</v>
      </c>
      <c r="AL91" s="88">
        <f t="shared" si="45"/>
        <v>8.3609450540497381</v>
      </c>
      <c r="AM91" s="88">
        <f t="shared" si="45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46">O84</f>
        <v>3.9100000000000003E-2</v>
      </c>
      <c r="P92" s="85">
        <f t="shared" si="46"/>
        <v>3.7900000000000003E-2</v>
      </c>
      <c r="Q92" s="85">
        <f t="shared" si="46"/>
        <v>3.5000000000000003E-2</v>
      </c>
      <c r="R92" s="85">
        <f t="shared" si="46"/>
        <v>3.5000000000000003E-2</v>
      </c>
      <c r="S92" s="85">
        <f t="shared" si="46"/>
        <v>3.5000000000000003E-2</v>
      </c>
      <c r="T92" s="85">
        <f t="shared" si="46"/>
        <v>3.5000000000000003E-2</v>
      </c>
      <c r="U92" s="85">
        <f t="shared" si="46"/>
        <v>3.5000000000000003E-2</v>
      </c>
      <c r="V92" s="85">
        <f t="shared" si="46"/>
        <v>3.5000000000000003E-2</v>
      </c>
      <c r="W92" s="85">
        <f t="shared" si="46"/>
        <v>3.5000000000000003E-2</v>
      </c>
      <c r="X92" s="85">
        <f t="shared" si="46"/>
        <v>3.5000000000000003E-2</v>
      </c>
      <c r="Y92" s="85">
        <f t="shared" si="46"/>
        <v>3.5000000000000003E-2</v>
      </c>
      <c r="Z92" s="85">
        <f t="shared" si="46"/>
        <v>3.5000000000000003E-2</v>
      </c>
      <c r="AA92" s="85">
        <f t="shared" si="46"/>
        <v>3.5000000000000003E-2</v>
      </c>
      <c r="AB92" s="85">
        <f t="shared" si="46"/>
        <v>3.5000000000000003E-2</v>
      </c>
      <c r="AC92" s="85">
        <f t="shared" si="46"/>
        <v>3.5000000000000003E-2</v>
      </c>
      <c r="AD92" s="85">
        <f t="shared" si="46"/>
        <v>3.5000000000000003E-2</v>
      </c>
      <c r="AE92" s="85">
        <f t="shared" si="46"/>
        <v>3.5000000000000003E-2</v>
      </c>
      <c r="AF92" s="85">
        <f t="shared" si="46"/>
        <v>3.5000000000000003E-2</v>
      </c>
      <c r="AG92" s="85">
        <f t="shared" si="46"/>
        <v>3.5000000000000003E-2</v>
      </c>
      <c r="AH92" s="85">
        <f t="shared" si="46"/>
        <v>3.5000000000000003E-2</v>
      </c>
      <c r="AI92" s="85">
        <f t="shared" si="46"/>
        <v>3.5000000000000003E-2</v>
      </c>
      <c r="AJ92" s="85">
        <f t="shared" si="46"/>
        <v>3.5000000000000003E-2</v>
      </c>
      <c r="AK92" s="85">
        <f t="shared" si="46"/>
        <v>3.5000000000000003E-2</v>
      </c>
      <c r="AL92" s="85">
        <f t="shared" si="46"/>
        <v>3.5000000000000003E-2</v>
      </c>
      <c r="AM92" s="85">
        <f t="shared" si="46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47">O93*(1+O92)</f>
        <v>1.0390999999999999</v>
      </c>
      <c r="Q93" s="88">
        <f t="shared" si="47"/>
        <v>1.0784818899999999</v>
      </c>
      <c r="R93" s="88">
        <f t="shared" si="47"/>
        <v>1.1162287561499999</v>
      </c>
      <c r="S93" s="88">
        <f t="shared" si="47"/>
        <v>1.1552967626152499</v>
      </c>
      <c r="T93" s="88">
        <f t="shared" si="47"/>
        <v>1.1957321493067836</v>
      </c>
      <c r="U93" s="88">
        <f t="shared" si="47"/>
        <v>1.237582774532521</v>
      </c>
      <c r="V93" s="88">
        <f t="shared" si="47"/>
        <v>1.2808981716411592</v>
      </c>
      <c r="W93" s="88">
        <f t="shared" si="47"/>
        <v>1.3257296076485996</v>
      </c>
      <c r="X93" s="88">
        <f t="shared" si="47"/>
        <v>1.3721301439163005</v>
      </c>
      <c r="Y93" s="88">
        <f t="shared" si="47"/>
        <v>1.4201546989533709</v>
      </c>
      <c r="Z93" s="88">
        <f t="shared" si="47"/>
        <v>1.4698601134167388</v>
      </c>
      <c r="AA93" s="88">
        <f t="shared" si="47"/>
        <v>1.5213052173863246</v>
      </c>
      <c r="AB93" s="88">
        <f t="shared" si="47"/>
        <v>1.5745508999948459</v>
      </c>
      <c r="AC93" s="88">
        <f t="shared" si="47"/>
        <v>1.6296601814946654</v>
      </c>
      <c r="AD93" s="88">
        <f t="shared" si="47"/>
        <v>1.6866982878469785</v>
      </c>
      <c r="AE93" s="88">
        <f t="shared" si="47"/>
        <v>1.7457327279216226</v>
      </c>
      <c r="AF93" s="88">
        <f t="shared" si="47"/>
        <v>1.8068333733988793</v>
      </c>
      <c r="AG93" s="88">
        <f t="shared" si="47"/>
        <v>1.8700725414678399</v>
      </c>
      <c r="AH93" s="88">
        <f t="shared" si="47"/>
        <v>1.9355250804192141</v>
      </c>
      <c r="AI93" s="88">
        <f t="shared" si="47"/>
        <v>2.0032684582338867</v>
      </c>
      <c r="AJ93" s="88">
        <f t="shared" si="47"/>
        <v>2.0733828542720727</v>
      </c>
      <c r="AK93" s="88">
        <f t="shared" si="47"/>
        <v>2.145951254171595</v>
      </c>
      <c r="AL93" s="88">
        <f t="shared" si="47"/>
        <v>2.2210595480676005</v>
      </c>
      <c r="AM93" s="88">
        <f t="shared" si="47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48">O$3</f>
        <v>1</v>
      </c>
      <c r="P95" s="80">
        <f t="shared" si="48"/>
        <v>2</v>
      </c>
      <c r="Q95" s="80">
        <f t="shared" si="48"/>
        <v>3</v>
      </c>
      <c r="R95" s="80">
        <f t="shared" si="48"/>
        <v>4</v>
      </c>
      <c r="S95" s="80">
        <f t="shared" si="48"/>
        <v>5</v>
      </c>
      <c r="T95" s="80">
        <f t="shared" si="48"/>
        <v>6</v>
      </c>
      <c r="U95" s="80">
        <f t="shared" si="48"/>
        <v>7</v>
      </c>
      <c r="V95" s="80">
        <f t="shared" si="48"/>
        <v>8</v>
      </c>
      <c r="W95" s="80">
        <f t="shared" si="48"/>
        <v>9</v>
      </c>
      <c r="X95" s="80">
        <f t="shared" si="48"/>
        <v>10</v>
      </c>
      <c r="Y95" s="80">
        <f t="shared" si="48"/>
        <v>11</v>
      </c>
      <c r="Z95" s="80">
        <f t="shared" si="48"/>
        <v>12</v>
      </c>
      <c r="AA95" s="80">
        <f t="shared" si="48"/>
        <v>13</v>
      </c>
      <c r="AB95" s="80">
        <f t="shared" si="48"/>
        <v>14</v>
      </c>
      <c r="AC95" s="80">
        <f t="shared" si="48"/>
        <v>15</v>
      </c>
      <c r="AD95" s="80">
        <f t="shared" si="48"/>
        <v>16</v>
      </c>
      <c r="AE95" s="80">
        <f t="shared" si="48"/>
        <v>17</v>
      </c>
      <c r="AF95" s="80">
        <f t="shared" si="48"/>
        <v>18</v>
      </c>
      <c r="AG95" s="80">
        <f t="shared" si="48"/>
        <v>19</v>
      </c>
      <c r="AH95" s="80">
        <f t="shared" si="48"/>
        <v>20</v>
      </c>
      <c r="AI95" s="80">
        <f t="shared" si="48"/>
        <v>21</v>
      </c>
      <c r="AJ95" s="80">
        <f t="shared" si="48"/>
        <v>22</v>
      </c>
      <c r="AK95" s="80">
        <f t="shared" si="48"/>
        <v>23</v>
      </c>
      <c r="AL95" s="80">
        <f t="shared" si="48"/>
        <v>24</v>
      </c>
      <c r="AM95" s="80">
        <f t="shared" si="48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49">O$2</f>
        <v>46023</v>
      </c>
      <c r="P96" s="91">
        <f t="shared" si="49"/>
        <v>46388</v>
      </c>
      <c r="Q96" s="91">
        <f t="shared" si="49"/>
        <v>46753</v>
      </c>
      <c r="R96" s="91">
        <f t="shared" si="49"/>
        <v>47119</v>
      </c>
      <c r="S96" s="91">
        <f t="shared" si="49"/>
        <v>47484</v>
      </c>
      <c r="T96" s="91">
        <f t="shared" si="49"/>
        <v>47849</v>
      </c>
      <c r="U96" s="91">
        <f t="shared" si="49"/>
        <v>48214</v>
      </c>
      <c r="V96" s="91">
        <f t="shared" si="49"/>
        <v>48580</v>
      </c>
      <c r="W96" s="91">
        <f t="shared" si="49"/>
        <v>48945</v>
      </c>
      <c r="X96" s="91">
        <f t="shared" si="49"/>
        <v>49310</v>
      </c>
      <c r="Y96" s="91">
        <f t="shared" si="49"/>
        <v>49675</v>
      </c>
      <c r="Z96" s="91">
        <f t="shared" si="49"/>
        <v>50041</v>
      </c>
      <c r="AA96" s="91">
        <f t="shared" si="49"/>
        <v>50406</v>
      </c>
      <c r="AB96" s="91">
        <f t="shared" si="49"/>
        <v>50771</v>
      </c>
      <c r="AC96" s="91">
        <f t="shared" si="49"/>
        <v>51136</v>
      </c>
      <c r="AD96" s="91">
        <f t="shared" si="49"/>
        <v>51502</v>
      </c>
      <c r="AE96" s="91">
        <f t="shared" si="49"/>
        <v>51867</v>
      </c>
      <c r="AF96" s="91">
        <f t="shared" si="49"/>
        <v>52232</v>
      </c>
      <c r="AG96" s="91">
        <f t="shared" si="49"/>
        <v>52597</v>
      </c>
      <c r="AH96" s="91">
        <f t="shared" si="49"/>
        <v>52963</v>
      </c>
      <c r="AI96" s="91">
        <f t="shared" si="49"/>
        <v>53328</v>
      </c>
      <c r="AJ96" s="91">
        <f t="shared" si="49"/>
        <v>53693</v>
      </c>
      <c r="AK96" s="91">
        <f t="shared" si="49"/>
        <v>54058</v>
      </c>
      <c r="AL96" s="91">
        <f t="shared" si="49"/>
        <v>54424</v>
      </c>
      <c r="AM96" s="91">
        <f t="shared" si="49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50">SUM(K99:K101)</f>
        <v>5995132.0930706291</v>
      </c>
      <c r="L98" s="69">
        <f t="shared" si="50"/>
        <v>15628951.240971606</v>
      </c>
      <c r="M98" s="1"/>
      <c r="N98" s="1"/>
      <c r="O98" s="69">
        <f>SUM(O99:O101)</f>
        <v>1329672.5297622529</v>
      </c>
      <c r="P98" s="69">
        <f t="shared" ref="P98:AM98" si="51">SUM(P99:P100)</f>
        <v>397094.3880358857</v>
      </c>
      <c r="Q98" s="69">
        <f t="shared" si="51"/>
        <v>397094.3880358857</v>
      </c>
      <c r="R98" s="69">
        <f t="shared" si="51"/>
        <v>397094.3880358857</v>
      </c>
      <c r="S98" s="69">
        <f t="shared" si="51"/>
        <v>916846.62661366083</v>
      </c>
      <c r="T98" s="69">
        <f t="shared" si="51"/>
        <v>397094.3880358857</v>
      </c>
      <c r="U98" s="69">
        <f t="shared" si="51"/>
        <v>397094.3880358857</v>
      </c>
      <c r="V98" s="69">
        <f t="shared" si="51"/>
        <v>443674.14727273607</v>
      </c>
      <c r="W98" s="69">
        <f t="shared" si="51"/>
        <v>464632.14669806766</v>
      </c>
      <c r="X98" s="69">
        <f t="shared" si="51"/>
        <v>397094.3880358857</v>
      </c>
      <c r="Y98" s="69">
        <f t="shared" si="51"/>
        <v>913314.50135860301</v>
      </c>
      <c r="Z98" s="69">
        <f t="shared" si="51"/>
        <v>397094.3880358857</v>
      </c>
      <c r="AA98" s="69">
        <f t="shared" si="51"/>
        <v>632219.08072768734</v>
      </c>
      <c r="AB98" s="69">
        <f t="shared" si="51"/>
        <v>397094.3880358857</v>
      </c>
      <c r="AC98" s="69">
        <f t="shared" si="51"/>
        <v>397094.3880358857</v>
      </c>
      <c r="AD98" s="69">
        <f t="shared" si="51"/>
        <v>959843.55716795684</v>
      </c>
      <c r="AE98" s="69">
        <f t="shared" si="51"/>
        <v>406849.66986344685</v>
      </c>
      <c r="AF98" s="69">
        <f t="shared" si="51"/>
        <v>454927.56829800311</v>
      </c>
      <c r="AG98" s="69">
        <f t="shared" si="51"/>
        <v>397094.3880358857</v>
      </c>
      <c r="AH98" s="69">
        <f t="shared" si="51"/>
        <v>397094.3880358857</v>
      </c>
      <c r="AI98" s="69">
        <f t="shared" si="51"/>
        <v>916795.92318616412</v>
      </c>
      <c r="AJ98" s="69">
        <f t="shared" si="51"/>
        <v>397094.3880358857</v>
      </c>
      <c r="AK98" s="69">
        <f t="shared" si="51"/>
        <v>443674.14727273607</v>
      </c>
      <c r="AL98" s="69">
        <f t="shared" si="51"/>
        <v>397094.3880358857</v>
      </c>
      <c r="AM98" s="69">
        <f t="shared" si="51"/>
        <v>400575.80986344686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>
        <f>1-H63</f>
        <v>0.67421058</v>
      </c>
      <c r="I99" s="95"/>
      <c r="J99" s="94"/>
      <c r="K99" s="97">
        <f>NPV(WACC!$D$35,O99:AV99)</f>
        <v>3382534.0197046939</v>
      </c>
      <c r="L99" s="97">
        <f t="shared" ref="L99:L101" si="52">SUM(O99:AV99)</f>
        <v>9662630.108873222</v>
      </c>
      <c r="M99" s="1"/>
      <c r="N99" s="1"/>
      <c r="O99" s="97">
        <f t="shared" ref="O99:AM99" si="53">$H$99*O76</f>
        <v>132364.79601196176</v>
      </c>
      <c r="P99" s="97">
        <f t="shared" si="53"/>
        <v>397094.3880358857</v>
      </c>
      <c r="Q99" s="97">
        <f t="shared" si="53"/>
        <v>397094.3880358857</v>
      </c>
      <c r="R99" s="97">
        <f t="shared" si="53"/>
        <v>397094.3880358857</v>
      </c>
      <c r="S99" s="97">
        <f t="shared" si="53"/>
        <v>397094.3880358857</v>
      </c>
      <c r="T99" s="97">
        <f t="shared" si="53"/>
        <v>397094.3880358857</v>
      </c>
      <c r="U99" s="97">
        <f t="shared" si="53"/>
        <v>397094.3880358857</v>
      </c>
      <c r="V99" s="97">
        <f t="shared" si="53"/>
        <v>397094.3880358857</v>
      </c>
      <c r="W99" s="97">
        <f t="shared" si="53"/>
        <v>397094.3880358857</v>
      </c>
      <c r="X99" s="97">
        <f t="shared" si="53"/>
        <v>397094.3880358857</v>
      </c>
      <c r="Y99" s="97">
        <f t="shared" si="53"/>
        <v>397094.3880358857</v>
      </c>
      <c r="Z99" s="97">
        <f t="shared" si="53"/>
        <v>397094.3880358857</v>
      </c>
      <c r="AA99" s="97">
        <f t="shared" si="53"/>
        <v>397094.3880358857</v>
      </c>
      <c r="AB99" s="97">
        <f t="shared" si="53"/>
        <v>397094.3880358857</v>
      </c>
      <c r="AC99" s="97">
        <f t="shared" si="53"/>
        <v>397094.3880358857</v>
      </c>
      <c r="AD99" s="97">
        <f t="shared" si="53"/>
        <v>397094.3880358857</v>
      </c>
      <c r="AE99" s="97">
        <f t="shared" si="53"/>
        <v>397094.3880358857</v>
      </c>
      <c r="AF99" s="97">
        <f t="shared" si="53"/>
        <v>397094.3880358857</v>
      </c>
      <c r="AG99" s="97">
        <f t="shared" si="53"/>
        <v>397094.3880358857</v>
      </c>
      <c r="AH99" s="97">
        <f t="shared" si="53"/>
        <v>397094.3880358857</v>
      </c>
      <c r="AI99" s="97">
        <f t="shared" si="53"/>
        <v>397094.3880358857</v>
      </c>
      <c r="AJ99" s="97">
        <f t="shared" si="53"/>
        <v>397094.3880358857</v>
      </c>
      <c r="AK99" s="97">
        <f t="shared" si="53"/>
        <v>397094.3880358857</v>
      </c>
      <c r="AL99" s="97">
        <f t="shared" si="53"/>
        <v>397094.3880358857</v>
      </c>
      <c r="AM99" s="97">
        <f t="shared" si="53"/>
        <v>397094.3880358857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1927220.7002424914</v>
      </c>
      <c r="L100" s="97">
        <f t="shared" si="52"/>
        <v>3782622.643678057</v>
      </c>
      <c r="M100" s="1"/>
      <c r="N100" s="1"/>
      <c r="O100" s="97">
        <f>O29</f>
        <v>1197307.7337502912</v>
      </c>
      <c r="P100" s="97">
        <f t="shared" ref="P100:AM100" si="54">P29</f>
        <v>0</v>
      </c>
      <c r="Q100" s="97">
        <f t="shared" si="54"/>
        <v>0</v>
      </c>
      <c r="R100" s="97">
        <f t="shared" si="54"/>
        <v>0</v>
      </c>
      <c r="S100" s="97">
        <f t="shared" si="54"/>
        <v>519752.23857777513</v>
      </c>
      <c r="T100" s="97">
        <f t="shared" si="54"/>
        <v>0</v>
      </c>
      <c r="U100" s="97">
        <f t="shared" si="54"/>
        <v>0</v>
      </c>
      <c r="V100" s="97">
        <f t="shared" si="54"/>
        <v>46579.759236850354</v>
      </c>
      <c r="W100" s="97">
        <f t="shared" si="54"/>
        <v>67537.758662181994</v>
      </c>
      <c r="X100" s="97">
        <f t="shared" si="54"/>
        <v>0</v>
      </c>
      <c r="Y100" s="97">
        <f t="shared" si="54"/>
        <v>516220.11332271731</v>
      </c>
      <c r="Z100" s="97">
        <f t="shared" si="54"/>
        <v>0</v>
      </c>
      <c r="AA100" s="97">
        <f t="shared" si="54"/>
        <v>235124.69269180158</v>
      </c>
      <c r="AB100" s="97">
        <f t="shared" si="54"/>
        <v>0</v>
      </c>
      <c r="AC100" s="97">
        <f t="shared" si="54"/>
        <v>0</v>
      </c>
      <c r="AD100" s="97">
        <f t="shared" si="54"/>
        <v>562749.16913207108</v>
      </c>
      <c r="AE100" s="97">
        <f t="shared" si="54"/>
        <v>9755.2818275611589</v>
      </c>
      <c r="AF100" s="97">
        <f t="shared" si="54"/>
        <v>57833.180262117428</v>
      </c>
      <c r="AG100" s="97">
        <f t="shared" si="54"/>
        <v>0</v>
      </c>
      <c r="AH100" s="97">
        <f t="shared" si="54"/>
        <v>0</v>
      </c>
      <c r="AI100" s="97">
        <f t="shared" si="54"/>
        <v>519701.53515027848</v>
      </c>
      <c r="AJ100" s="97">
        <f t="shared" si="54"/>
        <v>0</v>
      </c>
      <c r="AK100" s="97">
        <f t="shared" si="54"/>
        <v>46579.759236850354</v>
      </c>
      <c r="AL100" s="97">
        <f t="shared" si="54"/>
        <v>0</v>
      </c>
      <c r="AM100" s="97">
        <f t="shared" si="54"/>
        <v>3481.4218275611588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685377.37312344357</v>
      </c>
      <c r="L101" s="97">
        <f t="shared" si="52"/>
        <v>2183698.4884203272</v>
      </c>
      <c r="M101" s="1"/>
      <c r="N101" s="1"/>
      <c r="O101" s="97">
        <f t="shared" ref="O101:AM101" si="55">O67</f>
        <v>0</v>
      </c>
      <c r="P101" s="97">
        <f t="shared" si="55"/>
        <v>588976.79718387942</v>
      </c>
      <c r="Q101" s="97">
        <f t="shared" si="55"/>
        <v>-35009.392384455939</v>
      </c>
      <c r="R101" s="97">
        <f t="shared" si="55"/>
        <v>-19428.625683322905</v>
      </c>
      <c r="S101" s="97">
        <f t="shared" si="55"/>
        <v>-2300.3634599927082</v>
      </c>
      <c r="T101" s="97">
        <f t="shared" si="55"/>
        <v>-35093.158889164049</v>
      </c>
      <c r="U101" s="97">
        <f t="shared" si="55"/>
        <v>-19520.711951328449</v>
      </c>
      <c r="V101" s="97">
        <f t="shared" si="55"/>
        <v>-2401.5958175410756</v>
      </c>
      <c r="W101" s="97">
        <f t="shared" si="55"/>
        <v>11791.463199960517</v>
      </c>
      <c r="X101" s="97">
        <f t="shared" si="55"/>
        <v>25312.622355930496</v>
      </c>
      <c r="Y101" s="97">
        <f t="shared" si="55"/>
        <v>46884.624885905716</v>
      </c>
      <c r="Z101" s="97">
        <f t="shared" si="55"/>
        <v>19327.739781654815</v>
      </c>
      <c r="AA101" s="97">
        <f t="shared" si="55"/>
        <v>40305.318483700314</v>
      </c>
      <c r="AB101" s="97">
        <f t="shared" si="55"/>
        <v>40013.616517645241</v>
      </c>
      <c r="AC101" s="97">
        <f t="shared" si="55"/>
        <v>63045.734783481254</v>
      </c>
      <c r="AD101" s="97">
        <f t="shared" si="55"/>
        <v>88365.423395936028</v>
      </c>
      <c r="AE101" s="97">
        <f t="shared" si="55"/>
        <v>60307.140914042982</v>
      </c>
      <c r="AF101" s="97">
        <f t="shared" si="55"/>
        <v>84385.926747651276</v>
      </c>
      <c r="AG101" s="97">
        <f t="shared" si="55"/>
        <v>106081.09950245183</v>
      </c>
      <c r="AH101" s="97">
        <f t="shared" si="55"/>
        <v>135675.09858217559</v>
      </c>
      <c r="AI101" s="97">
        <f t="shared" si="55"/>
        <v>168208.39981167411</v>
      </c>
      <c r="AJ101" s="97">
        <f t="shared" si="55"/>
        <v>152355.72139010156</v>
      </c>
      <c r="AK101" s="97">
        <f t="shared" si="55"/>
        <v>186545.75682259974</v>
      </c>
      <c r="AL101" s="97">
        <f t="shared" si="55"/>
        <v>219505.23393429976</v>
      </c>
      <c r="AM101" s="97">
        <f t="shared" si="55"/>
        <v>260364.61831304154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-283462.1374724129</v>
      </c>
      <c r="L102" s="99">
        <f t="shared" ref="L102" si="56">SUM(L103:L104)</f>
        <v>-809744.93332830374</v>
      </c>
      <c r="M102" s="1"/>
      <c r="N102" s="1"/>
      <c r="O102" s="99">
        <f t="shared" ref="O102:AM102" si="57">SUM(O103:O104)</f>
        <v>-11092.396346963051</v>
      </c>
      <c r="P102" s="99">
        <f t="shared" si="57"/>
        <v>-33277.189040889185</v>
      </c>
      <c r="Q102" s="99">
        <f t="shared" si="57"/>
        <v>-33277.189040889185</v>
      </c>
      <c r="R102" s="99">
        <f t="shared" si="57"/>
        <v>-33277.189040889185</v>
      </c>
      <c r="S102" s="99">
        <f t="shared" si="57"/>
        <v>-33277.189040889185</v>
      </c>
      <c r="T102" s="99">
        <f t="shared" si="57"/>
        <v>-33277.189040889185</v>
      </c>
      <c r="U102" s="99">
        <f t="shared" si="57"/>
        <v>-33277.189040889185</v>
      </c>
      <c r="V102" s="99">
        <f t="shared" si="57"/>
        <v>-33277.189040889185</v>
      </c>
      <c r="W102" s="99">
        <f t="shared" si="57"/>
        <v>-33277.189040889185</v>
      </c>
      <c r="X102" s="99">
        <f t="shared" si="57"/>
        <v>-33277.189040889185</v>
      </c>
      <c r="Y102" s="99">
        <f t="shared" si="57"/>
        <v>-33277.189040889185</v>
      </c>
      <c r="Z102" s="99">
        <f t="shared" si="57"/>
        <v>-33277.189040889185</v>
      </c>
      <c r="AA102" s="99">
        <f t="shared" si="57"/>
        <v>-33277.189040889185</v>
      </c>
      <c r="AB102" s="99">
        <f t="shared" si="57"/>
        <v>-33277.189040889185</v>
      </c>
      <c r="AC102" s="99">
        <f t="shared" si="57"/>
        <v>-33277.189040889185</v>
      </c>
      <c r="AD102" s="99">
        <f t="shared" si="57"/>
        <v>-33277.189040889185</v>
      </c>
      <c r="AE102" s="99">
        <f t="shared" si="57"/>
        <v>-33277.189040889185</v>
      </c>
      <c r="AF102" s="99">
        <f t="shared" si="57"/>
        <v>-33277.189040889185</v>
      </c>
      <c r="AG102" s="99">
        <f t="shared" si="57"/>
        <v>-33277.189040889185</v>
      </c>
      <c r="AH102" s="99">
        <f t="shared" si="57"/>
        <v>-33277.189040889185</v>
      </c>
      <c r="AI102" s="99">
        <f t="shared" si="57"/>
        <v>-33277.189040889185</v>
      </c>
      <c r="AJ102" s="99">
        <f t="shared" si="57"/>
        <v>-33277.189040889185</v>
      </c>
      <c r="AK102" s="99">
        <f t="shared" si="57"/>
        <v>-33277.189040889185</v>
      </c>
      <c r="AL102" s="99">
        <f t="shared" si="57"/>
        <v>-33277.189040889185</v>
      </c>
      <c r="AM102" s="99">
        <f t="shared" si="57"/>
        <v>-33277.189040889185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-183121.55783616056</v>
      </c>
      <c r="L103" s="54">
        <f t="shared" ref="L103:L104" si="58">SUM(O103:AV103)</f>
        <v>-523109.5586988157</v>
      </c>
      <c r="M103" s="1"/>
      <c r="N103" s="1"/>
      <c r="O103" s="54">
        <f t="shared" ref="O103:AM104" si="59">-O205</f>
        <v>-7165.8843657371917</v>
      </c>
      <c r="P103" s="54">
        <f t="shared" si="59"/>
        <v>-21497.653097211598</v>
      </c>
      <c r="Q103" s="54">
        <f t="shared" si="59"/>
        <v>-21497.653097211598</v>
      </c>
      <c r="R103" s="54">
        <f t="shared" si="59"/>
        <v>-21497.653097211598</v>
      </c>
      <c r="S103" s="54">
        <f t="shared" si="59"/>
        <v>-21497.653097211598</v>
      </c>
      <c r="T103" s="54">
        <f t="shared" si="59"/>
        <v>-21497.653097211598</v>
      </c>
      <c r="U103" s="54">
        <f t="shared" si="59"/>
        <v>-21497.653097211598</v>
      </c>
      <c r="V103" s="54">
        <f t="shared" si="59"/>
        <v>-21497.653097211598</v>
      </c>
      <c r="W103" s="54">
        <f t="shared" si="59"/>
        <v>-21497.653097211598</v>
      </c>
      <c r="X103" s="54">
        <f t="shared" si="59"/>
        <v>-21497.653097211598</v>
      </c>
      <c r="Y103" s="54">
        <f t="shared" si="59"/>
        <v>-21497.653097211598</v>
      </c>
      <c r="Z103" s="54">
        <f t="shared" si="59"/>
        <v>-21497.653097211598</v>
      </c>
      <c r="AA103" s="54">
        <f t="shared" si="59"/>
        <v>-21497.653097211598</v>
      </c>
      <c r="AB103" s="54">
        <f t="shared" si="59"/>
        <v>-21497.653097211598</v>
      </c>
      <c r="AC103" s="54">
        <f t="shared" si="59"/>
        <v>-21497.653097211598</v>
      </c>
      <c r="AD103" s="54">
        <f t="shared" si="59"/>
        <v>-21497.653097211598</v>
      </c>
      <c r="AE103" s="54">
        <f t="shared" si="59"/>
        <v>-21497.653097211598</v>
      </c>
      <c r="AF103" s="54">
        <f t="shared" si="59"/>
        <v>-21497.653097211598</v>
      </c>
      <c r="AG103" s="54">
        <f t="shared" si="59"/>
        <v>-21497.653097211598</v>
      </c>
      <c r="AH103" s="54">
        <f t="shared" si="59"/>
        <v>-21497.653097211598</v>
      </c>
      <c r="AI103" s="54">
        <f t="shared" si="59"/>
        <v>-21497.653097211598</v>
      </c>
      <c r="AJ103" s="54">
        <f t="shared" si="59"/>
        <v>-21497.653097211598</v>
      </c>
      <c r="AK103" s="54">
        <f t="shared" si="59"/>
        <v>-21497.653097211598</v>
      </c>
      <c r="AL103" s="54">
        <f t="shared" si="59"/>
        <v>-21497.653097211598</v>
      </c>
      <c r="AM103" s="54">
        <f t="shared" si="59"/>
        <v>-21497.653097211598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-100340.57963625237</v>
      </c>
      <c r="L104" s="102">
        <f t="shared" si="58"/>
        <v>-286635.37462948798</v>
      </c>
      <c r="M104" s="1"/>
      <c r="N104" s="1"/>
      <c r="O104" s="102">
        <f t="shared" si="59"/>
        <v>-3926.511981225859</v>
      </c>
      <c r="P104" s="102">
        <f t="shared" si="59"/>
        <v>-11779.535943677589</v>
      </c>
      <c r="Q104" s="102">
        <f t="shared" si="59"/>
        <v>-11779.535943677589</v>
      </c>
      <c r="R104" s="102">
        <f t="shared" si="59"/>
        <v>-11779.535943677589</v>
      </c>
      <c r="S104" s="102">
        <f t="shared" si="59"/>
        <v>-11779.535943677589</v>
      </c>
      <c r="T104" s="102">
        <f t="shared" si="59"/>
        <v>-11779.535943677589</v>
      </c>
      <c r="U104" s="102">
        <f t="shared" si="59"/>
        <v>-11779.535943677589</v>
      </c>
      <c r="V104" s="102">
        <f t="shared" si="59"/>
        <v>-11779.535943677589</v>
      </c>
      <c r="W104" s="102">
        <f t="shared" si="59"/>
        <v>-11779.535943677589</v>
      </c>
      <c r="X104" s="102">
        <f t="shared" si="59"/>
        <v>-11779.535943677589</v>
      </c>
      <c r="Y104" s="102">
        <f t="shared" si="59"/>
        <v>-11779.535943677589</v>
      </c>
      <c r="Z104" s="102">
        <f t="shared" si="59"/>
        <v>-11779.535943677589</v>
      </c>
      <c r="AA104" s="102">
        <f t="shared" si="59"/>
        <v>-11779.535943677589</v>
      </c>
      <c r="AB104" s="102">
        <f t="shared" si="59"/>
        <v>-11779.535943677589</v>
      </c>
      <c r="AC104" s="102">
        <f t="shared" si="59"/>
        <v>-11779.535943677589</v>
      </c>
      <c r="AD104" s="102">
        <f t="shared" si="59"/>
        <v>-11779.535943677589</v>
      </c>
      <c r="AE104" s="102">
        <f t="shared" si="59"/>
        <v>-11779.535943677589</v>
      </c>
      <c r="AF104" s="102">
        <f t="shared" si="59"/>
        <v>-11779.535943677589</v>
      </c>
      <c r="AG104" s="102">
        <f t="shared" si="59"/>
        <v>-11779.535943677589</v>
      </c>
      <c r="AH104" s="102">
        <f t="shared" si="59"/>
        <v>-11779.535943677589</v>
      </c>
      <c r="AI104" s="102">
        <f t="shared" si="59"/>
        <v>-11779.535943677589</v>
      </c>
      <c r="AJ104" s="102">
        <f t="shared" si="59"/>
        <v>-11779.535943677589</v>
      </c>
      <c r="AK104" s="102">
        <f t="shared" si="59"/>
        <v>-11779.535943677589</v>
      </c>
      <c r="AL104" s="102">
        <f t="shared" si="59"/>
        <v>-11779.535943677589</v>
      </c>
      <c r="AM104" s="102">
        <f t="shared" si="59"/>
        <v>-11779.535943677589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60">K98+K102</f>
        <v>5711669.9555982165</v>
      </c>
      <c r="L105" s="69">
        <f t="shared" si="60"/>
        <v>14819206.307643302</v>
      </c>
      <c r="M105" s="1"/>
      <c r="N105" s="1"/>
      <c r="O105" s="69">
        <f t="shared" ref="O105:AM105" si="61">O98+O102</f>
        <v>1318580.1334152899</v>
      </c>
      <c r="P105" s="69">
        <f t="shared" si="61"/>
        <v>363817.19899499649</v>
      </c>
      <c r="Q105" s="69">
        <f t="shared" si="61"/>
        <v>363817.19899499649</v>
      </c>
      <c r="R105" s="69">
        <f t="shared" si="61"/>
        <v>363817.19899499649</v>
      </c>
      <c r="S105" s="69">
        <f t="shared" si="61"/>
        <v>883569.43757277168</v>
      </c>
      <c r="T105" s="69">
        <f t="shared" si="61"/>
        <v>363817.19899499649</v>
      </c>
      <c r="U105" s="69">
        <f t="shared" si="61"/>
        <v>363817.19899499649</v>
      </c>
      <c r="V105" s="69">
        <f t="shared" si="61"/>
        <v>410396.95823184686</v>
      </c>
      <c r="W105" s="69">
        <f t="shared" si="61"/>
        <v>431354.95765717846</v>
      </c>
      <c r="X105" s="69">
        <f t="shared" si="61"/>
        <v>363817.19899499649</v>
      </c>
      <c r="Y105" s="69">
        <f t="shared" si="61"/>
        <v>880037.31231771386</v>
      </c>
      <c r="Z105" s="69">
        <f t="shared" si="61"/>
        <v>363817.19899499649</v>
      </c>
      <c r="AA105" s="69">
        <f t="shared" si="61"/>
        <v>598941.89168679819</v>
      </c>
      <c r="AB105" s="69">
        <f t="shared" si="61"/>
        <v>363817.19899499649</v>
      </c>
      <c r="AC105" s="69">
        <f t="shared" si="61"/>
        <v>363817.19899499649</v>
      </c>
      <c r="AD105" s="69">
        <f t="shared" si="61"/>
        <v>926566.36812706769</v>
      </c>
      <c r="AE105" s="69">
        <f t="shared" si="61"/>
        <v>373572.48082255764</v>
      </c>
      <c r="AF105" s="69">
        <f t="shared" si="61"/>
        <v>421650.37925711391</v>
      </c>
      <c r="AG105" s="69">
        <f t="shared" si="61"/>
        <v>363817.19899499649</v>
      </c>
      <c r="AH105" s="69">
        <f t="shared" si="61"/>
        <v>363817.19899499649</v>
      </c>
      <c r="AI105" s="69">
        <f t="shared" si="61"/>
        <v>883518.73414527497</v>
      </c>
      <c r="AJ105" s="69">
        <f t="shared" si="61"/>
        <v>363817.19899499649</v>
      </c>
      <c r="AK105" s="69">
        <f t="shared" si="61"/>
        <v>410396.95823184686</v>
      </c>
      <c r="AL105" s="69">
        <f t="shared" si="61"/>
        <v>363817.19899499649</v>
      </c>
      <c r="AM105" s="69">
        <f t="shared" si="61"/>
        <v>367298.62082255766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-2383035.7091030749</v>
      </c>
      <c r="L106" s="97">
        <f t="shared" ref="L106:L107" si="62">SUM(O106:AV106)</f>
        <v>-6656831.4832519218</v>
      </c>
      <c r="M106" s="1"/>
      <c r="N106" s="1"/>
      <c r="O106" s="97">
        <f t="shared" ref="O106:AM106" si="63">-SUM(O11)</f>
        <v>-171209.38183738224</v>
      </c>
      <c r="P106" s="97">
        <f t="shared" si="63"/>
        <v>-268471.51080460433</v>
      </c>
      <c r="Q106" s="97">
        <f t="shared" si="63"/>
        <v>-277328.55684445059</v>
      </c>
      <c r="R106" s="97">
        <f t="shared" si="63"/>
        <v>-268294.81776544917</v>
      </c>
      <c r="S106" s="97">
        <f t="shared" si="63"/>
        <v>-269686.00380529545</v>
      </c>
      <c r="T106" s="97">
        <f t="shared" si="63"/>
        <v>-275583.98472629394</v>
      </c>
      <c r="U106" s="97">
        <f t="shared" si="63"/>
        <v>-269509.31076614029</v>
      </c>
      <c r="V106" s="97">
        <f t="shared" si="63"/>
        <v>-275407.29168713879</v>
      </c>
      <c r="W106" s="97">
        <f t="shared" si="63"/>
        <v>-269332.61772698513</v>
      </c>
      <c r="X106" s="97">
        <f t="shared" si="63"/>
        <v>-267764.73864798364</v>
      </c>
      <c r="Y106" s="97">
        <f t="shared" si="63"/>
        <v>-276621.78468782996</v>
      </c>
      <c r="Z106" s="97">
        <f t="shared" si="63"/>
        <v>-267588.04560882848</v>
      </c>
      <c r="AA106" s="97">
        <f t="shared" si="63"/>
        <v>-276445.0916486748</v>
      </c>
      <c r="AB106" s="97">
        <f t="shared" si="63"/>
        <v>-267411.35256967333</v>
      </c>
      <c r="AC106" s="97">
        <f t="shared" si="63"/>
        <v>-268802.53860951966</v>
      </c>
      <c r="AD106" s="97">
        <f t="shared" si="63"/>
        <v>-274700.51953051816</v>
      </c>
      <c r="AE106" s="97">
        <f t="shared" si="63"/>
        <v>-268625.84557036444</v>
      </c>
      <c r="AF106" s="97">
        <f t="shared" si="63"/>
        <v>-274523.826491363</v>
      </c>
      <c r="AG106" s="97">
        <f t="shared" si="63"/>
        <v>-268449.15253120929</v>
      </c>
      <c r="AH106" s="97">
        <f t="shared" si="63"/>
        <v>-266881.27345220785</v>
      </c>
      <c r="AI106" s="97">
        <f t="shared" si="63"/>
        <v>-275738.31949205411</v>
      </c>
      <c r="AJ106" s="97">
        <f t="shared" si="63"/>
        <v>-266704.5804130527</v>
      </c>
      <c r="AK106" s="97">
        <f t="shared" si="63"/>
        <v>-275561.62645289896</v>
      </c>
      <c r="AL106" s="97">
        <f t="shared" si="63"/>
        <v>-266527.88737389754</v>
      </c>
      <c r="AM106" s="97">
        <f t="shared" si="63"/>
        <v>-249661.42420810624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-1927220.7002424914</v>
      </c>
      <c r="L107" s="102">
        <f t="shared" si="62"/>
        <v>-3782622.643678057</v>
      </c>
      <c r="M107" s="1"/>
      <c r="N107" s="1"/>
      <c r="O107" s="102">
        <f>-O29</f>
        <v>-1197307.7337502912</v>
      </c>
      <c r="P107" s="102">
        <f t="shared" ref="P107:AM107" si="64">-P29</f>
        <v>0</v>
      </c>
      <c r="Q107" s="102">
        <f t="shared" si="64"/>
        <v>0</v>
      </c>
      <c r="R107" s="102">
        <f t="shared" si="64"/>
        <v>0</v>
      </c>
      <c r="S107" s="102">
        <f t="shared" si="64"/>
        <v>-519752.23857777513</v>
      </c>
      <c r="T107" s="102">
        <f t="shared" si="64"/>
        <v>0</v>
      </c>
      <c r="U107" s="102">
        <f t="shared" si="64"/>
        <v>0</v>
      </c>
      <c r="V107" s="102">
        <f t="shared" si="64"/>
        <v>-46579.759236850354</v>
      </c>
      <c r="W107" s="102">
        <f t="shared" si="64"/>
        <v>-67537.758662181994</v>
      </c>
      <c r="X107" s="102">
        <f t="shared" si="64"/>
        <v>0</v>
      </c>
      <c r="Y107" s="102">
        <f t="shared" si="64"/>
        <v>-516220.11332271731</v>
      </c>
      <c r="Z107" s="102">
        <f t="shared" si="64"/>
        <v>0</v>
      </c>
      <c r="AA107" s="102">
        <f t="shared" si="64"/>
        <v>-235124.69269180158</v>
      </c>
      <c r="AB107" s="102">
        <f t="shared" si="64"/>
        <v>0</v>
      </c>
      <c r="AC107" s="102">
        <f t="shared" si="64"/>
        <v>0</v>
      </c>
      <c r="AD107" s="102">
        <f t="shared" si="64"/>
        <v>-562749.16913207108</v>
      </c>
      <c r="AE107" s="102">
        <f t="shared" si="64"/>
        <v>-9755.2818275611589</v>
      </c>
      <c r="AF107" s="102">
        <f t="shared" si="64"/>
        <v>-57833.180262117428</v>
      </c>
      <c r="AG107" s="102">
        <f t="shared" si="64"/>
        <v>0</v>
      </c>
      <c r="AH107" s="102">
        <f t="shared" si="64"/>
        <v>0</v>
      </c>
      <c r="AI107" s="102">
        <f t="shared" si="64"/>
        <v>-519701.53515027848</v>
      </c>
      <c r="AJ107" s="102">
        <f t="shared" si="64"/>
        <v>0</v>
      </c>
      <c r="AK107" s="102">
        <f t="shared" si="64"/>
        <v>-46579.759236850354</v>
      </c>
      <c r="AL107" s="102">
        <f t="shared" si="64"/>
        <v>0</v>
      </c>
      <c r="AM107" s="102">
        <f t="shared" si="64"/>
        <v>-3481.4218275611588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65">K105+SUM(K106:K107)</f>
        <v>1401413.5462526502</v>
      </c>
      <c r="L108" s="75">
        <f t="shared" si="65"/>
        <v>4379752.180713322</v>
      </c>
      <c r="M108" s="1"/>
      <c r="N108" s="1"/>
      <c r="O108" s="75">
        <f t="shared" ref="O108:AM108" si="66">O105+SUM(O106:O107)</f>
        <v>-49936.982172383461</v>
      </c>
      <c r="P108" s="75">
        <f t="shared" si="66"/>
        <v>95345.68819039216</v>
      </c>
      <c r="Q108" s="75">
        <f t="shared" si="66"/>
        <v>86488.6421505459</v>
      </c>
      <c r="R108" s="75">
        <f t="shared" si="66"/>
        <v>95522.381229547318</v>
      </c>
      <c r="S108" s="75">
        <f t="shared" si="66"/>
        <v>94131.19518970116</v>
      </c>
      <c r="T108" s="75">
        <f t="shared" si="66"/>
        <v>88233.214268702548</v>
      </c>
      <c r="U108" s="75">
        <f t="shared" si="66"/>
        <v>94307.888228856202</v>
      </c>
      <c r="V108" s="75">
        <f t="shared" si="66"/>
        <v>88409.907307857706</v>
      </c>
      <c r="W108" s="75">
        <f t="shared" si="66"/>
        <v>94484.581268011301</v>
      </c>
      <c r="X108" s="75">
        <f t="shared" si="66"/>
        <v>96052.46034701285</v>
      </c>
      <c r="Y108" s="75">
        <f t="shared" si="66"/>
        <v>87195.414307166589</v>
      </c>
      <c r="Z108" s="75">
        <f t="shared" si="66"/>
        <v>96229.153386168007</v>
      </c>
      <c r="AA108" s="75">
        <f t="shared" si="66"/>
        <v>87372.107346321805</v>
      </c>
      <c r="AB108" s="75">
        <f t="shared" si="66"/>
        <v>96405.846425323165</v>
      </c>
      <c r="AC108" s="75">
        <f t="shared" si="66"/>
        <v>95014.660385476833</v>
      </c>
      <c r="AD108" s="75">
        <f t="shared" si="66"/>
        <v>89116.679464478395</v>
      </c>
      <c r="AE108" s="75">
        <f t="shared" si="66"/>
        <v>95191.353424632049</v>
      </c>
      <c r="AF108" s="75">
        <f t="shared" si="66"/>
        <v>89293.372503633494</v>
      </c>
      <c r="AG108" s="75">
        <f t="shared" si="66"/>
        <v>95368.046463787206</v>
      </c>
      <c r="AH108" s="75">
        <f t="shared" si="66"/>
        <v>96935.925542788638</v>
      </c>
      <c r="AI108" s="75">
        <f t="shared" si="66"/>
        <v>88078.879502942436</v>
      </c>
      <c r="AJ108" s="75">
        <f t="shared" si="66"/>
        <v>97112.618581943796</v>
      </c>
      <c r="AK108" s="75">
        <f t="shared" si="66"/>
        <v>88255.572542097536</v>
      </c>
      <c r="AL108" s="75">
        <f t="shared" si="66"/>
        <v>97289.311621098954</v>
      </c>
      <c r="AM108" s="75">
        <f t="shared" si="66"/>
        <v>114155.77478689025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>
        <f t="shared" ref="K109:L109" si="67">IFERROR(K108/K$105,0)</f>
        <v>0.24535968589695445</v>
      </c>
      <c r="L109" s="105">
        <f t="shared" si="67"/>
        <v>0.29554566484808148</v>
      </c>
      <c r="M109" s="1"/>
      <c r="N109" s="1"/>
      <c r="O109" s="105">
        <f t="shared" ref="O109:AM109" si="68">IFERROR(O108/O$105,0)</f>
        <v>-3.7871784131192951E-2</v>
      </c>
      <c r="P109" s="105">
        <f t="shared" si="68"/>
        <v>0.2620703156798902</v>
      </c>
      <c r="Q109" s="105">
        <f t="shared" si="68"/>
        <v>0.2377255456571622</v>
      </c>
      <c r="R109" s="105">
        <f t="shared" si="68"/>
        <v>0.26255598001803376</v>
      </c>
      <c r="S109" s="105">
        <f t="shared" si="68"/>
        <v>0.10653514165031135</v>
      </c>
      <c r="T109" s="105">
        <f t="shared" si="68"/>
        <v>0.24252073434800975</v>
      </c>
      <c r="U109" s="105">
        <f t="shared" si="68"/>
        <v>0.25921778434161713</v>
      </c>
      <c r="V109" s="105">
        <f t="shared" si="68"/>
        <v>0.21542534742158595</v>
      </c>
      <c r="W109" s="105">
        <f t="shared" si="68"/>
        <v>0.21904137089599282</v>
      </c>
      <c r="X109" s="105">
        <f t="shared" si="68"/>
        <v>0.26401297303246468</v>
      </c>
      <c r="Y109" s="105">
        <f t="shared" si="68"/>
        <v>9.9081496985081272E-2</v>
      </c>
      <c r="Z109" s="105">
        <f t="shared" si="68"/>
        <v>0.2644986373706083</v>
      </c>
      <c r="AA109" s="105">
        <f t="shared" si="68"/>
        <v>0.14587743578973247</v>
      </c>
      <c r="AB109" s="105">
        <f t="shared" si="68"/>
        <v>0.26498430170875187</v>
      </c>
      <c r="AC109" s="105">
        <f t="shared" si="68"/>
        <v>0.26116044169419145</v>
      </c>
      <c r="AD109" s="105">
        <f t="shared" si="68"/>
        <v>9.6179488625964343E-2</v>
      </c>
      <c r="AE109" s="105">
        <f t="shared" si="68"/>
        <v>0.25481361264896485</v>
      </c>
      <c r="AF109" s="105">
        <f t="shared" si="68"/>
        <v>0.21177111867171877</v>
      </c>
      <c r="AG109" s="105">
        <f t="shared" si="68"/>
        <v>0.2621317703704788</v>
      </c>
      <c r="AH109" s="105">
        <f t="shared" si="68"/>
        <v>0.26644129472318262</v>
      </c>
      <c r="AI109" s="105">
        <f t="shared" si="68"/>
        <v>9.9691015140896636E-2</v>
      </c>
      <c r="AJ109" s="105">
        <f t="shared" si="68"/>
        <v>0.26692695906132619</v>
      </c>
      <c r="AK109" s="105">
        <f t="shared" si="68"/>
        <v>0.21504928526355946</v>
      </c>
      <c r="AL109" s="105">
        <f t="shared" si="68"/>
        <v>0.26741262339946981</v>
      </c>
      <c r="AM109" s="105">
        <f t="shared" si="68"/>
        <v>0.31079826690130435</v>
      </c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69">SUM(O110:AV110)</f>
        <v>0</v>
      </c>
      <c r="M110" s="1"/>
      <c r="N110" s="1"/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2319872.3352313666</v>
      </c>
      <c r="L111" s="102">
        <f t="shared" si="69"/>
        <v>6852837.1110215066</v>
      </c>
      <c r="M111" s="1"/>
      <c r="N111" s="1"/>
      <c r="O111" s="102">
        <f t="shared" ref="O111:AM111" si="70">O70</f>
        <v>63960.803049331174</v>
      </c>
      <c r="P111" s="102">
        <f t="shared" si="70"/>
        <v>780859.20633187308</v>
      </c>
      <c r="Q111" s="102">
        <f t="shared" si="70"/>
        <v>156873.01676353777</v>
      </c>
      <c r="R111" s="102">
        <f t="shared" si="70"/>
        <v>172453.78346467082</v>
      </c>
      <c r="S111" s="102">
        <f t="shared" si="70"/>
        <v>189582.045688001</v>
      </c>
      <c r="T111" s="102">
        <f t="shared" si="70"/>
        <v>156789.25025882968</v>
      </c>
      <c r="U111" s="102">
        <f t="shared" si="70"/>
        <v>172361.69719666528</v>
      </c>
      <c r="V111" s="102">
        <f t="shared" si="70"/>
        <v>189480.81333045266</v>
      </c>
      <c r="W111" s="102">
        <f t="shared" si="70"/>
        <v>203673.87234795422</v>
      </c>
      <c r="X111" s="102">
        <f t="shared" si="70"/>
        <v>217195.03150392423</v>
      </c>
      <c r="Y111" s="102">
        <f t="shared" si="70"/>
        <v>238767.03403389943</v>
      </c>
      <c r="Z111" s="102">
        <f t="shared" si="70"/>
        <v>211210.14892964854</v>
      </c>
      <c r="AA111" s="102">
        <f t="shared" si="70"/>
        <v>232187.72763169403</v>
      </c>
      <c r="AB111" s="102">
        <f t="shared" si="70"/>
        <v>231896.02566563897</v>
      </c>
      <c r="AC111" s="102">
        <f t="shared" si="70"/>
        <v>254928.14393147497</v>
      </c>
      <c r="AD111" s="102">
        <f t="shared" si="70"/>
        <v>280247.83254392975</v>
      </c>
      <c r="AE111" s="102">
        <f t="shared" si="70"/>
        <v>252189.55006203669</v>
      </c>
      <c r="AF111" s="102">
        <f t="shared" si="70"/>
        <v>276268.33589564497</v>
      </c>
      <c r="AG111" s="102">
        <f t="shared" si="70"/>
        <v>297963.50865044555</v>
      </c>
      <c r="AH111" s="102">
        <f t="shared" si="70"/>
        <v>327557.50773016934</v>
      </c>
      <c r="AI111" s="102">
        <f t="shared" si="70"/>
        <v>360090.8089596678</v>
      </c>
      <c r="AJ111" s="102">
        <f t="shared" si="70"/>
        <v>344238.13053809525</v>
      </c>
      <c r="AK111" s="102">
        <f t="shared" si="70"/>
        <v>378428.16597059346</v>
      </c>
      <c r="AL111" s="102">
        <f t="shared" si="70"/>
        <v>411387.64308229345</v>
      </c>
      <c r="AM111" s="102">
        <f t="shared" si="70"/>
        <v>452247.02746103529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71">K108+K110+K111</f>
        <v>3721285.8814840168</v>
      </c>
      <c r="L112" s="75">
        <f t="shared" si="71"/>
        <v>11232589.29173483</v>
      </c>
      <c r="M112" s="1"/>
      <c r="N112" s="1"/>
      <c r="O112" s="75">
        <f t="shared" ref="O112:AM112" si="72">O108+O110+O111</f>
        <v>14023.820876947713</v>
      </c>
      <c r="P112" s="75">
        <f t="shared" si="72"/>
        <v>876204.8945222653</v>
      </c>
      <c r="Q112" s="75">
        <f t="shared" si="72"/>
        <v>243361.65891408367</v>
      </c>
      <c r="R112" s="75">
        <f t="shared" si="72"/>
        <v>267976.16469421814</v>
      </c>
      <c r="S112" s="75">
        <f t="shared" si="72"/>
        <v>283713.24087770213</v>
      </c>
      <c r="T112" s="75">
        <f t="shared" si="72"/>
        <v>245022.46452753223</v>
      </c>
      <c r="U112" s="75">
        <f t="shared" si="72"/>
        <v>266669.58542552148</v>
      </c>
      <c r="V112" s="75">
        <f t="shared" si="72"/>
        <v>277890.72063831036</v>
      </c>
      <c r="W112" s="75">
        <f t="shared" si="72"/>
        <v>298158.45361596555</v>
      </c>
      <c r="X112" s="75">
        <f t="shared" si="72"/>
        <v>313247.49185093708</v>
      </c>
      <c r="Y112" s="75">
        <f t="shared" si="72"/>
        <v>325962.44834106602</v>
      </c>
      <c r="Z112" s="75">
        <f t="shared" si="72"/>
        <v>307439.30231581652</v>
      </c>
      <c r="AA112" s="75">
        <f t="shared" si="72"/>
        <v>319559.83497801586</v>
      </c>
      <c r="AB112" s="75">
        <f t="shared" si="72"/>
        <v>328301.87209096213</v>
      </c>
      <c r="AC112" s="75">
        <f t="shared" si="72"/>
        <v>349942.80431695178</v>
      </c>
      <c r="AD112" s="75">
        <f t="shared" si="72"/>
        <v>369364.51200840814</v>
      </c>
      <c r="AE112" s="75">
        <f t="shared" si="72"/>
        <v>347380.90348666871</v>
      </c>
      <c r="AF112" s="75">
        <f t="shared" si="72"/>
        <v>365561.70839927846</v>
      </c>
      <c r="AG112" s="75">
        <f t="shared" si="72"/>
        <v>393331.55511423276</v>
      </c>
      <c r="AH112" s="75">
        <f t="shared" si="72"/>
        <v>424493.43327295798</v>
      </c>
      <c r="AI112" s="75">
        <f t="shared" si="72"/>
        <v>448169.68846261024</v>
      </c>
      <c r="AJ112" s="75">
        <f t="shared" si="72"/>
        <v>441350.74912003905</v>
      </c>
      <c r="AK112" s="75">
        <f t="shared" si="72"/>
        <v>466683.73851269099</v>
      </c>
      <c r="AL112" s="75">
        <f t="shared" si="72"/>
        <v>508676.9547033924</v>
      </c>
      <c r="AM112" s="75">
        <f t="shared" si="72"/>
        <v>566402.80224792555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>
        <f t="shared" ref="K113:L113" si="73">IFERROR(K112/K$105,0)</f>
        <v>0.65152326909867198</v>
      </c>
      <c r="L113" s="105">
        <f t="shared" si="73"/>
        <v>0.75797509384435768</v>
      </c>
      <c r="M113" s="1"/>
      <c r="N113" s="1"/>
      <c r="O113" s="105">
        <f t="shared" ref="O113:AM113" si="74">IFERROR(O112/O$105,0)</f>
        <v>1.0635546920174078E-2</v>
      </c>
      <c r="P113" s="105">
        <f t="shared" si="74"/>
        <v>2.4083657862868533</v>
      </c>
      <c r="Q113" s="105">
        <f t="shared" si="74"/>
        <v>0.66891191396762573</v>
      </c>
      <c r="R113" s="105">
        <f t="shared" si="74"/>
        <v>0.73656815959902866</v>
      </c>
      <c r="S113" s="105">
        <f t="shared" si="74"/>
        <v>0.32109897514912089</v>
      </c>
      <c r="T113" s="105">
        <f t="shared" si="74"/>
        <v>0.67347685926992684</v>
      </c>
      <c r="U113" s="105">
        <f t="shared" si="74"/>
        <v>0.73297685255717926</v>
      </c>
      <c r="V113" s="105">
        <f t="shared" si="74"/>
        <v>0.67712665765256641</v>
      </c>
      <c r="W113" s="105">
        <f t="shared" si="74"/>
        <v>0.69121369378795572</v>
      </c>
      <c r="X113" s="105">
        <f t="shared" si="74"/>
        <v>0.86100242846200659</v>
      </c>
      <c r="Y113" s="105">
        <f t="shared" si="74"/>
        <v>0.3703961681835895</v>
      </c>
      <c r="Z113" s="105">
        <f t="shared" si="74"/>
        <v>0.84503784638297064</v>
      </c>
      <c r="AA113" s="105">
        <f t="shared" si="74"/>
        <v>0.53354063125896989</v>
      </c>
      <c r="AB113" s="105">
        <f t="shared" si="74"/>
        <v>0.90238139647564386</v>
      </c>
      <c r="AC113" s="105">
        <f t="shared" si="74"/>
        <v>0.96186437937411662</v>
      </c>
      <c r="AD113" s="105">
        <f t="shared" si="74"/>
        <v>0.39863794404175279</v>
      </c>
      <c r="AE113" s="105">
        <f t="shared" si="74"/>
        <v>0.92988890060044438</v>
      </c>
      <c r="AF113" s="105">
        <f t="shared" si="74"/>
        <v>0.86697825113627203</v>
      </c>
      <c r="AG113" s="105">
        <f t="shared" si="74"/>
        <v>1.0811241365190165</v>
      </c>
      <c r="AH113" s="105">
        <f t="shared" si="74"/>
        <v>1.1667767066690982</v>
      </c>
      <c r="AI113" s="105">
        <f t="shared" si="74"/>
        <v>0.50725544478258766</v>
      </c>
      <c r="AJ113" s="105">
        <f t="shared" si="74"/>
        <v>1.2131112831917241</v>
      </c>
      <c r="AK113" s="105">
        <f t="shared" si="74"/>
        <v>1.1371520406080735</v>
      </c>
      <c r="AL113" s="105">
        <f t="shared" si="74"/>
        <v>1.3981663211869986</v>
      </c>
      <c r="AM113" s="105">
        <f t="shared" si="74"/>
        <v>1.5420771278135437</v>
      </c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75">K112+K114</f>
        <v>3721285.8814840168</v>
      </c>
      <c r="L115" s="75">
        <f t="shared" si="75"/>
        <v>11232589.29173483</v>
      </c>
      <c r="M115" s="1"/>
      <c r="N115" s="1"/>
      <c r="O115" s="75">
        <f t="shared" ref="O115:AM115" si="76">O112+O114</f>
        <v>14023.820876947713</v>
      </c>
      <c r="P115" s="75">
        <f t="shared" si="76"/>
        <v>876204.8945222653</v>
      </c>
      <c r="Q115" s="75">
        <f t="shared" si="76"/>
        <v>243361.65891408367</v>
      </c>
      <c r="R115" s="75">
        <f t="shared" si="76"/>
        <v>267976.16469421814</v>
      </c>
      <c r="S115" s="75">
        <f t="shared" si="76"/>
        <v>283713.24087770213</v>
      </c>
      <c r="T115" s="75">
        <f t="shared" si="76"/>
        <v>245022.46452753223</v>
      </c>
      <c r="U115" s="75">
        <f t="shared" si="76"/>
        <v>266669.58542552148</v>
      </c>
      <c r="V115" s="75">
        <f t="shared" si="76"/>
        <v>277890.72063831036</v>
      </c>
      <c r="W115" s="75">
        <f t="shared" si="76"/>
        <v>298158.45361596555</v>
      </c>
      <c r="X115" s="75">
        <f t="shared" si="76"/>
        <v>313247.49185093708</v>
      </c>
      <c r="Y115" s="75">
        <f t="shared" si="76"/>
        <v>325962.44834106602</v>
      </c>
      <c r="Z115" s="75">
        <f t="shared" si="76"/>
        <v>307439.30231581652</v>
      </c>
      <c r="AA115" s="75">
        <f t="shared" si="76"/>
        <v>319559.83497801586</v>
      </c>
      <c r="AB115" s="75">
        <f t="shared" si="76"/>
        <v>328301.87209096213</v>
      </c>
      <c r="AC115" s="75">
        <f t="shared" si="76"/>
        <v>349942.80431695178</v>
      </c>
      <c r="AD115" s="75">
        <f t="shared" si="76"/>
        <v>369364.51200840814</v>
      </c>
      <c r="AE115" s="75">
        <f t="shared" si="76"/>
        <v>347380.90348666871</v>
      </c>
      <c r="AF115" s="75">
        <f t="shared" si="76"/>
        <v>365561.70839927846</v>
      </c>
      <c r="AG115" s="75">
        <f t="shared" si="76"/>
        <v>393331.55511423276</v>
      </c>
      <c r="AH115" s="75">
        <f t="shared" si="76"/>
        <v>424493.43327295798</v>
      </c>
      <c r="AI115" s="75">
        <f t="shared" si="76"/>
        <v>448169.68846261024</v>
      </c>
      <c r="AJ115" s="75">
        <f t="shared" si="76"/>
        <v>441350.74912003905</v>
      </c>
      <c r="AK115" s="75">
        <f t="shared" si="76"/>
        <v>466683.73851269099</v>
      </c>
      <c r="AL115" s="75">
        <f t="shared" si="76"/>
        <v>508676.9547033924</v>
      </c>
      <c r="AM115" s="75">
        <f t="shared" si="76"/>
        <v>566402.80224792555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>
        <f t="shared" ref="K116:L116" si="77">IFERROR(K115/K$105,0)</f>
        <v>0.65152326909867198</v>
      </c>
      <c r="L116" s="105">
        <f t="shared" si="77"/>
        <v>0.75797509384435768</v>
      </c>
      <c r="M116" s="1"/>
      <c r="N116" s="1"/>
      <c r="O116" s="105">
        <f t="shared" ref="O116:AM116" si="78">IFERROR(O115/O$105,0)</f>
        <v>1.0635546920174078E-2</v>
      </c>
      <c r="P116" s="105">
        <f t="shared" si="78"/>
        <v>2.4083657862868533</v>
      </c>
      <c r="Q116" s="105">
        <f t="shared" si="78"/>
        <v>0.66891191396762573</v>
      </c>
      <c r="R116" s="105">
        <f t="shared" si="78"/>
        <v>0.73656815959902866</v>
      </c>
      <c r="S116" s="105">
        <f t="shared" si="78"/>
        <v>0.32109897514912089</v>
      </c>
      <c r="T116" s="105">
        <f t="shared" si="78"/>
        <v>0.67347685926992684</v>
      </c>
      <c r="U116" s="105">
        <f t="shared" si="78"/>
        <v>0.73297685255717926</v>
      </c>
      <c r="V116" s="105">
        <f t="shared" si="78"/>
        <v>0.67712665765256641</v>
      </c>
      <c r="W116" s="105">
        <f t="shared" si="78"/>
        <v>0.69121369378795572</v>
      </c>
      <c r="X116" s="105">
        <f t="shared" si="78"/>
        <v>0.86100242846200659</v>
      </c>
      <c r="Y116" s="105">
        <f t="shared" si="78"/>
        <v>0.3703961681835895</v>
      </c>
      <c r="Z116" s="105">
        <f t="shared" si="78"/>
        <v>0.84503784638297064</v>
      </c>
      <c r="AA116" s="105">
        <f t="shared" si="78"/>
        <v>0.53354063125896989</v>
      </c>
      <c r="AB116" s="105">
        <f t="shared" si="78"/>
        <v>0.90238139647564386</v>
      </c>
      <c r="AC116" s="105">
        <f t="shared" si="78"/>
        <v>0.96186437937411662</v>
      </c>
      <c r="AD116" s="105">
        <f t="shared" si="78"/>
        <v>0.39863794404175279</v>
      </c>
      <c r="AE116" s="105">
        <f t="shared" si="78"/>
        <v>0.92988890060044438</v>
      </c>
      <c r="AF116" s="105">
        <f t="shared" si="78"/>
        <v>0.86697825113627203</v>
      </c>
      <c r="AG116" s="105">
        <f t="shared" si="78"/>
        <v>1.0811241365190165</v>
      </c>
      <c r="AH116" s="105">
        <f t="shared" si="78"/>
        <v>1.1667767066690982</v>
      </c>
      <c r="AI116" s="105">
        <f t="shared" si="78"/>
        <v>0.50725544478258766</v>
      </c>
      <c r="AJ116" s="105">
        <f t="shared" si="78"/>
        <v>1.2131112831917241</v>
      </c>
      <c r="AK116" s="105">
        <f t="shared" si="78"/>
        <v>1.1371520406080735</v>
      </c>
      <c r="AL116" s="105">
        <f t="shared" si="78"/>
        <v>1.3981663211869986</v>
      </c>
      <c r="AM116" s="105">
        <f t="shared" si="78"/>
        <v>1.5420771278135437</v>
      </c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-385307.82580320904</v>
      </c>
      <c r="L117" s="108">
        <f>SUM(O117:AV117)</f>
        <v>-1100679.8385772337</v>
      </c>
      <c r="M117" s="1"/>
      <c r="N117" s="1"/>
      <c r="O117" s="108">
        <f t="shared" ref="O117:AM117" si="79">-O207</f>
        <v>-15077.806007907298</v>
      </c>
      <c r="P117" s="108">
        <f t="shared" si="79"/>
        <v>-45233.418023721941</v>
      </c>
      <c r="Q117" s="108">
        <f t="shared" si="79"/>
        <v>-45233.418023721941</v>
      </c>
      <c r="R117" s="108">
        <f t="shared" si="79"/>
        <v>-45233.418023721941</v>
      </c>
      <c r="S117" s="108">
        <f t="shared" si="79"/>
        <v>-45233.418023721941</v>
      </c>
      <c r="T117" s="108">
        <f t="shared" si="79"/>
        <v>-45233.418023721941</v>
      </c>
      <c r="U117" s="108">
        <f t="shared" si="79"/>
        <v>-45233.418023721941</v>
      </c>
      <c r="V117" s="108">
        <f t="shared" si="79"/>
        <v>-45233.418023721941</v>
      </c>
      <c r="W117" s="108">
        <f t="shared" si="79"/>
        <v>-45233.418023721941</v>
      </c>
      <c r="X117" s="108">
        <f t="shared" si="79"/>
        <v>-45233.418023721941</v>
      </c>
      <c r="Y117" s="108">
        <f t="shared" si="79"/>
        <v>-45233.418023721941</v>
      </c>
      <c r="Z117" s="108">
        <f t="shared" si="79"/>
        <v>-45233.418023721941</v>
      </c>
      <c r="AA117" s="108">
        <f t="shared" si="79"/>
        <v>-45233.418023721941</v>
      </c>
      <c r="AB117" s="108">
        <f t="shared" si="79"/>
        <v>-45233.418023721941</v>
      </c>
      <c r="AC117" s="108">
        <f t="shared" si="79"/>
        <v>-45233.418023721941</v>
      </c>
      <c r="AD117" s="108">
        <f t="shared" si="79"/>
        <v>-45233.418023721941</v>
      </c>
      <c r="AE117" s="108">
        <f t="shared" si="79"/>
        <v>-45233.418023721941</v>
      </c>
      <c r="AF117" s="108">
        <f t="shared" si="79"/>
        <v>-45233.418023721941</v>
      </c>
      <c r="AG117" s="108">
        <f t="shared" si="79"/>
        <v>-45233.418023721941</v>
      </c>
      <c r="AH117" s="108">
        <f t="shared" si="79"/>
        <v>-45233.418023721941</v>
      </c>
      <c r="AI117" s="108">
        <f t="shared" si="79"/>
        <v>-45233.418023721941</v>
      </c>
      <c r="AJ117" s="108">
        <f t="shared" si="79"/>
        <v>-45233.418023721941</v>
      </c>
      <c r="AK117" s="108">
        <f t="shared" si="79"/>
        <v>-45233.418023721941</v>
      </c>
      <c r="AL117" s="108">
        <f t="shared" si="79"/>
        <v>-45233.418023721941</v>
      </c>
      <c r="AM117" s="108">
        <f t="shared" si="79"/>
        <v>-45233.418023721941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80">K115+K117</f>
        <v>3335978.0556808077</v>
      </c>
      <c r="L118" s="109">
        <f t="shared" si="80"/>
        <v>10131909.453157596</v>
      </c>
      <c r="M118" s="1"/>
      <c r="N118" s="1"/>
      <c r="O118" s="109">
        <f t="shared" ref="O118:AM118" si="81">O115+O117</f>
        <v>-1053.9851309595851</v>
      </c>
      <c r="P118" s="109">
        <f t="shared" si="81"/>
        <v>830971.4764985434</v>
      </c>
      <c r="Q118" s="109">
        <f t="shared" si="81"/>
        <v>198128.24089036172</v>
      </c>
      <c r="R118" s="109">
        <f t="shared" si="81"/>
        <v>222742.74667049618</v>
      </c>
      <c r="S118" s="109">
        <f t="shared" si="81"/>
        <v>238479.82285398018</v>
      </c>
      <c r="T118" s="109">
        <f t="shared" si="81"/>
        <v>199789.04650381027</v>
      </c>
      <c r="U118" s="109">
        <f t="shared" si="81"/>
        <v>221436.16740179952</v>
      </c>
      <c r="V118" s="109">
        <f t="shared" si="81"/>
        <v>232657.30261458841</v>
      </c>
      <c r="W118" s="109">
        <f t="shared" si="81"/>
        <v>252925.0355922436</v>
      </c>
      <c r="X118" s="109">
        <f t="shared" si="81"/>
        <v>268014.07382721512</v>
      </c>
      <c r="Y118" s="109">
        <f t="shared" si="81"/>
        <v>280729.03031734406</v>
      </c>
      <c r="Z118" s="109">
        <f t="shared" si="81"/>
        <v>262205.88429209456</v>
      </c>
      <c r="AA118" s="109">
        <f t="shared" si="81"/>
        <v>274326.41695429391</v>
      </c>
      <c r="AB118" s="109">
        <f t="shared" si="81"/>
        <v>283068.45406724018</v>
      </c>
      <c r="AC118" s="109">
        <f t="shared" si="81"/>
        <v>304709.38629322982</v>
      </c>
      <c r="AD118" s="109">
        <f t="shared" si="81"/>
        <v>324131.09398468619</v>
      </c>
      <c r="AE118" s="109">
        <f t="shared" si="81"/>
        <v>302147.48546294676</v>
      </c>
      <c r="AF118" s="109">
        <f t="shared" si="81"/>
        <v>320328.29037555651</v>
      </c>
      <c r="AG118" s="109">
        <f t="shared" si="81"/>
        <v>348098.13709051081</v>
      </c>
      <c r="AH118" s="109">
        <f t="shared" si="81"/>
        <v>379260.01524923602</v>
      </c>
      <c r="AI118" s="109">
        <f t="shared" si="81"/>
        <v>402936.27043888828</v>
      </c>
      <c r="AJ118" s="109">
        <f t="shared" si="81"/>
        <v>396117.3310963171</v>
      </c>
      <c r="AK118" s="109">
        <f t="shared" si="81"/>
        <v>421450.32048896904</v>
      </c>
      <c r="AL118" s="109">
        <f t="shared" si="81"/>
        <v>463443.53667967045</v>
      </c>
      <c r="AM118" s="109">
        <f t="shared" si="81"/>
        <v>521169.38422420359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>
        <f t="shared" ref="K119:L119" si="82">IFERROR(K118/K$105,0)</f>
        <v>0.58406351935848355</v>
      </c>
      <c r="L119" s="105">
        <f t="shared" si="82"/>
        <v>0.68370122142991296</v>
      </c>
      <c r="M119" s="1"/>
      <c r="N119" s="1"/>
      <c r="O119" s="105">
        <f t="shared" ref="O119:AM119" si="83">IFERROR(O118/O$105,0)</f>
        <v>-7.9933339222215476E-4</v>
      </c>
      <c r="P119" s="105">
        <f t="shared" si="83"/>
        <v>2.2840357157220916</v>
      </c>
      <c r="Q119" s="105">
        <f t="shared" si="83"/>
        <v>0.54458184340286375</v>
      </c>
      <c r="R119" s="105">
        <f t="shared" si="83"/>
        <v>0.61223808903426669</v>
      </c>
      <c r="S119" s="105">
        <f t="shared" si="83"/>
        <v>0.26990501562514574</v>
      </c>
      <c r="T119" s="105">
        <f t="shared" si="83"/>
        <v>0.54914678870516487</v>
      </c>
      <c r="U119" s="105">
        <f t="shared" si="83"/>
        <v>0.60864678199241729</v>
      </c>
      <c r="V119" s="105">
        <f t="shared" si="83"/>
        <v>0.56690796056814963</v>
      </c>
      <c r="W119" s="105">
        <f t="shared" si="83"/>
        <v>0.58635013021748339</v>
      </c>
      <c r="X119" s="105">
        <f t="shared" si="83"/>
        <v>0.73667235789724461</v>
      </c>
      <c r="Y119" s="105">
        <f t="shared" si="83"/>
        <v>0.31899673614747187</v>
      </c>
      <c r="Z119" s="105">
        <f t="shared" si="83"/>
        <v>0.72070777581820866</v>
      </c>
      <c r="AA119" s="105">
        <f t="shared" si="83"/>
        <v>0.45801841674775706</v>
      </c>
      <c r="AB119" s="105">
        <f t="shared" si="83"/>
        <v>0.77805132591088189</v>
      </c>
      <c r="AC119" s="105">
        <f t="shared" si="83"/>
        <v>0.83753430880935464</v>
      </c>
      <c r="AD119" s="105">
        <f t="shared" si="83"/>
        <v>0.34981961911684173</v>
      </c>
      <c r="AE119" s="105">
        <f t="shared" si="83"/>
        <v>0.80880552228487923</v>
      </c>
      <c r="AF119" s="105">
        <f t="shared" si="83"/>
        <v>0.75970117930387715</v>
      </c>
      <c r="AG119" s="105">
        <f t="shared" si="83"/>
        <v>0.95679406595425454</v>
      </c>
      <c r="AH119" s="105">
        <f t="shared" si="83"/>
        <v>1.0424466361043363</v>
      </c>
      <c r="AI119" s="105">
        <f t="shared" si="83"/>
        <v>0.4560585473365123</v>
      </c>
      <c r="AJ119" s="105">
        <f t="shared" si="83"/>
        <v>1.0887812126269623</v>
      </c>
      <c r="AK119" s="105">
        <f t="shared" si="83"/>
        <v>1.0269333435236567</v>
      </c>
      <c r="AL119" s="105">
        <f t="shared" si="83"/>
        <v>1.2738362506222365</v>
      </c>
      <c r="AM119" s="105">
        <f t="shared" si="83"/>
        <v>1.4189255136789121</v>
      </c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84">SUM(K123)</f>
        <v>5017028.9818126159</v>
      </c>
      <c r="L122" s="69">
        <f t="shared" si="84"/>
        <v>14331768.731474394</v>
      </c>
      <c r="M122" s="1"/>
      <c r="N122" s="1"/>
      <c r="O122" s="69">
        <f t="shared" ref="O122:AM122" si="85">SUM(O123)</f>
        <v>196325.59906129295</v>
      </c>
      <c r="P122" s="69">
        <f t="shared" si="85"/>
        <v>588976.79718387942</v>
      </c>
      <c r="Q122" s="69">
        <f t="shared" si="85"/>
        <v>588976.79718387942</v>
      </c>
      <c r="R122" s="69">
        <f t="shared" si="85"/>
        <v>588976.79718387942</v>
      </c>
      <c r="S122" s="69">
        <f t="shared" si="85"/>
        <v>588976.79718387942</v>
      </c>
      <c r="T122" s="69">
        <f t="shared" si="85"/>
        <v>588976.79718387942</v>
      </c>
      <c r="U122" s="69">
        <f t="shared" si="85"/>
        <v>588976.79718387942</v>
      </c>
      <c r="V122" s="69">
        <f t="shared" si="85"/>
        <v>588976.79718387942</v>
      </c>
      <c r="W122" s="69">
        <f t="shared" si="85"/>
        <v>588976.79718387942</v>
      </c>
      <c r="X122" s="69">
        <f t="shared" si="85"/>
        <v>588976.79718387942</v>
      </c>
      <c r="Y122" s="69">
        <f t="shared" si="85"/>
        <v>588976.79718387942</v>
      </c>
      <c r="Z122" s="69">
        <f t="shared" si="85"/>
        <v>588976.79718387942</v>
      </c>
      <c r="AA122" s="69">
        <f t="shared" si="85"/>
        <v>588976.79718387942</v>
      </c>
      <c r="AB122" s="69">
        <f t="shared" si="85"/>
        <v>588976.79718387942</v>
      </c>
      <c r="AC122" s="69">
        <f t="shared" si="85"/>
        <v>588976.79718387942</v>
      </c>
      <c r="AD122" s="69">
        <f t="shared" si="85"/>
        <v>588976.79718387942</v>
      </c>
      <c r="AE122" s="69">
        <f t="shared" si="85"/>
        <v>588976.79718387942</v>
      </c>
      <c r="AF122" s="69">
        <f t="shared" si="85"/>
        <v>588976.79718387942</v>
      </c>
      <c r="AG122" s="69">
        <f t="shared" si="85"/>
        <v>588976.79718387942</v>
      </c>
      <c r="AH122" s="69">
        <f t="shared" si="85"/>
        <v>588976.79718387942</v>
      </c>
      <c r="AI122" s="69">
        <f t="shared" si="85"/>
        <v>588976.79718387942</v>
      </c>
      <c r="AJ122" s="69">
        <f t="shared" si="85"/>
        <v>588976.79718387942</v>
      </c>
      <c r="AK122" s="69">
        <f t="shared" si="85"/>
        <v>588976.79718387942</v>
      </c>
      <c r="AL122" s="69">
        <f t="shared" si="85"/>
        <v>588976.79718387942</v>
      </c>
      <c r="AM122" s="69">
        <f t="shared" si="85"/>
        <v>588976.79718387942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5017028.9818126159</v>
      </c>
      <c r="L123" s="97">
        <f>SUM(O123:AV123)</f>
        <v>14331768.731474394</v>
      </c>
      <c r="M123" s="1"/>
      <c r="N123" s="1"/>
      <c r="O123" s="97">
        <f t="shared" ref="O123:AM123" si="86">O75</f>
        <v>196325.59906129295</v>
      </c>
      <c r="P123" s="97">
        <f t="shared" si="86"/>
        <v>588976.79718387942</v>
      </c>
      <c r="Q123" s="97">
        <f t="shared" si="86"/>
        <v>588976.79718387942</v>
      </c>
      <c r="R123" s="97">
        <f t="shared" si="86"/>
        <v>588976.79718387942</v>
      </c>
      <c r="S123" s="97">
        <f t="shared" si="86"/>
        <v>588976.79718387942</v>
      </c>
      <c r="T123" s="97">
        <f t="shared" si="86"/>
        <v>588976.79718387942</v>
      </c>
      <c r="U123" s="97">
        <f t="shared" si="86"/>
        <v>588976.79718387942</v>
      </c>
      <c r="V123" s="97">
        <f t="shared" si="86"/>
        <v>588976.79718387942</v>
      </c>
      <c r="W123" s="97">
        <f t="shared" si="86"/>
        <v>588976.79718387942</v>
      </c>
      <c r="X123" s="97">
        <f t="shared" si="86"/>
        <v>588976.79718387942</v>
      </c>
      <c r="Y123" s="97">
        <f t="shared" si="86"/>
        <v>588976.79718387942</v>
      </c>
      <c r="Z123" s="97">
        <f t="shared" si="86"/>
        <v>588976.79718387942</v>
      </c>
      <c r="AA123" s="97">
        <f t="shared" si="86"/>
        <v>588976.79718387942</v>
      </c>
      <c r="AB123" s="97">
        <f t="shared" si="86"/>
        <v>588976.79718387942</v>
      </c>
      <c r="AC123" s="97">
        <f t="shared" si="86"/>
        <v>588976.79718387942</v>
      </c>
      <c r="AD123" s="97">
        <f t="shared" si="86"/>
        <v>588976.79718387942</v>
      </c>
      <c r="AE123" s="97">
        <f t="shared" si="86"/>
        <v>588976.79718387942</v>
      </c>
      <c r="AF123" s="97">
        <f t="shared" si="86"/>
        <v>588976.79718387942</v>
      </c>
      <c r="AG123" s="97">
        <f t="shared" si="86"/>
        <v>588976.79718387942</v>
      </c>
      <c r="AH123" s="97">
        <f t="shared" si="86"/>
        <v>588976.79718387942</v>
      </c>
      <c r="AI123" s="97">
        <f t="shared" si="86"/>
        <v>588976.79718387942</v>
      </c>
      <c r="AJ123" s="97">
        <f t="shared" si="86"/>
        <v>588976.79718387942</v>
      </c>
      <c r="AK123" s="97">
        <f t="shared" si="86"/>
        <v>588976.79718387942</v>
      </c>
      <c r="AL123" s="97">
        <f t="shared" si="86"/>
        <v>588976.79718387942</v>
      </c>
      <c r="AM123" s="97">
        <f t="shared" si="86"/>
        <v>588976.79718387942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87">SUM(K125:K126)</f>
        <v>-283462.1374724129</v>
      </c>
      <c r="L124" s="99">
        <f t="shared" si="87"/>
        <v>-809744.93332830374</v>
      </c>
      <c r="M124" s="111"/>
      <c r="N124" s="1"/>
      <c r="O124" s="99">
        <f t="shared" ref="O124:AM124" si="88">SUM(O125:O126)</f>
        <v>-11092.396346963051</v>
      </c>
      <c r="P124" s="99">
        <f t="shared" si="88"/>
        <v>-33277.189040889185</v>
      </c>
      <c r="Q124" s="99">
        <f t="shared" si="88"/>
        <v>-33277.189040889185</v>
      </c>
      <c r="R124" s="99">
        <f t="shared" si="88"/>
        <v>-33277.189040889185</v>
      </c>
      <c r="S124" s="99">
        <f t="shared" si="88"/>
        <v>-33277.189040889185</v>
      </c>
      <c r="T124" s="99">
        <f t="shared" si="88"/>
        <v>-33277.189040889185</v>
      </c>
      <c r="U124" s="99">
        <f t="shared" si="88"/>
        <v>-33277.189040889185</v>
      </c>
      <c r="V124" s="99">
        <f t="shared" si="88"/>
        <v>-33277.189040889185</v>
      </c>
      <c r="W124" s="99">
        <f t="shared" si="88"/>
        <v>-33277.189040889185</v>
      </c>
      <c r="X124" s="99">
        <f t="shared" si="88"/>
        <v>-33277.189040889185</v>
      </c>
      <c r="Y124" s="99">
        <f t="shared" si="88"/>
        <v>-33277.189040889185</v>
      </c>
      <c r="Z124" s="99">
        <f t="shared" si="88"/>
        <v>-33277.189040889185</v>
      </c>
      <c r="AA124" s="99">
        <f t="shared" si="88"/>
        <v>-33277.189040889185</v>
      </c>
      <c r="AB124" s="99">
        <f t="shared" si="88"/>
        <v>-33277.189040889185</v>
      </c>
      <c r="AC124" s="99">
        <f t="shared" si="88"/>
        <v>-33277.189040889185</v>
      </c>
      <c r="AD124" s="99">
        <f t="shared" si="88"/>
        <v>-33277.189040889185</v>
      </c>
      <c r="AE124" s="99">
        <f t="shared" si="88"/>
        <v>-33277.189040889185</v>
      </c>
      <c r="AF124" s="99">
        <f t="shared" si="88"/>
        <v>-33277.189040889185</v>
      </c>
      <c r="AG124" s="99">
        <f t="shared" si="88"/>
        <v>-33277.189040889185</v>
      </c>
      <c r="AH124" s="99">
        <f t="shared" si="88"/>
        <v>-33277.189040889185</v>
      </c>
      <c r="AI124" s="99">
        <f t="shared" si="88"/>
        <v>-33277.189040889185</v>
      </c>
      <c r="AJ124" s="99">
        <f t="shared" si="88"/>
        <v>-33277.189040889185</v>
      </c>
      <c r="AK124" s="99">
        <f t="shared" si="88"/>
        <v>-33277.189040889185</v>
      </c>
      <c r="AL124" s="99">
        <f t="shared" si="88"/>
        <v>-33277.189040889185</v>
      </c>
      <c r="AM124" s="99">
        <f t="shared" si="88"/>
        <v>-33277.189040889185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-183121.55783616056</v>
      </c>
      <c r="L125" s="54">
        <f t="shared" ref="L125:L126" si="89">SUM(O125:AV125)</f>
        <v>-523109.5586988157</v>
      </c>
      <c r="M125" s="1"/>
      <c r="N125" s="1"/>
      <c r="O125" s="54">
        <f t="shared" ref="O125:AM126" si="90">O103</f>
        <v>-7165.8843657371917</v>
      </c>
      <c r="P125" s="54">
        <f t="shared" si="90"/>
        <v>-21497.653097211598</v>
      </c>
      <c r="Q125" s="54">
        <f t="shared" si="90"/>
        <v>-21497.653097211598</v>
      </c>
      <c r="R125" s="54">
        <f t="shared" si="90"/>
        <v>-21497.653097211598</v>
      </c>
      <c r="S125" s="54">
        <f t="shared" si="90"/>
        <v>-21497.653097211598</v>
      </c>
      <c r="T125" s="54">
        <f t="shared" si="90"/>
        <v>-21497.653097211598</v>
      </c>
      <c r="U125" s="54">
        <f t="shared" si="90"/>
        <v>-21497.653097211598</v>
      </c>
      <c r="V125" s="54">
        <f t="shared" si="90"/>
        <v>-21497.653097211598</v>
      </c>
      <c r="W125" s="54">
        <f t="shared" si="90"/>
        <v>-21497.653097211598</v>
      </c>
      <c r="X125" s="54">
        <f t="shared" si="90"/>
        <v>-21497.653097211598</v>
      </c>
      <c r="Y125" s="54">
        <f t="shared" si="90"/>
        <v>-21497.653097211598</v>
      </c>
      <c r="Z125" s="54">
        <f t="shared" si="90"/>
        <v>-21497.653097211598</v>
      </c>
      <c r="AA125" s="54">
        <f t="shared" si="90"/>
        <v>-21497.653097211598</v>
      </c>
      <c r="AB125" s="54">
        <f t="shared" si="90"/>
        <v>-21497.653097211598</v>
      </c>
      <c r="AC125" s="54">
        <f t="shared" si="90"/>
        <v>-21497.653097211598</v>
      </c>
      <c r="AD125" s="54">
        <f t="shared" si="90"/>
        <v>-21497.653097211598</v>
      </c>
      <c r="AE125" s="54">
        <f t="shared" si="90"/>
        <v>-21497.653097211598</v>
      </c>
      <c r="AF125" s="54">
        <f t="shared" si="90"/>
        <v>-21497.653097211598</v>
      </c>
      <c r="AG125" s="54">
        <f t="shared" si="90"/>
        <v>-21497.653097211598</v>
      </c>
      <c r="AH125" s="54">
        <f t="shared" si="90"/>
        <v>-21497.653097211598</v>
      </c>
      <c r="AI125" s="54">
        <f t="shared" si="90"/>
        <v>-21497.653097211598</v>
      </c>
      <c r="AJ125" s="54">
        <f t="shared" si="90"/>
        <v>-21497.653097211598</v>
      </c>
      <c r="AK125" s="54">
        <f t="shared" si="90"/>
        <v>-21497.653097211598</v>
      </c>
      <c r="AL125" s="54">
        <f t="shared" si="90"/>
        <v>-21497.653097211598</v>
      </c>
      <c r="AM125" s="54">
        <f t="shared" si="90"/>
        <v>-21497.653097211598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-100340.57963625237</v>
      </c>
      <c r="L126" s="102">
        <f t="shared" si="89"/>
        <v>-286635.37462948798</v>
      </c>
      <c r="M126" s="1"/>
      <c r="N126" s="1"/>
      <c r="O126" s="54">
        <f t="shared" si="90"/>
        <v>-3926.511981225859</v>
      </c>
      <c r="P126" s="54">
        <f t="shared" si="90"/>
        <v>-11779.535943677589</v>
      </c>
      <c r="Q126" s="54">
        <f t="shared" si="90"/>
        <v>-11779.535943677589</v>
      </c>
      <c r="R126" s="54">
        <f t="shared" si="90"/>
        <v>-11779.535943677589</v>
      </c>
      <c r="S126" s="54">
        <f t="shared" si="90"/>
        <v>-11779.535943677589</v>
      </c>
      <c r="T126" s="54">
        <f t="shared" si="90"/>
        <v>-11779.535943677589</v>
      </c>
      <c r="U126" s="54">
        <f t="shared" si="90"/>
        <v>-11779.535943677589</v>
      </c>
      <c r="V126" s="54">
        <f t="shared" si="90"/>
        <v>-11779.535943677589</v>
      </c>
      <c r="W126" s="54">
        <f t="shared" si="90"/>
        <v>-11779.535943677589</v>
      </c>
      <c r="X126" s="54">
        <f t="shared" si="90"/>
        <v>-11779.535943677589</v>
      </c>
      <c r="Y126" s="54">
        <f t="shared" si="90"/>
        <v>-11779.535943677589</v>
      </c>
      <c r="Z126" s="54">
        <f t="shared" si="90"/>
        <v>-11779.535943677589</v>
      </c>
      <c r="AA126" s="54">
        <f t="shared" si="90"/>
        <v>-11779.535943677589</v>
      </c>
      <c r="AB126" s="54">
        <f t="shared" si="90"/>
        <v>-11779.535943677589</v>
      </c>
      <c r="AC126" s="54">
        <f t="shared" si="90"/>
        <v>-11779.535943677589</v>
      </c>
      <c r="AD126" s="54">
        <f t="shared" si="90"/>
        <v>-11779.535943677589</v>
      </c>
      <c r="AE126" s="54">
        <f t="shared" si="90"/>
        <v>-11779.535943677589</v>
      </c>
      <c r="AF126" s="54">
        <f t="shared" si="90"/>
        <v>-11779.535943677589</v>
      </c>
      <c r="AG126" s="54">
        <f t="shared" si="90"/>
        <v>-11779.535943677589</v>
      </c>
      <c r="AH126" s="54">
        <f t="shared" si="90"/>
        <v>-11779.535943677589</v>
      </c>
      <c r="AI126" s="54">
        <f t="shared" si="90"/>
        <v>-11779.535943677589</v>
      </c>
      <c r="AJ126" s="54">
        <f t="shared" si="90"/>
        <v>-11779.535943677589</v>
      </c>
      <c r="AK126" s="54">
        <f t="shared" si="90"/>
        <v>-11779.535943677589</v>
      </c>
      <c r="AL126" s="54">
        <f t="shared" si="90"/>
        <v>-11779.535943677589</v>
      </c>
      <c r="AM126" s="54">
        <f t="shared" si="90"/>
        <v>-11779.535943677589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91">K122+K124</f>
        <v>4733566.8443402033</v>
      </c>
      <c r="L127" s="69">
        <f t="shared" si="91"/>
        <v>13522023.79814609</v>
      </c>
      <c r="M127" s="1"/>
      <c r="N127" s="1"/>
      <c r="O127" s="69">
        <f t="shared" ref="O127:AM127" si="92">O122+O124</f>
        <v>185233.20271432991</v>
      </c>
      <c r="P127" s="69">
        <f t="shared" si="92"/>
        <v>555699.60814299027</v>
      </c>
      <c r="Q127" s="69">
        <f t="shared" si="92"/>
        <v>555699.60814299027</v>
      </c>
      <c r="R127" s="69">
        <f t="shared" si="92"/>
        <v>555699.60814299027</v>
      </c>
      <c r="S127" s="69">
        <f t="shared" si="92"/>
        <v>555699.60814299027</v>
      </c>
      <c r="T127" s="69">
        <f t="shared" si="92"/>
        <v>555699.60814299027</v>
      </c>
      <c r="U127" s="69">
        <f t="shared" si="92"/>
        <v>555699.60814299027</v>
      </c>
      <c r="V127" s="69">
        <f t="shared" si="92"/>
        <v>555699.60814299027</v>
      </c>
      <c r="W127" s="69">
        <f t="shared" si="92"/>
        <v>555699.60814299027</v>
      </c>
      <c r="X127" s="69">
        <f t="shared" si="92"/>
        <v>555699.60814299027</v>
      </c>
      <c r="Y127" s="69">
        <f t="shared" si="92"/>
        <v>555699.60814299027</v>
      </c>
      <c r="Z127" s="69">
        <f t="shared" si="92"/>
        <v>555699.60814299027</v>
      </c>
      <c r="AA127" s="69">
        <f t="shared" si="92"/>
        <v>555699.60814299027</v>
      </c>
      <c r="AB127" s="69">
        <f t="shared" si="92"/>
        <v>555699.60814299027</v>
      </c>
      <c r="AC127" s="69">
        <f t="shared" si="92"/>
        <v>555699.60814299027</v>
      </c>
      <c r="AD127" s="69">
        <f t="shared" si="92"/>
        <v>555699.60814299027</v>
      </c>
      <c r="AE127" s="69">
        <f t="shared" si="92"/>
        <v>555699.60814299027</v>
      </c>
      <c r="AF127" s="69">
        <f t="shared" si="92"/>
        <v>555699.60814299027</v>
      </c>
      <c r="AG127" s="69">
        <f t="shared" si="92"/>
        <v>555699.60814299027</v>
      </c>
      <c r="AH127" s="69">
        <f t="shared" si="92"/>
        <v>555699.60814299027</v>
      </c>
      <c r="AI127" s="69">
        <f t="shared" si="92"/>
        <v>555699.60814299027</v>
      </c>
      <c r="AJ127" s="69">
        <f t="shared" si="92"/>
        <v>555699.60814299027</v>
      </c>
      <c r="AK127" s="69">
        <f t="shared" si="92"/>
        <v>555699.60814299027</v>
      </c>
      <c r="AL127" s="69">
        <f t="shared" si="92"/>
        <v>555699.60814299027</v>
      </c>
      <c r="AM127" s="69">
        <f t="shared" si="92"/>
        <v>555699.60814299027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-2383035.7091030749</v>
      </c>
      <c r="L128" s="97">
        <f>SUM(O128:AV128)</f>
        <v>-6656831.4832519218</v>
      </c>
      <c r="M128" s="1"/>
      <c r="N128" s="1"/>
      <c r="O128" s="54">
        <f>-O11</f>
        <v>-171209.38183738224</v>
      </c>
      <c r="P128" s="54">
        <f t="shared" ref="P128:AM128" si="93">-P11</f>
        <v>-268471.51080460433</v>
      </c>
      <c r="Q128" s="54">
        <f t="shared" si="93"/>
        <v>-277328.55684445059</v>
      </c>
      <c r="R128" s="54">
        <f t="shared" si="93"/>
        <v>-268294.81776544917</v>
      </c>
      <c r="S128" s="54">
        <f t="shared" si="93"/>
        <v>-269686.00380529545</v>
      </c>
      <c r="T128" s="54">
        <f t="shared" si="93"/>
        <v>-275583.98472629394</v>
      </c>
      <c r="U128" s="54">
        <f t="shared" si="93"/>
        <v>-269509.31076614029</v>
      </c>
      <c r="V128" s="54">
        <f t="shared" si="93"/>
        <v>-275407.29168713879</v>
      </c>
      <c r="W128" s="54">
        <f t="shared" si="93"/>
        <v>-269332.61772698513</v>
      </c>
      <c r="X128" s="54">
        <f t="shared" si="93"/>
        <v>-267764.73864798364</v>
      </c>
      <c r="Y128" s="54">
        <f t="shared" si="93"/>
        <v>-276621.78468782996</v>
      </c>
      <c r="Z128" s="54">
        <f t="shared" si="93"/>
        <v>-267588.04560882848</v>
      </c>
      <c r="AA128" s="54">
        <f t="shared" si="93"/>
        <v>-276445.0916486748</v>
      </c>
      <c r="AB128" s="54">
        <f t="shared" si="93"/>
        <v>-267411.35256967333</v>
      </c>
      <c r="AC128" s="54">
        <f t="shared" si="93"/>
        <v>-268802.53860951966</v>
      </c>
      <c r="AD128" s="54">
        <f t="shared" si="93"/>
        <v>-274700.51953051816</v>
      </c>
      <c r="AE128" s="54">
        <f t="shared" si="93"/>
        <v>-268625.84557036444</v>
      </c>
      <c r="AF128" s="54">
        <f t="shared" si="93"/>
        <v>-274523.826491363</v>
      </c>
      <c r="AG128" s="54">
        <f t="shared" si="93"/>
        <v>-268449.15253120929</v>
      </c>
      <c r="AH128" s="54">
        <f t="shared" si="93"/>
        <v>-266881.27345220785</v>
      </c>
      <c r="AI128" s="54">
        <f t="shared" si="93"/>
        <v>-275738.31949205411</v>
      </c>
      <c r="AJ128" s="54">
        <f t="shared" si="93"/>
        <v>-266704.5804130527</v>
      </c>
      <c r="AK128" s="54">
        <f t="shared" si="93"/>
        <v>-275561.62645289896</v>
      </c>
      <c r="AL128" s="54">
        <f t="shared" si="93"/>
        <v>-266527.88737389754</v>
      </c>
      <c r="AM128" s="54">
        <f t="shared" si="93"/>
        <v>-249661.42420810624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94">K127+SUM(K128)</f>
        <v>2350531.1352371285</v>
      </c>
      <c r="L129" s="75">
        <f t="shared" si="94"/>
        <v>6865192.3148941677</v>
      </c>
      <c r="M129" s="1"/>
      <c r="N129" s="1"/>
      <c r="O129" s="75">
        <f t="shared" ref="O129:AM129" si="95">O127+SUM(O128)</f>
        <v>14023.820876947662</v>
      </c>
      <c r="P129" s="75">
        <f t="shared" si="95"/>
        <v>287228.09733838594</v>
      </c>
      <c r="Q129" s="75">
        <f t="shared" si="95"/>
        <v>278371.05129853968</v>
      </c>
      <c r="R129" s="75">
        <f t="shared" si="95"/>
        <v>287404.7903775411</v>
      </c>
      <c r="S129" s="75">
        <f t="shared" si="95"/>
        <v>286013.60433769482</v>
      </c>
      <c r="T129" s="75">
        <f t="shared" si="95"/>
        <v>280115.62341669633</v>
      </c>
      <c r="U129" s="75">
        <f t="shared" si="95"/>
        <v>286190.29737684998</v>
      </c>
      <c r="V129" s="75">
        <f t="shared" si="95"/>
        <v>280292.31645585148</v>
      </c>
      <c r="W129" s="75">
        <f t="shared" si="95"/>
        <v>286366.99041600514</v>
      </c>
      <c r="X129" s="75">
        <f t="shared" si="95"/>
        <v>287934.86949500663</v>
      </c>
      <c r="Y129" s="75">
        <f t="shared" si="95"/>
        <v>279077.82345516031</v>
      </c>
      <c r="Z129" s="75">
        <f t="shared" si="95"/>
        <v>288111.56253416179</v>
      </c>
      <c r="AA129" s="75">
        <f t="shared" si="95"/>
        <v>279254.51649431547</v>
      </c>
      <c r="AB129" s="75">
        <f t="shared" si="95"/>
        <v>288288.25557331694</v>
      </c>
      <c r="AC129" s="75">
        <f t="shared" si="95"/>
        <v>286897.06953347061</v>
      </c>
      <c r="AD129" s="75">
        <f t="shared" si="95"/>
        <v>280999.08861247211</v>
      </c>
      <c r="AE129" s="75">
        <f t="shared" si="95"/>
        <v>287073.76257262583</v>
      </c>
      <c r="AF129" s="75">
        <f t="shared" si="95"/>
        <v>281175.78165162727</v>
      </c>
      <c r="AG129" s="75">
        <f t="shared" si="95"/>
        <v>287250.45561178098</v>
      </c>
      <c r="AH129" s="75">
        <f t="shared" si="95"/>
        <v>288818.33469078242</v>
      </c>
      <c r="AI129" s="75">
        <f t="shared" si="95"/>
        <v>279961.28865093616</v>
      </c>
      <c r="AJ129" s="75">
        <f t="shared" si="95"/>
        <v>288995.02772993757</v>
      </c>
      <c r="AK129" s="75">
        <f t="shared" si="95"/>
        <v>280137.98169009131</v>
      </c>
      <c r="AL129" s="75">
        <f t="shared" si="95"/>
        <v>289171.72076909273</v>
      </c>
      <c r="AM129" s="75">
        <f t="shared" si="95"/>
        <v>306038.18393488403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>
        <f t="shared" ref="K130:L130" si="96">IFERROR(K129/K$105,0)</f>
        <v>0.41153133033068323</v>
      </c>
      <c r="L130" s="105">
        <f t="shared" si="96"/>
        <v>0.46326315811888708</v>
      </c>
      <c r="M130" s="1"/>
      <c r="N130" s="1"/>
      <c r="O130" s="105">
        <f t="shared" ref="O130:AM130" si="97">O129/O127</f>
        <v>7.5709001795836034E-2</v>
      </c>
      <c r="P130" s="105">
        <f t="shared" si="97"/>
        <v>0.51687655188066572</v>
      </c>
      <c r="Q130" s="105">
        <f t="shared" si="97"/>
        <v>0.5009380017898275</v>
      </c>
      <c r="R130" s="105">
        <f t="shared" si="97"/>
        <v>0.51719451690451312</v>
      </c>
      <c r="S130" s="105">
        <f t="shared" si="97"/>
        <v>0.51469103117326476</v>
      </c>
      <c r="T130" s="105">
        <f t="shared" si="97"/>
        <v>0.50407741756877067</v>
      </c>
      <c r="U130" s="105">
        <f t="shared" si="97"/>
        <v>0.51500899619711216</v>
      </c>
      <c r="V130" s="105">
        <f t="shared" si="97"/>
        <v>0.50439538259261796</v>
      </c>
      <c r="W130" s="105">
        <f t="shared" si="97"/>
        <v>0.51532696122095956</v>
      </c>
      <c r="X130" s="105">
        <f t="shared" si="97"/>
        <v>0.51814841197605532</v>
      </c>
      <c r="Y130" s="105">
        <f t="shared" si="97"/>
        <v>0.50220986188521688</v>
      </c>
      <c r="Z130" s="105">
        <f t="shared" si="97"/>
        <v>0.51846637699990272</v>
      </c>
      <c r="AA130" s="105">
        <f t="shared" si="97"/>
        <v>0.50252782690906428</v>
      </c>
      <c r="AB130" s="105">
        <f t="shared" si="97"/>
        <v>0.51878434202375001</v>
      </c>
      <c r="AC130" s="105">
        <f t="shared" si="97"/>
        <v>0.51628085629250164</v>
      </c>
      <c r="AD130" s="105">
        <f t="shared" si="97"/>
        <v>0.50566724268800745</v>
      </c>
      <c r="AE130" s="105">
        <f t="shared" si="97"/>
        <v>0.51659882131634904</v>
      </c>
      <c r="AF130" s="105">
        <f t="shared" si="97"/>
        <v>0.50598520771185485</v>
      </c>
      <c r="AG130" s="105">
        <f t="shared" si="97"/>
        <v>0.51691678634019644</v>
      </c>
      <c r="AH130" s="105">
        <f t="shared" si="97"/>
        <v>0.5197382370952921</v>
      </c>
      <c r="AI130" s="105">
        <f t="shared" si="97"/>
        <v>0.50379968700445388</v>
      </c>
      <c r="AJ130" s="105">
        <f t="shared" si="97"/>
        <v>0.5200562021191395</v>
      </c>
      <c r="AK130" s="105">
        <f t="shared" si="97"/>
        <v>0.50411765202830128</v>
      </c>
      <c r="AL130" s="105">
        <f t="shared" si="97"/>
        <v>0.5203741671429869</v>
      </c>
      <c r="AM130" s="105">
        <f t="shared" si="97"/>
        <v>0.55072593079125509</v>
      </c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685377.37312344322</v>
      </c>
      <c r="L131" s="97">
        <f>SUM(O131:AV131)</f>
        <v>2183698.4884203258</v>
      </c>
      <c r="M131" s="1"/>
      <c r="N131" s="1"/>
      <c r="O131" s="54">
        <f t="shared" ref="O131:AM131" si="98">O132-O129</f>
        <v>5.0931703299283981E-11</v>
      </c>
      <c r="P131" s="54">
        <f t="shared" si="98"/>
        <v>588976.79718387942</v>
      </c>
      <c r="Q131" s="54">
        <f t="shared" si="98"/>
        <v>-35009.392384456005</v>
      </c>
      <c r="R131" s="54">
        <f t="shared" si="98"/>
        <v>-19428.625683322956</v>
      </c>
      <c r="S131" s="54">
        <f t="shared" si="98"/>
        <v>-2300.3634599926881</v>
      </c>
      <c r="T131" s="54">
        <f t="shared" si="98"/>
        <v>-35093.1588891641</v>
      </c>
      <c r="U131" s="54">
        <f t="shared" si="98"/>
        <v>-19520.7119513285</v>
      </c>
      <c r="V131" s="54">
        <f t="shared" si="98"/>
        <v>-2401.5958175411215</v>
      </c>
      <c r="W131" s="54">
        <f t="shared" si="98"/>
        <v>11791.463199960417</v>
      </c>
      <c r="X131" s="54">
        <f t="shared" si="98"/>
        <v>25312.622355930449</v>
      </c>
      <c r="Y131" s="54">
        <f t="shared" si="98"/>
        <v>46884.624885905709</v>
      </c>
      <c r="Z131" s="54">
        <f t="shared" si="98"/>
        <v>19327.739781654731</v>
      </c>
      <c r="AA131" s="54">
        <f t="shared" si="98"/>
        <v>40305.318483700394</v>
      </c>
      <c r="AB131" s="54">
        <f t="shared" si="98"/>
        <v>40013.61651764519</v>
      </c>
      <c r="AC131" s="54">
        <f t="shared" si="98"/>
        <v>63045.734783481166</v>
      </c>
      <c r="AD131" s="54">
        <f t="shared" si="98"/>
        <v>88365.423395936028</v>
      </c>
      <c r="AE131" s="54">
        <f t="shared" si="98"/>
        <v>60307.140914042888</v>
      </c>
      <c r="AF131" s="54">
        <f t="shared" si="98"/>
        <v>84385.926747651189</v>
      </c>
      <c r="AG131" s="54">
        <f t="shared" si="98"/>
        <v>106081.09950245178</v>
      </c>
      <c r="AH131" s="54">
        <f t="shared" si="98"/>
        <v>135675.09858217556</v>
      </c>
      <c r="AI131" s="54">
        <f t="shared" si="98"/>
        <v>168208.39981167408</v>
      </c>
      <c r="AJ131" s="54">
        <f t="shared" si="98"/>
        <v>152355.72139010148</v>
      </c>
      <c r="AK131" s="54">
        <f t="shared" si="98"/>
        <v>186545.75682259968</v>
      </c>
      <c r="AL131" s="54">
        <f t="shared" si="98"/>
        <v>219505.23393429967</v>
      </c>
      <c r="AM131" s="54">
        <f t="shared" si="98"/>
        <v>260364.61831304152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 t="shared" ref="K132:L132" si="99">K115</f>
        <v>3721285.8814840168</v>
      </c>
      <c r="L132" s="75">
        <f t="shared" si="99"/>
        <v>11232589.29173483</v>
      </c>
      <c r="M132" s="1"/>
      <c r="N132" s="1"/>
      <c r="O132" s="75">
        <f t="shared" ref="O132:AM132" si="100">O115</f>
        <v>14023.820876947713</v>
      </c>
      <c r="P132" s="75">
        <f t="shared" si="100"/>
        <v>876204.8945222653</v>
      </c>
      <c r="Q132" s="75">
        <f t="shared" si="100"/>
        <v>243361.65891408367</v>
      </c>
      <c r="R132" s="75">
        <f t="shared" si="100"/>
        <v>267976.16469421814</v>
      </c>
      <c r="S132" s="75">
        <f t="shared" si="100"/>
        <v>283713.24087770213</v>
      </c>
      <c r="T132" s="75">
        <f t="shared" si="100"/>
        <v>245022.46452753223</v>
      </c>
      <c r="U132" s="75">
        <f t="shared" si="100"/>
        <v>266669.58542552148</v>
      </c>
      <c r="V132" s="75">
        <f t="shared" si="100"/>
        <v>277890.72063831036</v>
      </c>
      <c r="W132" s="75">
        <f t="shared" si="100"/>
        <v>298158.45361596555</v>
      </c>
      <c r="X132" s="75">
        <f t="shared" si="100"/>
        <v>313247.49185093708</v>
      </c>
      <c r="Y132" s="75">
        <f t="shared" si="100"/>
        <v>325962.44834106602</v>
      </c>
      <c r="Z132" s="75">
        <f t="shared" si="100"/>
        <v>307439.30231581652</v>
      </c>
      <c r="AA132" s="75">
        <f t="shared" si="100"/>
        <v>319559.83497801586</v>
      </c>
      <c r="AB132" s="75">
        <f t="shared" si="100"/>
        <v>328301.87209096213</v>
      </c>
      <c r="AC132" s="75">
        <f t="shared" si="100"/>
        <v>349942.80431695178</v>
      </c>
      <c r="AD132" s="75">
        <f t="shared" si="100"/>
        <v>369364.51200840814</v>
      </c>
      <c r="AE132" s="75">
        <f t="shared" si="100"/>
        <v>347380.90348666871</v>
      </c>
      <c r="AF132" s="75">
        <f t="shared" si="100"/>
        <v>365561.70839927846</v>
      </c>
      <c r="AG132" s="75">
        <f t="shared" si="100"/>
        <v>393331.55511423276</v>
      </c>
      <c r="AH132" s="75">
        <f t="shared" si="100"/>
        <v>424493.43327295798</v>
      </c>
      <c r="AI132" s="75">
        <f t="shared" si="100"/>
        <v>448169.68846261024</v>
      </c>
      <c r="AJ132" s="75">
        <f t="shared" si="100"/>
        <v>441350.74912003905</v>
      </c>
      <c r="AK132" s="75">
        <f t="shared" si="100"/>
        <v>466683.73851269099</v>
      </c>
      <c r="AL132" s="75">
        <f t="shared" si="100"/>
        <v>508676.9547033924</v>
      </c>
      <c r="AM132" s="75">
        <f t="shared" si="100"/>
        <v>566402.80224792555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>
        <f t="shared" ref="K133:L133" si="101">IFERROR(K132/K$105,0)</f>
        <v>0.65152326909867198</v>
      </c>
      <c r="L133" s="105">
        <f t="shared" si="101"/>
        <v>0.75797509384435768</v>
      </c>
      <c r="M133" s="1"/>
      <c r="N133" s="1"/>
      <c r="O133" s="105">
        <f t="shared" ref="O133:AM133" si="102">IFERROR(O132/O$105,0)</f>
        <v>1.0635546920174078E-2</v>
      </c>
      <c r="P133" s="105">
        <f t="shared" si="102"/>
        <v>2.4083657862868533</v>
      </c>
      <c r="Q133" s="105">
        <f t="shared" si="102"/>
        <v>0.66891191396762573</v>
      </c>
      <c r="R133" s="105">
        <f t="shared" si="102"/>
        <v>0.73656815959902866</v>
      </c>
      <c r="S133" s="105">
        <f t="shared" si="102"/>
        <v>0.32109897514912089</v>
      </c>
      <c r="T133" s="105">
        <f t="shared" si="102"/>
        <v>0.67347685926992684</v>
      </c>
      <c r="U133" s="105">
        <f t="shared" si="102"/>
        <v>0.73297685255717926</v>
      </c>
      <c r="V133" s="105">
        <f t="shared" si="102"/>
        <v>0.67712665765256641</v>
      </c>
      <c r="W133" s="105">
        <f t="shared" si="102"/>
        <v>0.69121369378795572</v>
      </c>
      <c r="X133" s="105">
        <f t="shared" si="102"/>
        <v>0.86100242846200659</v>
      </c>
      <c r="Y133" s="105">
        <f t="shared" si="102"/>
        <v>0.3703961681835895</v>
      </c>
      <c r="Z133" s="105">
        <f t="shared" si="102"/>
        <v>0.84503784638297064</v>
      </c>
      <c r="AA133" s="105">
        <f t="shared" si="102"/>
        <v>0.53354063125896989</v>
      </c>
      <c r="AB133" s="105">
        <f t="shared" si="102"/>
        <v>0.90238139647564386</v>
      </c>
      <c r="AC133" s="105">
        <f t="shared" si="102"/>
        <v>0.96186437937411662</v>
      </c>
      <c r="AD133" s="105">
        <f t="shared" si="102"/>
        <v>0.39863794404175279</v>
      </c>
      <c r="AE133" s="105">
        <f t="shared" si="102"/>
        <v>0.92988890060044438</v>
      </c>
      <c r="AF133" s="105">
        <f t="shared" si="102"/>
        <v>0.86697825113627203</v>
      </c>
      <c r="AG133" s="105">
        <f t="shared" si="102"/>
        <v>1.0811241365190165</v>
      </c>
      <c r="AH133" s="105">
        <f t="shared" si="102"/>
        <v>1.1667767066690982</v>
      </c>
      <c r="AI133" s="105">
        <f t="shared" si="102"/>
        <v>0.50725544478258766</v>
      </c>
      <c r="AJ133" s="105">
        <f t="shared" si="102"/>
        <v>1.2131112831917241</v>
      </c>
      <c r="AK133" s="105">
        <f t="shared" si="102"/>
        <v>1.1371520406080735</v>
      </c>
      <c r="AL133" s="105">
        <f t="shared" si="102"/>
        <v>1.3981663211869986</v>
      </c>
      <c r="AM133" s="105">
        <f t="shared" si="102"/>
        <v>1.5420771278135437</v>
      </c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103">K132+K134</f>
        <v>3721285.8814840168</v>
      </c>
      <c r="L135" s="75">
        <f t="shared" si="103"/>
        <v>11232589.29173483</v>
      </c>
      <c r="M135" s="1"/>
      <c r="N135" s="1"/>
      <c r="O135" s="75">
        <f t="shared" ref="O135:AM135" si="104">O132+O134</f>
        <v>14023.820876947713</v>
      </c>
      <c r="P135" s="75">
        <f t="shared" si="104"/>
        <v>876204.8945222653</v>
      </c>
      <c r="Q135" s="75">
        <f t="shared" si="104"/>
        <v>243361.65891408367</v>
      </c>
      <c r="R135" s="75">
        <f t="shared" si="104"/>
        <v>267976.16469421814</v>
      </c>
      <c r="S135" s="75">
        <f t="shared" si="104"/>
        <v>283713.24087770213</v>
      </c>
      <c r="T135" s="75">
        <f t="shared" si="104"/>
        <v>245022.46452753223</v>
      </c>
      <c r="U135" s="75">
        <f t="shared" si="104"/>
        <v>266669.58542552148</v>
      </c>
      <c r="V135" s="75">
        <f t="shared" si="104"/>
        <v>277890.72063831036</v>
      </c>
      <c r="W135" s="75">
        <f t="shared" si="104"/>
        <v>298158.45361596555</v>
      </c>
      <c r="X135" s="75">
        <f t="shared" si="104"/>
        <v>313247.49185093708</v>
      </c>
      <c r="Y135" s="75">
        <f t="shared" si="104"/>
        <v>325962.44834106602</v>
      </c>
      <c r="Z135" s="75">
        <f t="shared" si="104"/>
        <v>307439.30231581652</v>
      </c>
      <c r="AA135" s="75">
        <f t="shared" si="104"/>
        <v>319559.83497801586</v>
      </c>
      <c r="AB135" s="75">
        <f t="shared" si="104"/>
        <v>328301.87209096213</v>
      </c>
      <c r="AC135" s="75">
        <f t="shared" si="104"/>
        <v>349942.80431695178</v>
      </c>
      <c r="AD135" s="75">
        <f t="shared" si="104"/>
        <v>369364.51200840814</v>
      </c>
      <c r="AE135" s="75">
        <f t="shared" si="104"/>
        <v>347380.90348666871</v>
      </c>
      <c r="AF135" s="75">
        <f t="shared" si="104"/>
        <v>365561.70839927846</v>
      </c>
      <c r="AG135" s="75">
        <f t="shared" si="104"/>
        <v>393331.55511423276</v>
      </c>
      <c r="AH135" s="75">
        <f t="shared" si="104"/>
        <v>424493.43327295798</v>
      </c>
      <c r="AI135" s="75">
        <f t="shared" si="104"/>
        <v>448169.68846261024</v>
      </c>
      <c r="AJ135" s="75">
        <f t="shared" si="104"/>
        <v>441350.74912003905</v>
      </c>
      <c r="AK135" s="75">
        <f t="shared" si="104"/>
        <v>466683.73851269099</v>
      </c>
      <c r="AL135" s="75">
        <f t="shared" si="104"/>
        <v>508676.9547033924</v>
      </c>
      <c r="AM135" s="75">
        <f t="shared" si="104"/>
        <v>566402.80224792555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>
        <f t="shared" ref="K136:L136" si="105">IFERROR(K135/K$105,0)</f>
        <v>0.65152326909867198</v>
      </c>
      <c r="L136" s="105">
        <f t="shared" si="105"/>
        <v>0.75797509384435768</v>
      </c>
      <c r="M136" s="1"/>
      <c r="N136" s="1"/>
      <c r="O136" s="105">
        <f t="shared" ref="O136:AM136" si="106">O135/O127</f>
        <v>7.5709001795836312E-2</v>
      </c>
      <c r="P136" s="105">
        <f t="shared" si="106"/>
        <v>1.5767599647052548</v>
      </c>
      <c r="Q136" s="105">
        <f t="shared" si="106"/>
        <v>0.43793743120917028</v>
      </c>
      <c r="R136" s="105">
        <f t="shared" si="106"/>
        <v>0.48223205625378746</v>
      </c>
      <c r="S136" s="105">
        <f t="shared" si="106"/>
        <v>0.51055145031647786</v>
      </c>
      <c r="T136" s="105">
        <f t="shared" si="106"/>
        <v>0.44092610636587687</v>
      </c>
      <c r="U136" s="105">
        <f t="shared" si="106"/>
        <v>0.4798808232322942</v>
      </c>
      <c r="V136" s="105">
        <f t="shared" si="106"/>
        <v>0.50007363072821298</v>
      </c>
      <c r="W136" s="105">
        <f t="shared" si="106"/>
        <v>0.53654609297339051</v>
      </c>
      <c r="X136" s="105">
        <f t="shared" si="106"/>
        <v>0.56369932110935295</v>
      </c>
      <c r="Y136" s="105">
        <f t="shared" si="106"/>
        <v>0.5865803098734429</v>
      </c>
      <c r="Z136" s="105">
        <f t="shared" si="106"/>
        <v>0.55324729010193496</v>
      </c>
      <c r="AA136" s="105">
        <f t="shared" si="106"/>
        <v>0.57505859333949372</v>
      </c>
      <c r="AB136" s="105">
        <f t="shared" si="106"/>
        <v>0.59079018102615777</v>
      </c>
      <c r="AC136" s="105">
        <f t="shared" si="106"/>
        <v>0.62973376117066826</v>
      </c>
      <c r="AD136" s="105">
        <f t="shared" si="106"/>
        <v>0.664683772664034</v>
      </c>
      <c r="AE136" s="105">
        <f t="shared" si="106"/>
        <v>0.62512353508315255</v>
      </c>
      <c r="AF136" s="105">
        <f t="shared" si="106"/>
        <v>0.65784050059148802</v>
      </c>
      <c r="AG136" s="105">
        <f t="shared" si="106"/>
        <v>0.7078132670070596</v>
      </c>
      <c r="AH136" s="105">
        <f t="shared" si="106"/>
        <v>0.76389010726768247</v>
      </c>
      <c r="AI136" s="105">
        <f t="shared" si="106"/>
        <v>0.80649631904597119</v>
      </c>
      <c r="AJ136" s="105">
        <f t="shared" si="106"/>
        <v>0.79422541001049718</v>
      </c>
      <c r="AK136" s="105">
        <f t="shared" si="106"/>
        <v>0.83981297030644286</v>
      </c>
      <c r="AL136" s="105">
        <f t="shared" si="106"/>
        <v>0.91538116502054789</v>
      </c>
      <c r="AM136" s="105">
        <f t="shared" si="106"/>
        <v>1.0192607551779687</v>
      </c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-385307.82580320904</v>
      </c>
      <c r="L137" s="108">
        <f>SUM(O137:AV137)</f>
        <v>-1100679.8385772337</v>
      </c>
      <c r="M137" s="1"/>
      <c r="N137" s="1"/>
      <c r="O137" s="54">
        <f t="shared" ref="O137:AM137" si="107">O117</f>
        <v>-15077.806007907298</v>
      </c>
      <c r="P137" s="54">
        <f t="shared" si="107"/>
        <v>-45233.418023721941</v>
      </c>
      <c r="Q137" s="54">
        <f t="shared" si="107"/>
        <v>-45233.418023721941</v>
      </c>
      <c r="R137" s="54">
        <f t="shared" si="107"/>
        <v>-45233.418023721941</v>
      </c>
      <c r="S137" s="54">
        <f t="shared" si="107"/>
        <v>-45233.418023721941</v>
      </c>
      <c r="T137" s="54">
        <f t="shared" si="107"/>
        <v>-45233.418023721941</v>
      </c>
      <c r="U137" s="54">
        <f t="shared" si="107"/>
        <v>-45233.418023721941</v>
      </c>
      <c r="V137" s="54">
        <f t="shared" si="107"/>
        <v>-45233.418023721941</v>
      </c>
      <c r="W137" s="54">
        <f t="shared" si="107"/>
        <v>-45233.418023721941</v>
      </c>
      <c r="X137" s="54">
        <f t="shared" si="107"/>
        <v>-45233.418023721941</v>
      </c>
      <c r="Y137" s="54">
        <f t="shared" si="107"/>
        <v>-45233.418023721941</v>
      </c>
      <c r="Z137" s="54">
        <f t="shared" si="107"/>
        <v>-45233.418023721941</v>
      </c>
      <c r="AA137" s="54">
        <f t="shared" si="107"/>
        <v>-45233.418023721941</v>
      </c>
      <c r="AB137" s="54">
        <f t="shared" si="107"/>
        <v>-45233.418023721941</v>
      </c>
      <c r="AC137" s="54">
        <f t="shared" si="107"/>
        <v>-45233.418023721941</v>
      </c>
      <c r="AD137" s="54">
        <f t="shared" si="107"/>
        <v>-45233.418023721941</v>
      </c>
      <c r="AE137" s="54">
        <f t="shared" si="107"/>
        <v>-45233.418023721941</v>
      </c>
      <c r="AF137" s="54">
        <f t="shared" si="107"/>
        <v>-45233.418023721941</v>
      </c>
      <c r="AG137" s="54">
        <f t="shared" si="107"/>
        <v>-45233.418023721941</v>
      </c>
      <c r="AH137" s="54">
        <f t="shared" si="107"/>
        <v>-45233.418023721941</v>
      </c>
      <c r="AI137" s="54">
        <f t="shared" si="107"/>
        <v>-45233.418023721941</v>
      </c>
      <c r="AJ137" s="54">
        <f t="shared" si="107"/>
        <v>-45233.418023721941</v>
      </c>
      <c r="AK137" s="54">
        <f t="shared" si="107"/>
        <v>-45233.418023721941</v>
      </c>
      <c r="AL137" s="54">
        <f t="shared" si="107"/>
        <v>-45233.418023721941</v>
      </c>
      <c r="AM137" s="54">
        <f t="shared" si="107"/>
        <v>-45233.418023721941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108">K135+K137</f>
        <v>3335978.0556808077</v>
      </c>
      <c r="L138" s="109">
        <f t="shared" si="108"/>
        <v>10131909.453157596</v>
      </c>
      <c r="M138" s="1"/>
      <c r="N138" s="1"/>
      <c r="O138" s="109">
        <f t="shared" ref="O138:AM138" si="109">O135+O137</f>
        <v>-1053.9851309595851</v>
      </c>
      <c r="P138" s="109">
        <f t="shared" si="109"/>
        <v>830971.4764985434</v>
      </c>
      <c r="Q138" s="109">
        <f t="shared" si="109"/>
        <v>198128.24089036172</v>
      </c>
      <c r="R138" s="109">
        <f t="shared" si="109"/>
        <v>222742.74667049618</v>
      </c>
      <c r="S138" s="109">
        <f t="shared" si="109"/>
        <v>238479.82285398018</v>
      </c>
      <c r="T138" s="109">
        <f t="shared" si="109"/>
        <v>199789.04650381027</v>
      </c>
      <c r="U138" s="109">
        <f t="shared" si="109"/>
        <v>221436.16740179952</v>
      </c>
      <c r="V138" s="109">
        <f t="shared" si="109"/>
        <v>232657.30261458841</v>
      </c>
      <c r="W138" s="109">
        <f t="shared" si="109"/>
        <v>252925.0355922436</v>
      </c>
      <c r="X138" s="109">
        <f t="shared" si="109"/>
        <v>268014.07382721512</v>
      </c>
      <c r="Y138" s="109">
        <f t="shared" si="109"/>
        <v>280729.03031734406</v>
      </c>
      <c r="Z138" s="109">
        <f t="shared" si="109"/>
        <v>262205.88429209456</v>
      </c>
      <c r="AA138" s="109">
        <f t="shared" si="109"/>
        <v>274326.41695429391</v>
      </c>
      <c r="AB138" s="109">
        <f t="shared" si="109"/>
        <v>283068.45406724018</v>
      </c>
      <c r="AC138" s="109">
        <f t="shared" si="109"/>
        <v>304709.38629322982</v>
      </c>
      <c r="AD138" s="109">
        <f t="shared" si="109"/>
        <v>324131.09398468619</v>
      </c>
      <c r="AE138" s="109">
        <f t="shared" si="109"/>
        <v>302147.48546294676</v>
      </c>
      <c r="AF138" s="109">
        <f t="shared" si="109"/>
        <v>320328.29037555651</v>
      </c>
      <c r="AG138" s="109">
        <f t="shared" si="109"/>
        <v>348098.13709051081</v>
      </c>
      <c r="AH138" s="109">
        <f t="shared" si="109"/>
        <v>379260.01524923602</v>
      </c>
      <c r="AI138" s="109">
        <f t="shared" si="109"/>
        <v>402936.27043888828</v>
      </c>
      <c r="AJ138" s="109">
        <f t="shared" si="109"/>
        <v>396117.3310963171</v>
      </c>
      <c r="AK138" s="109">
        <f t="shared" si="109"/>
        <v>421450.32048896904</v>
      </c>
      <c r="AL138" s="109">
        <f t="shared" si="109"/>
        <v>463443.53667967045</v>
      </c>
      <c r="AM138" s="109">
        <f t="shared" si="109"/>
        <v>521169.38422420359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>
        <f t="shared" ref="K139:L139" si="110">IFERROR(K138/K$105,0)</f>
        <v>0.58406351935848355</v>
      </c>
      <c r="L139" s="105">
        <f t="shared" si="110"/>
        <v>0.68370122142991296</v>
      </c>
      <c r="M139" s="1"/>
      <c r="N139" s="1"/>
      <c r="O139" s="105">
        <f t="shared" ref="O139:AM139" si="111">O138/O127</f>
        <v>-5.6900443090921486E-3</v>
      </c>
      <c r="P139" s="105">
        <f t="shared" si="111"/>
        <v>1.4953609186003265</v>
      </c>
      <c r="Q139" s="105">
        <f t="shared" si="111"/>
        <v>0.3565383851042418</v>
      </c>
      <c r="R139" s="105">
        <f t="shared" si="111"/>
        <v>0.40083301014885897</v>
      </c>
      <c r="S139" s="105">
        <f t="shared" si="111"/>
        <v>0.42915240421154943</v>
      </c>
      <c r="T139" s="105">
        <f t="shared" si="111"/>
        <v>0.35952706026094838</v>
      </c>
      <c r="U139" s="105">
        <f t="shared" si="111"/>
        <v>0.39848177712736577</v>
      </c>
      <c r="V139" s="105">
        <f t="shared" si="111"/>
        <v>0.4186745846232845</v>
      </c>
      <c r="W139" s="105">
        <f t="shared" si="111"/>
        <v>0.45514704686846208</v>
      </c>
      <c r="X139" s="105">
        <f t="shared" si="111"/>
        <v>0.48230027500442446</v>
      </c>
      <c r="Y139" s="105">
        <f t="shared" si="111"/>
        <v>0.50518126376851435</v>
      </c>
      <c r="Z139" s="105">
        <f t="shared" si="111"/>
        <v>0.47184824399700648</v>
      </c>
      <c r="AA139" s="105">
        <f t="shared" si="111"/>
        <v>0.49365954723456523</v>
      </c>
      <c r="AB139" s="105">
        <f t="shared" si="111"/>
        <v>0.50939113492122923</v>
      </c>
      <c r="AC139" s="105">
        <f t="shared" si="111"/>
        <v>0.54833471506573983</v>
      </c>
      <c r="AD139" s="105">
        <f t="shared" si="111"/>
        <v>0.58328472655910557</v>
      </c>
      <c r="AE139" s="105">
        <f t="shared" si="111"/>
        <v>0.54372448897822412</v>
      </c>
      <c r="AF139" s="105">
        <f t="shared" si="111"/>
        <v>0.57644145448655959</v>
      </c>
      <c r="AG139" s="105">
        <f t="shared" si="111"/>
        <v>0.62641422090213117</v>
      </c>
      <c r="AH139" s="105">
        <f t="shared" si="111"/>
        <v>0.68249106116275404</v>
      </c>
      <c r="AI139" s="105">
        <f t="shared" si="111"/>
        <v>0.72509727294104265</v>
      </c>
      <c r="AJ139" s="105">
        <f t="shared" si="111"/>
        <v>0.71282636390556864</v>
      </c>
      <c r="AK139" s="105">
        <f t="shared" si="111"/>
        <v>0.75841392420151432</v>
      </c>
      <c r="AL139" s="105">
        <f t="shared" si="111"/>
        <v>0.83398211891561946</v>
      </c>
      <c r="AM139" s="105">
        <f t="shared" si="111"/>
        <v>0.93786170907304023</v>
      </c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112">O$3</f>
        <v>1</v>
      </c>
      <c r="P141" s="80">
        <f t="shared" si="112"/>
        <v>2</v>
      </c>
      <c r="Q141" s="80">
        <f t="shared" si="112"/>
        <v>3</v>
      </c>
      <c r="R141" s="80">
        <f t="shared" si="112"/>
        <v>4</v>
      </c>
      <c r="S141" s="80">
        <f t="shared" si="112"/>
        <v>5</v>
      </c>
      <c r="T141" s="80">
        <f t="shared" si="112"/>
        <v>6</v>
      </c>
      <c r="U141" s="80">
        <f t="shared" si="112"/>
        <v>7</v>
      </c>
      <c r="V141" s="80">
        <f t="shared" si="112"/>
        <v>8</v>
      </c>
      <c r="W141" s="80">
        <f t="shared" si="112"/>
        <v>9</v>
      </c>
      <c r="X141" s="80">
        <f t="shared" si="112"/>
        <v>10</v>
      </c>
      <c r="Y141" s="80">
        <f t="shared" si="112"/>
        <v>11</v>
      </c>
      <c r="Z141" s="80">
        <f t="shared" si="112"/>
        <v>12</v>
      </c>
      <c r="AA141" s="80">
        <f t="shared" si="112"/>
        <v>13</v>
      </c>
      <c r="AB141" s="80">
        <f t="shared" si="112"/>
        <v>14</v>
      </c>
      <c r="AC141" s="80">
        <f t="shared" si="112"/>
        <v>15</v>
      </c>
      <c r="AD141" s="80">
        <f t="shared" si="112"/>
        <v>16</v>
      </c>
      <c r="AE141" s="80">
        <f t="shared" si="112"/>
        <v>17</v>
      </c>
      <c r="AF141" s="80">
        <f t="shared" si="112"/>
        <v>18</v>
      </c>
      <c r="AG141" s="80">
        <f t="shared" si="112"/>
        <v>19</v>
      </c>
      <c r="AH141" s="80">
        <f t="shared" si="112"/>
        <v>20</v>
      </c>
      <c r="AI141" s="80">
        <f t="shared" si="112"/>
        <v>21</v>
      </c>
      <c r="AJ141" s="80">
        <f t="shared" si="112"/>
        <v>22</v>
      </c>
      <c r="AK141" s="80">
        <f t="shared" si="112"/>
        <v>23</v>
      </c>
      <c r="AL141" s="80">
        <f t="shared" si="112"/>
        <v>24</v>
      </c>
      <c r="AM141" s="80">
        <f t="shared" si="112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113">O$2</f>
        <v>46023</v>
      </c>
      <c r="P142" s="84">
        <f t="shared" si="113"/>
        <v>46388</v>
      </c>
      <c r="Q142" s="84">
        <f t="shared" si="113"/>
        <v>46753</v>
      </c>
      <c r="R142" s="84">
        <f t="shared" si="113"/>
        <v>47119</v>
      </c>
      <c r="S142" s="84">
        <f t="shared" si="113"/>
        <v>47484</v>
      </c>
      <c r="T142" s="84">
        <f t="shared" si="113"/>
        <v>47849</v>
      </c>
      <c r="U142" s="84">
        <f t="shared" si="113"/>
        <v>48214</v>
      </c>
      <c r="V142" s="84">
        <f t="shared" si="113"/>
        <v>48580</v>
      </c>
      <c r="W142" s="84">
        <f t="shared" si="113"/>
        <v>48945</v>
      </c>
      <c r="X142" s="84">
        <f t="shared" si="113"/>
        <v>49310</v>
      </c>
      <c r="Y142" s="84">
        <f t="shared" si="113"/>
        <v>49675</v>
      </c>
      <c r="Z142" s="84">
        <f t="shared" si="113"/>
        <v>50041</v>
      </c>
      <c r="AA142" s="84">
        <f t="shared" si="113"/>
        <v>50406</v>
      </c>
      <c r="AB142" s="84">
        <f t="shared" si="113"/>
        <v>50771</v>
      </c>
      <c r="AC142" s="84">
        <f t="shared" si="113"/>
        <v>51136</v>
      </c>
      <c r="AD142" s="84">
        <f t="shared" si="113"/>
        <v>51502</v>
      </c>
      <c r="AE142" s="84">
        <f t="shared" si="113"/>
        <v>51867</v>
      </c>
      <c r="AF142" s="84">
        <f t="shared" si="113"/>
        <v>52232</v>
      </c>
      <c r="AG142" s="84">
        <f t="shared" si="113"/>
        <v>52597</v>
      </c>
      <c r="AH142" s="84">
        <f t="shared" si="113"/>
        <v>52963</v>
      </c>
      <c r="AI142" s="84">
        <f t="shared" si="113"/>
        <v>53328</v>
      </c>
      <c r="AJ142" s="84">
        <f t="shared" si="113"/>
        <v>53693</v>
      </c>
      <c r="AK142" s="84">
        <f t="shared" si="113"/>
        <v>54058</v>
      </c>
      <c r="AL142" s="84">
        <f t="shared" si="113"/>
        <v>54424</v>
      </c>
      <c r="AM142" s="84">
        <f t="shared" si="113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5017028.9818126159</v>
      </c>
      <c r="L143" s="62">
        <f t="shared" ref="L143:L147" si="114">SUM(O143:AV143)</f>
        <v>14331768.731474394</v>
      </c>
      <c r="M143" s="1"/>
      <c r="N143" s="1"/>
      <c r="O143" s="112">
        <f t="shared" ref="O143:AM143" si="115">O75</f>
        <v>196325.59906129295</v>
      </c>
      <c r="P143" s="112">
        <f t="shared" si="115"/>
        <v>588976.79718387942</v>
      </c>
      <c r="Q143" s="112">
        <f t="shared" si="115"/>
        <v>588976.79718387942</v>
      </c>
      <c r="R143" s="112">
        <f t="shared" si="115"/>
        <v>588976.79718387942</v>
      </c>
      <c r="S143" s="112">
        <f t="shared" si="115"/>
        <v>588976.79718387942</v>
      </c>
      <c r="T143" s="112">
        <f t="shared" si="115"/>
        <v>588976.79718387942</v>
      </c>
      <c r="U143" s="112">
        <f t="shared" si="115"/>
        <v>588976.79718387942</v>
      </c>
      <c r="V143" s="112">
        <f t="shared" si="115"/>
        <v>588976.79718387942</v>
      </c>
      <c r="W143" s="112">
        <f t="shared" si="115"/>
        <v>588976.79718387942</v>
      </c>
      <c r="X143" s="112">
        <f t="shared" si="115"/>
        <v>588976.79718387942</v>
      </c>
      <c r="Y143" s="112">
        <f t="shared" si="115"/>
        <v>588976.79718387942</v>
      </c>
      <c r="Z143" s="112">
        <f t="shared" si="115"/>
        <v>588976.79718387942</v>
      </c>
      <c r="AA143" s="112">
        <f t="shared" si="115"/>
        <v>588976.79718387942</v>
      </c>
      <c r="AB143" s="112">
        <f t="shared" si="115"/>
        <v>588976.79718387942</v>
      </c>
      <c r="AC143" s="112">
        <f t="shared" si="115"/>
        <v>588976.79718387942</v>
      </c>
      <c r="AD143" s="112">
        <f t="shared" si="115"/>
        <v>588976.79718387942</v>
      </c>
      <c r="AE143" s="112">
        <f t="shared" si="115"/>
        <v>588976.79718387942</v>
      </c>
      <c r="AF143" s="112">
        <f t="shared" si="115"/>
        <v>588976.79718387942</v>
      </c>
      <c r="AG143" s="112">
        <f t="shared" si="115"/>
        <v>588976.79718387942</v>
      </c>
      <c r="AH143" s="112">
        <f t="shared" si="115"/>
        <v>588976.79718387942</v>
      </c>
      <c r="AI143" s="112">
        <f t="shared" si="115"/>
        <v>588976.79718387942</v>
      </c>
      <c r="AJ143" s="112">
        <f t="shared" si="115"/>
        <v>588976.79718387942</v>
      </c>
      <c r="AK143" s="112">
        <f t="shared" si="115"/>
        <v>588976.79718387942</v>
      </c>
      <c r="AL143" s="112">
        <f t="shared" si="115"/>
        <v>588976.79718387942</v>
      </c>
      <c r="AM143" s="112">
        <f t="shared" si="115"/>
        <v>588976.79718387942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-283462.1374724129</v>
      </c>
      <c r="L144" s="54">
        <f t="shared" si="114"/>
        <v>-809744.93332830328</v>
      </c>
      <c r="M144" s="1"/>
      <c r="N144" s="1"/>
      <c r="O144" s="97">
        <f t="shared" ref="O144:AM144" si="116">-MAX(O212,0)-O260</f>
        <v>-11092.396346963051</v>
      </c>
      <c r="P144" s="97">
        <f t="shared" si="116"/>
        <v>-33277.189040889185</v>
      </c>
      <c r="Q144" s="97">
        <f t="shared" si="116"/>
        <v>-33277.189040889185</v>
      </c>
      <c r="R144" s="97">
        <f t="shared" si="116"/>
        <v>-33277.189040889185</v>
      </c>
      <c r="S144" s="97">
        <f t="shared" si="116"/>
        <v>-33277.189040889185</v>
      </c>
      <c r="T144" s="97">
        <f t="shared" si="116"/>
        <v>-33277.189040889185</v>
      </c>
      <c r="U144" s="97">
        <f t="shared" si="116"/>
        <v>-33277.189040889185</v>
      </c>
      <c r="V144" s="97">
        <f t="shared" si="116"/>
        <v>-33277.189040889185</v>
      </c>
      <c r="W144" s="97">
        <f t="shared" si="116"/>
        <v>-33277.189040889185</v>
      </c>
      <c r="X144" s="97">
        <f t="shared" si="116"/>
        <v>-33277.189040889185</v>
      </c>
      <c r="Y144" s="97">
        <f t="shared" si="116"/>
        <v>-33277.189040889185</v>
      </c>
      <c r="Z144" s="97">
        <f t="shared" si="116"/>
        <v>-33277.189040889185</v>
      </c>
      <c r="AA144" s="97">
        <f t="shared" si="116"/>
        <v>-33277.189040889185</v>
      </c>
      <c r="AB144" s="97">
        <f t="shared" si="116"/>
        <v>-33277.189040889185</v>
      </c>
      <c r="AC144" s="97">
        <f t="shared" si="116"/>
        <v>-33277.189040889185</v>
      </c>
      <c r="AD144" s="97">
        <f t="shared" si="116"/>
        <v>-33277.189040889185</v>
      </c>
      <c r="AE144" s="97">
        <f t="shared" si="116"/>
        <v>-33277.189040889185</v>
      </c>
      <c r="AF144" s="97">
        <f t="shared" si="116"/>
        <v>-33277.189040889185</v>
      </c>
      <c r="AG144" s="97">
        <f t="shared" si="116"/>
        <v>-33277.189040889185</v>
      </c>
      <c r="AH144" s="97">
        <f t="shared" si="116"/>
        <v>-33277.189040889185</v>
      </c>
      <c r="AI144" s="97">
        <f t="shared" si="116"/>
        <v>-33277.189040889185</v>
      </c>
      <c r="AJ144" s="97">
        <f t="shared" si="116"/>
        <v>-33277.189040889185</v>
      </c>
      <c r="AK144" s="97">
        <f t="shared" si="116"/>
        <v>-33277.189040889185</v>
      </c>
      <c r="AL144" s="97">
        <f t="shared" si="116"/>
        <v>-33277.189040889185</v>
      </c>
      <c r="AM144" s="97">
        <f t="shared" si="116"/>
        <v>-33277.189040889185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-2383035.7091030749</v>
      </c>
      <c r="L145" s="54">
        <f t="shared" si="114"/>
        <v>-6656831.4832519218</v>
      </c>
      <c r="M145" s="1"/>
      <c r="N145" s="1"/>
      <c r="O145" s="97">
        <f t="shared" ref="O145:AM145" si="117">O106</f>
        <v>-171209.38183738224</v>
      </c>
      <c r="P145" s="97">
        <f t="shared" si="117"/>
        <v>-268471.51080460433</v>
      </c>
      <c r="Q145" s="97">
        <f t="shared" si="117"/>
        <v>-277328.55684445059</v>
      </c>
      <c r="R145" s="97">
        <f t="shared" si="117"/>
        <v>-268294.81776544917</v>
      </c>
      <c r="S145" s="97">
        <f t="shared" si="117"/>
        <v>-269686.00380529545</v>
      </c>
      <c r="T145" s="97">
        <f t="shared" si="117"/>
        <v>-275583.98472629394</v>
      </c>
      <c r="U145" s="97">
        <f t="shared" si="117"/>
        <v>-269509.31076614029</v>
      </c>
      <c r="V145" s="97">
        <f t="shared" si="117"/>
        <v>-275407.29168713879</v>
      </c>
      <c r="W145" s="97">
        <f t="shared" si="117"/>
        <v>-269332.61772698513</v>
      </c>
      <c r="X145" s="97">
        <f t="shared" si="117"/>
        <v>-267764.73864798364</v>
      </c>
      <c r="Y145" s="97">
        <f t="shared" si="117"/>
        <v>-276621.78468782996</v>
      </c>
      <c r="Z145" s="97">
        <f t="shared" si="117"/>
        <v>-267588.04560882848</v>
      </c>
      <c r="AA145" s="97">
        <f t="shared" si="117"/>
        <v>-276445.0916486748</v>
      </c>
      <c r="AB145" s="97">
        <f t="shared" si="117"/>
        <v>-267411.35256967333</v>
      </c>
      <c r="AC145" s="97">
        <f t="shared" si="117"/>
        <v>-268802.53860951966</v>
      </c>
      <c r="AD145" s="97">
        <f t="shared" si="117"/>
        <v>-274700.51953051816</v>
      </c>
      <c r="AE145" s="97">
        <f t="shared" si="117"/>
        <v>-268625.84557036444</v>
      </c>
      <c r="AF145" s="97">
        <f t="shared" si="117"/>
        <v>-274523.826491363</v>
      </c>
      <c r="AG145" s="97">
        <f t="shared" si="117"/>
        <v>-268449.15253120929</v>
      </c>
      <c r="AH145" s="97">
        <f t="shared" si="117"/>
        <v>-266881.27345220785</v>
      </c>
      <c r="AI145" s="97">
        <f t="shared" si="117"/>
        <v>-275738.31949205411</v>
      </c>
      <c r="AJ145" s="97">
        <f t="shared" si="117"/>
        <v>-266704.5804130527</v>
      </c>
      <c r="AK145" s="97">
        <f t="shared" si="117"/>
        <v>-275561.62645289896</v>
      </c>
      <c r="AL145" s="97">
        <f t="shared" si="117"/>
        <v>-266527.88737389754</v>
      </c>
      <c r="AM145" s="97">
        <f t="shared" si="117"/>
        <v>-249661.42420810624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-385307.82580320904</v>
      </c>
      <c r="L146" s="54">
        <f t="shared" si="114"/>
        <v>-1100679.8385772337</v>
      </c>
      <c r="M146" s="1"/>
      <c r="N146" s="1"/>
      <c r="O146" s="54">
        <f t="shared" ref="O146:AM146" si="118">MIN(O117,0)</f>
        <v>-15077.806007907298</v>
      </c>
      <c r="P146" s="54">
        <f t="shared" si="118"/>
        <v>-45233.418023721941</v>
      </c>
      <c r="Q146" s="54">
        <f t="shared" si="118"/>
        <v>-45233.418023721941</v>
      </c>
      <c r="R146" s="54">
        <f t="shared" si="118"/>
        <v>-45233.418023721941</v>
      </c>
      <c r="S146" s="54">
        <f t="shared" si="118"/>
        <v>-45233.418023721941</v>
      </c>
      <c r="T146" s="54">
        <f t="shared" si="118"/>
        <v>-45233.418023721941</v>
      </c>
      <c r="U146" s="54">
        <f t="shared" si="118"/>
        <v>-45233.418023721941</v>
      </c>
      <c r="V146" s="54">
        <f t="shared" si="118"/>
        <v>-45233.418023721941</v>
      </c>
      <c r="W146" s="54">
        <f t="shared" si="118"/>
        <v>-45233.418023721941</v>
      </c>
      <c r="X146" s="54">
        <f t="shared" si="118"/>
        <v>-45233.418023721941</v>
      </c>
      <c r="Y146" s="54">
        <f t="shared" si="118"/>
        <v>-45233.418023721941</v>
      </c>
      <c r="Z146" s="54">
        <f t="shared" si="118"/>
        <v>-45233.418023721941</v>
      </c>
      <c r="AA146" s="54">
        <f t="shared" si="118"/>
        <v>-45233.418023721941</v>
      </c>
      <c r="AB146" s="54">
        <f t="shared" si="118"/>
        <v>-45233.418023721941</v>
      </c>
      <c r="AC146" s="54">
        <f t="shared" si="118"/>
        <v>-45233.418023721941</v>
      </c>
      <c r="AD146" s="54">
        <f t="shared" si="118"/>
        <v>-45233.418023721941</v>
      </c>
      <c r="AE146" s="54">
        <f t="shared" si="118"/>
        <v>-45233.418023721941</v>
      </c>
      <c r="AF146" s="54">
        <f t="shared" si="118"/>
        <v>-45233.418023721941</v>
      </c>
      <c r="AG146" s="54">
        <f t="shared" si="118"/>
        <v>-45233.418023721941</v>
      </c>
      <c r="AH146" s="54">
        <f t="shared" si="118"/>
        <v>-45233.418023721941</v>
      </c>
      <c r="AI146" s="54">
        <f t="shared" si="118"/>
        <v>-45233.418023721941</v>
      </c>
      <c r="AJ146" s="54">
        <f t="shared" si="118"/>
        <v>-45233.418023721941</v>
      </c>
      <c r="AK146" s="54">
        <f t="shared" si="118"/>
        <v>-45233.418023721941</v>
      </c>
      <c r="AL146" s="54">
        <f t="shared" si="118"/>
        <v>-45233.418023721941</v>
      </c>
      <c r="AM146" s="54">
        <f t="shared" si="118"/>
        <v>-45233.418023721941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114"/>
        <v>0</v>
      </c>
      <c r="M147" s="1"/>
      <c r="N147" s="1"/>
      <c r="O147" s="54">
        <f t="shared" ref="O147:AM147" si="119">O49</f>
        <v>0</v>
      </c>
      <c r="P147" s="54">
        <f t="shared" si="119"/>
        <v>0</v>
      </c>
      <c r="Q147" s="54">
        <f t="shared" si="119"/>
        <v>0</v>
      </c>
      <c r="R147" s="54">
        <f t="shared" si="119"/>
        <v>0</v>
      </c>
      <c r="S147" s="54">
        <f t="shared" si="119"/>
        <v>0</v>
      </c>
      <c r="T147" s="54">
        <f t="shared" si="119"/>
        <v>0</v>
      </c>
      <c r="U147" s="54">
        <f t="shared" si="119"/>
        <v>0</v>
      </c>
      <c r="V147" s="54">
        <f t="shared" si="119"/>
        <v>0</v>
      </c>
      <c r="W147" s="54">
        <f t="shared" si="119"/>
        <v>0</v>
      </c>
      <c r="X147" s="54">
        <f t="shared" si="119"/>
        <v>0</v>
      </c>
      <c r="Y147" s="54">
        <f t="shared" si="119"/>
        <v>0</v>
      </c>
      <c r="Z147" s="54">
        <f t="shared" si="119"/>
        <v>0</v>
      </c>
      <c r="AA147" s="54">
        <f t="shared" si="119"/>
        <v>0</v>
      </c>
      <c r="AB147" s="54">
        <f t="shared" si="119"/>
        <v>0</v>
      </c>
      <c r="AC147" s="54">
        <f t="shared" si="119"/>
        <v>0</v>
      </c>
      <c r="AD147" s="54">
        <f t="shared" si="119"/>
        <v>0</v>
      </c>
      <c r="AE147" s="54">
        <f t="shared" si="119"/>
        <v>0</v>
      </c>
      <c r="AF147" s="54">
        <f t="shared" si="119"/>
        <v>0</v>
      </c>
      <c r="AG147" s="54">
        <f t="shared" si="119"/>
        <v>0</v>
      </c>
      <c r="AH147" s="54">
        <f t="shared" si="119"/>
        <v>0</v>
      </c>
      <c r="AI147" s="54">
        <f t="shared" si="119"/>
        <v>0</v>
      </c>
      <c r="AJ147" s="54">
        <f t="shared" si="119"/>
        <v>0</v>
      </c>
      <c r="AK147" s="54">
        <f t="shared" si="119"/>
        <v>0</v>
      </c>
      <c r="AL147" s="54">
        <f t="shared" si="119"/>
        <v>0</v>
      </c>
      <c r="AM147" s="54">
        <f t="shared" si="119"/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120">SUM(K143:K147)</f>
        <v>1965223.3094339194</v>
      </c>
      <c r="L148" s="115">
        <f t="shared" si="120"/>
        <v>5764512.4763169363</v>
      </c>
      <c r="M148" s="1"/>
      <c r="N148" s="1"/>
      <c r="O148" s="334">
        <f t="shared" ref="O148:AM148" si="121">SUM(O143:O147)</f>
        <v>-1053.9851309596361</v>
      </c>
      <c r="P148" s="334">
        <f t="shared" si="121"/>
        <v>241994.67931466398</v>
      </c>
      <c r="Q148" s="116">
        <f t="shared" si="121"/>
        <v>233137.63327481772</v>
      </c>
      <c r="R148" s="116">
        <f t="shared" si="121"/>
        <v>242171.37235381914</v>
      </c>
      <c r="S148" s="116">
        <f t="shared" si="121"/>
        <v>240780.18631397287</v>
      </c>
      <c r="T148" s="116">
        <f t="shared" si="121"/>
        <v>234882.20539297437</v>
      </c>
      <c r="U148" s="116">
        <f t="shared" si="121"/>
        <v>240956.87935312802</v>
      </c>
      <c r="V148" s="116">
        <f t="shared" si="121"/>
        <v>235058.89843212953</v>
      </c>
      <c r="W148" s="116">
        <f t="shared" si="121"/>
        <v>241133.57239228318</v>
      </c>
      <c r="X148" s="116">
        <f t="shared" si="121"/>
        <v>242701.45147128467</v>
      </c>
      <c r="Y148" s="116">
        <f t="shared" si="121"/>
        <v>233844.40543143835</v>
      </c>
      <c r="Z148" s="116">
        <f t="shared" si="121"/>
        <v>242878.14451043983</v>
      </c>
      <c r="AA148" s="116">
        <f t="shared" si="121"/>
        <v>234021.09847059351</v>
      </c>
      <c r="AB148" s="116">
        <f t="shared" si="121"/>
        <v>243054.83754959499</v>
      </c>
      <c r="AC148" s="116">
        <f t="shared" si="121"/>
        <v>241663.65150974866</v>
      </c>
      <c r="AD148" s="116">
        <f t="shared" si="121"/>
        <v>235765.67058875016</v>
      </c>
      <c r="AE148" s="116">
        <f t="shared" si="121"/>
        <v>241840.34454890387</v>
      </c>
      <c r="AF148" s="116">
        <f t="shared" si="121"/>
        <v>235942.36362790532</v>
      </c>
      <c r="AG148" s="116">
        <f t="shared" si="121"/>
        <v>242017.03758805903</v>
      </c>
      <c r="AH148" s="116">
        <f t="shared" si="121"/>
        <v>243584.91666706046</v>
      </c>
      <c r="AI148" s="116">
        <f t="shared" si="121"/>
        <v>234727.8706272142</v>
      </c>
      <c r="AJ148" s="116">
        <f t="shared" si="121"/>
        <v>243761.60970621562</v>
      </c>
      <c r="AK148" s="116">
        <f t="shared" si="121"/>
        <v>234904.56366636936</v>
      </c>
      <c r="AL148" s="116">
        <f t="shared" si="121"/>
        <v>243938.30274537078</v>
      </c>
      <c r="AM148" s="116">
        <f t="shared" si="121"/>
        <v>260804.76591116207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>
        <f t="shared" ref="K149:L149" si="122">IFERROR(K148/(K143+K144),"nd")</f>
        <v>0.41516754153026975</v>
      </c>
      <c r="L149" s="118">
        <f t="shared" si="122"/>
        <v>0.42630545267249625</v>
      </c>
      <c r="M149" s="1"/>
      <c r="N149" s="1"/>
      <c r="O149" s="335">
        <f t="shared" ref="O149:AM149" si="123">IFERROR((O148-O146)/(O143+O144),"nd")</f>
        <v>7.5709001795836034E-2</v>
      </c>
      <c r="P149" s="335">
        <f t="shared" si="123"/>
        <v>0.51687655188066572</v>
      </c>
      <c r="Q149" s="119">
        <f t="shared" si="123"/>
        <v>0.5009380017898275</v>
      </c>
      <c r="R149" s="119">
        <f t="shared" si="123"/>
        <v>0.51719451690451312</v>
      </c>
      <c r="S149" s="119">
        <f t="shared" si="123"/>
        <v>0.51469103117326476</v>
      </c>
      <c r="T149" s="119">
        <f t="shared" si="123"/>
        <v>0.50407741756877067</v>
      </c>
      <c r="U149" s="119">
        <f t="shared" si="123"/>
        <v>0.51500899619711216</v>
      </c>
      <c r="V149" s="119">
        <f t="shared" si="123"/>
        <v>0.50439538259261796</v>
      </c>
      <c r="W149" s="119">
        <f t="shared" si="123"/>
        <v>0.51532696122095956</v>
      </c>
      <c r="X149" s="119">
        <f t="shared" si="123"/>
        <v>0.51814841197605532</v>
      </c>
      <c r="Y149" s="119">
        <f t="shared" si="123"/>
        <v>0.50220986188521688</v>
      </c>
      <c r="Z149" s="119">
        <f t="shared" si="123"/>
        <v>0.51846637699990272</v>
      </c>
      <c r="AA149" s="119">
        <f t="shared" si="123"/>
        <v>0.50252782690906428</v>
      </c>
      <c r="AB149" s="119">
        <f t="shared" si="123"/>
        <v>0.51878434202375001</v>
      </c>
      <c r="AC149" s="119">
        <f t="shared" si="123"/>
        <v>0.51628085629250164</v>
      </c>
      <c r="AD149" s="119">
        <f t="shared" si="123"/>
        <v>0.50566724268800745</v>
      </c>
      <c r="AE149" s="119">
        <f t="shared" si="123"/>
        <v>0.51659882131634904</v>
      </c>
      <c r="AF149" s="119">
        <f t="shared" si="123"/>
        <v>0.50598520771185485</v>
      </c>
      <c r="AG149" s="119">
        <f t="shared" si="123"/>
        <v>0.51691678634019644</v>
      </c>
      <c r="AH149" s="119">
        <f t="shared" si="123"/>
        <v>0.5197382370952921</v>
      </c>
      <c r="AI149" s="119">
        <f t="shared" si="123"/>
        <v>0.50379968700445388</v>
      </c>
      <c r="AJ149" s="119">
        <f t="shared" si="123"/>
        <v>0.5200562021191395</v>
      </c>
      <c r="AK149" s="119">
        <f t="shared" si="123"/>
        <v>0.50411765202830128</v>
      </c>
      <c r="AL149" s="119">
        <f t="shared" si="123"/>
        <v>0.5203741671429869</v>
      </c>
      <c r="AM149" s="119">
        <f t="shared" si="123"/>
        <v>0.55072593079125509</v>
      </c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124">SUM(K151:K152)</f>
        <v>-1965223.3094339215</v>
      </c>
      <c r="L150" s="69">
        <f t="shared" si="124"/>
        <v>-3824399.7056087907</v>
      </c>
      <c r="M150" s="1"/>
      <c r="N150" s="1"/>
      <c r="O150" s="69">
        <f t="shared" ref="O150:AM150" si="125">SUM(O151:O152)</f>
        <v>-1239084.7956810251</v>
      </c>
      <c r="P150" s="69">
        <f t="shared" si="125"/>
        <v>0</v>
      </c>
      <c r="Q150" s="69">
        <f t="shared" si="125"/>
        <v>0</v>
      </c>
      <c r="R150" s="69">
        <f t="shared" si="125"/>
        <v>0</v>
      </c>
      <c r="S150" s="69">
        <f t="shared" si="125"/>
        <v>-519752.23857777513</v>
      </c>
      <c r="T150" s="69">
        <f t="shared" si="125"/>
        <v>0</v>
      </c>
      <c r="U150" s="69">
        <f t="shared" si="125"/>
        <v>0</v>
      </c>
      <c r="V150" s="69">
        <f t="shared" si="125"/>
        <v>-46579.759236850354</v>
      </c>
      <c r="W150" s="69">
        <f t="shared" si="125"/>
        <v>-67537.758662181994</v>
      </c>
      <c r="X150" s="69">
        <f t="shared" si="125"/>
        <v>0</v>
      </c>
      <c r="Y150" s="69">
        <f t="shared" si="125"/>
        <v>-516220.11332271731</v>
      </c>
      <c r="Z150" s="69">
        <f t="shared" si="125"/>
        <v>0</v>
      </c>
      <c r="AA150" s="69">
        <f t="shared" si="125"/>
        <v>-235124.69269180158</v>
      </c>
      <c r="AB150" s="69">
        <f t="shared" si="125"/>
        <v>0</v>
      </c>
      <c r="AC150" s="69">
        <f t="shared" si="125"/>
        <v>0</v>
      </c>
      <c r="AD150" s="69">
        <f t="shared" si="125"/>
        <v>-562749.16913207108</v>
      </c>
      <c r="AE150" s="69">
        <f t="shared" si="125"/>
        <v>-9755.2818275611589</v>
      </c>
      <c r="AF150" s="69">
        <f t="shared" si="125"/>
        <v>-57833.180262117428</v>
      </c>
      <c r="AG150" s="69">
        <f t="shared" si="125"/>
        <v>0</v>
      </c>
      <c r="AH150" s="69">
        <f t="shared" si="125"/>
        <v>0</v>
      </c>
      <c r="AI150" s="69">
        <f t="shared" si="125"/>
        <v>-519701.53515027848</v>
      </c>
      <c r="AJ150" s="69">
        <f t="shared" si="125"/>
        <v>0</v>
      </c>
      <c r="AK150" s="69">
        <f t="shared" si="125"/>
        <v>-46579.759236850354</v>
      </c>
      <c r="AL150" s="69">
        <f t="shared" si="125"/>
        <v>0</v>
      </c>
      <c r="AM150" s="69">
        <f t="shared" si="125"/>
        <v>-3481.4218275611588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-1927220.7002424914</v>
      </c>
      <c r="L151" s="97">
        <f t="shared" ref="L151:L152" si="126">SUM(O151:AV151)</f>
        <v>-3782622.643678057</v>
      </c>
      <c r="M151" s="1"/>
      <c r="N151" s="1"/>
      <c r="O151" s="97">
        <f>-O29</f>
        <v>-1197307.7337502912</v>
      </c>
      <c r="P151" s="97">
        <f t="shared" ref="P151:AM151" si="127">-P29</f>
        <v>0</v>
      </c>
      <c r="Q151" s="97">
        <f t="shared" si="127"/>
        <v>0</v>
      </c>
      <c r="R151" s="97">
        <f t="shared" si="127"/>
        <v>0</v>
      </c>
      <c r="S151" s="97">
        <f t="shared" si="127"/>
        <v>-519752.23857777513</v>
      </c>
      <c r="T151" s="97">
        <f t="shared" si="127"/>
        <v>0</v>
      </c>
      <c r="U151" s="97">
        <f t="shared" si="127"/>
        <v>0</v>
      </c>
      <c r="V151" s="97">
        <f t="shared" si="127"/>
        <v>-46579.759236850354</v>
      </c>
      <c r="W151" s="97">
        <f t="shared" si="127"/>
        <v>-67537.758662181994</v>
      </c>
      <c r="X151" s="97">
        <f t="shared" si="127"/>
        <v>0</v>
      </c>
      <c r="Y151" s="97">
        <f t="shared" si="127"/>
        <v>-516220.11332271731</v>
      </c>
      <c r="Z151" s="97">
        <f t="shared" si="127"/>
        <v>0</v>
      </c>
      <c r="AA151" s="97">
        <f t="shared" si="127"/>
        <v>-235124.69269180158</v>
      </c>
      <c r="AB151" s="97">
        <f t="shared" si="127"/>
        <v>0</v>
      </c>
      <c r="AC151" s="97">
        <f t="shared" si="127"/>
        <v>0</v>
      </c>
      <c r="AD151" s="97">
        <f t="shared" si="127"/>
        <v>-562749.16913207108</v>
      </c>
      <c r="AE151" s="97">
        <f t="shared" si="127"/>
        <v>-9755.2818275611589</v>
      </c>
      <c r="AF151" s="97">
        <f t="shared" si="127"/>
        <v>-57833.180262117428</v>
      </c>
      <c r="AG151" s="97">
        <f t="shared" si="127"/>
        <v>0</v>
      </c>
      <c r="AH151" s="97">
        <f t="shared" si="127"/>
        <v>0</v>
      </c>
      <c r="AI151" s="97">
        <f t="shared" si="127"/>
        <v>-519701.53515027848</v>
      </c>
      <c r="AJ151" s="97">
        <f t="shared" si="127"/>
        <v>0</v>
      </c>
      <c r="AK151" s="97">
        <f t="shared" si="127"/>
        <v>-46579.759236850354</v>
      </c>
      <c r="AL151" s="97">
        <f t="shared" si="127"/>
        <v>0</v>
      </c>
      <c r="AM151" s="97">
        <f t="shared" si="127"/>
        <v>-3481.4218275611588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-38002.60919142999</v>
      </c>
      <c r="L152" s="54">
        <f t="shared" si="126"/>
        <v>-41777.061930733908</v>
      </c>
      <c r="M152" s="1"/>
      <c r="N152" s="1"/>
      <c r="O152" s="97">
        <f t="shared" ref="O152:AM152" si="128">-O41</f>
        <v>-41777.061930733908</v>
      </c>
      <c r="P152" s="97">
        <f t="shared" si="128"/>
        <v>0</v>
      </c>
      <c r="Q152" s="97">
        <f t="shared" si="128"/>
        <v>0</v>
      </c>
      <c r="R152" s="97">
        <f t="shared" si="128"/>
        <v>0</v>
      </c>
      <c r="S152" s="97">
        <f t="shared" si="128"/>
        <v>0</v>
      </c>
      <c r="T152" s="97">
        <f t="shared" si="128"/>
        <v>0</v>
      </c>
      <c r="U152" s="97">
        <f t="shared" si="128"/>
        <v>0</v>
      </c>
      <c r="V152" s="97">
        <f t="shared" si="128"/>
        <v>0</v>
      </c>
      <c r="W152" s="97">
        <f t="shared" si="128"/>
        <v>0</v>
      </c>
      <c r="X152" s="97">
        <f t="shared" si="128"/>
        <v>0</v>
      </c>
      <c r="Y152" s="97">
        <f t="shared" si="128"/>
        <v>0</v>
      </c>
      <c r="Z152" s="97">
        <f t="shared" si="128"/>
        <v>0</v>
      </c>
      <c r="AA152" s="97">
        <f t="shared" si="128"/>
        <v>0</v>
      </c>
      <c r="AB152" s="97">
        <f t="shared" si="128"/>
        <v>0</v>
      </c>
      <c r="AC152" s="97">
        <f t="shared" si="128"/>
        <v>0</v>
      </c>
      <c r="AD152" s="97">
        <f t="shared" si="128"/>
        <v>0</v>
      </c>
      <c r="AE152" s="97">
        <f t="shared" si="128"/>
        <v>0</v>
      </c>
      <c r="AF152" s="97">
        <f t="shared" si="128"/>
        <v>0</v>
      </c>
      <c r="AG152" s="97">
        <f t="shared" si="128"/>
        <v>0</v>
      </c>
      <c r="AH152" s="97">
        <f t="shared" si="128"/>
        <v>0</v>
      </c>
      <c r="AI152" s="97">
        <f t="shared" si="128"/>
        <v>0</v>
      </c>
      <c r="AJ152" s="97">
        <f t="shared" si="128"/>
        <v>0</v>
      </c>
      <c r="AK152" s="97">
        <f t="shared" si="128"/>
        <v>0</v>
      </c>
      <c r="AL152" s="97">
        <f t="shared" si="128"/>
        <v>0</v>
      </c>
      <c r="AM152" s="97">
        <f t="shared" si="128"/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129">K148+K150</f>
        <v>-2.0954757928848267E-9</v>
      </c>
      <c r="L153" s="115">
        <f t="shared" si="129"/>
        <v>1940112.7707081456</v>
      </c>
      <c r="M153" s="1"/>
      <c r="N153" s="1"/>
      <c r="O153" s="116">
        <f t="shared" ref="O153:AM153" si="130">O148+O150</f>
        <v>-1240138.7808119848</v>
      </c>
      <c r="P153" s="116">
        <f t="shared" si="130"/>
        <v>241994.67931466398</v>
      </c>
      <c r="Q153" s="116">
        <f t="shared" si="130"/>
        <v>233137.63327481772</v>
      </c>
      <c r="R153" s="116">
        <f t="shared" si="130"/>
        <v>242171.37235381914</v>
      </c>
      <c r="S153" s="116">
        <f t="shared" si="130"/>
        <v>-278972.05226380227</v>
      </c>
      <c r="T153" s="116">
        <f t="shared" si="130"/>
        <v>234882.20539297437</v>
      </c>
      <c r="U153" s="116">
        <f t="shared" si="130"/>
        <v>240956.87935312802</v>
      </c>
      <c r="V153" s="116">
        <f t="shared" si="130"/>
        <v>188479.13919527916</v>
      </c>
      <c r="W153" s="116">
        <f t="shared" si="130"/>
        <v>173595.81373010119</v>
      </c>
      <c r="X153" s="116">
        <f t="shared" si="130"/>
        <v>242701.45147128467</v>
      </c>
      <c r="Y153" s="116">
        <f t="shared" si="130"/>
        <v>-282375.70789127896</v>
      </c>
      <c r="Z153" s="116">
        <f t="shared" si="130"/>
        <v>242878.14451043983</v>
      </c>
      <c r="AA153" s="116">
        <f t="shared" si="130"/>
        <v>-1103.5942212080699</v>
      </c>
      <c r="AB153" s="116">
        <f t="shared" si="130"/>
        <v>243054.83754959499</v>
      </c>
      <c r="AC153" s="116">
        <f t="shared" si="130"/>
        <v>241663.65150974866</v>
      </c>
      <c r="AD153" s="116">
        <f t="shared" si="130"/>
        <v>-326983.49854332092</v>
      </c>
      <c r="AE153" s="116">
        <f t="shared" si="130"/>
        <v>232085.06272134272</v>
      </c>
      <c r="AF153" s="116">
        <f t="shared" si="130"/>
        <v>178109.1833657879</v>
      </c>
      <c r="AG153" s="116">
        <f t="shared" si="130"/>
        <v>242017.03758805903</v>
      </c>
      <c r="AH153" s="116">
        <f t="shared" si="130"/>
        <v>243584.91666706046</v>
      </c>
      <c r="AI153" s="116">
        <f t="shared" si="130"/>
        <v>-284973.66452306428</v>
      </c>
      <c r="AJ153" s="116">
        <f t="shared" si="130"/>
        <v>243761.60970621562</v>
      </c>
      <c r="AK153" s="116">
        <f t="shared" si="130"/>
        <v>188324.80442951899</v>
      </c>
      <c r="AL153" s="116">
        <f t="shared" si="130"/>
        <v>243938.30274537078</v>
      </c>
      <c r="AM153" s="116">
        <f t="shared" si="130"/>
        <v>257323.34408360091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131">SUM($O153:O153)</f>
        <v>-1240138.7808119848</v>
      </c>
      <c r="P154" s="125">
        <f t="shared" si="131"/>
        <v>-998144.10149732081</v>
      </c>
      <c r="Q154" s="125">
        <f t="shared" si="131"/>
        <v>-765006.46822250308</v>
      </c>
      <c r="R154" s="125">
        <f t="shared" si="131"/>
        <v>-522835.09586868394</v>
      </c>
      <c r="S154" s="125">
        <f t="shared" si="131"/>
        <v>-801807.14813248627</v>
      </c>
      <c r="T154" s="125">
        <f t="shared" si="131"/>
        <v>-566924.94273951184</v>
      </c>
      <c r="U154" s="125">
        <f t="shared" si="131"/>
        <v>-325968.06338638382</v>
      </c>
      <c r="V154" s="125">
        <f t="shared" si="131"/>
        <v>-137488.92419110466</v>
      </c>
      <c r="W154" s="125">
        <f t="shared" si="131"/>
        <v>36106.889538996533</v>
      </c>
      <c r="X154" s="125">
        <f t="shared" si="131"/>
        <v>278808.34101028123</v>
      </c>
      <c r="Y154" s="125">
        <f t="shared" si="131"/>
        <v>-3567.3668809977244</v>
      </c>
      <c r="Z154" s="125">
        <f t="shared" si="131"/>
        <v>239310.77762944211</v>
      </c>
      <c r="AA154" s="125">
        <f t="shared" si="131"/>
        <v>238207.18340823404</v>
      </c>
      <c r="AB154" s="125">
        <f t="shared" si="131"/>
        <v>481262.02095782902</v>
      </c>
      <c r="AC154" s="125">
        <f t="shared" si="131"/>
        <v>722925.67246757774</v>
      </c>
      <c r="AD154" s="125">
        <f t="shared" si="131"/>
        <v>395942.17392425681</v>
      </c>
      <c r="AE154" s="125">
        <f t="shared" si="131"/>
        <v>628027.23664559959</v>
      </c>
      <c r="AF154" s="125">
        <f t="shared" si="131"/>
        <v>806136.42001138744</v>
      </c>
      <c r="AG154" s="125">
        <f t="shared" si="131"/>
        <v>1048153.4575994464</v>
      </c>
      <c r="AH154" s="125">
        <f t="shared" si="131"/>
        <v>1291738.3742665069</v>
      </c>
      <c r="AI154" s="125">
        <f t="shared" si="131"/>
        <v>1006764.7097434426</v>
      </c>
      <c r="AJ154" s="125">
        <f t="shared" si="131"/>
        <v>1250526.3194496583</v>
      </c>
      <c r="AK154" s="125">
        <f t="shared" si="131"/>
        <v>1438851.1238791773</v>
      </c>
      <c r="AL154" s="125">
        <f t="shared" si="131"/>
        <v>1682789.4266245482</v>
      </c>
      <c r="AM154" s="125">
        <f t="shared" si="131"/>
        <v>1940112.7707081491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9.9320884002751297E-2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1.9524849635975244E-10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-1240138.7808119848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132">IF(O154&lt;0,1,0)</f>
        <v>1</v>
      </c>
      <c r="P160" s="131">
        <f t="shared" si="132"/>
        <v>1</v>
      </c>
      <c r="Q160" s="131">
        <f t="shared" si="132"/>
        <v>1</v>
      </c>
      <c r="R160" s="131">
        <f t="shared" si="132"/>
        <v>1</v>
      </c>
      <c r="S160" s="131">
        <f t="shared" si="132"/>
        <v>1</v>
      </c>
      <c r="T160" s="131">
        <f t="shared" si="132"/>
        <v>1</v>
      </c>
      <c r="U160" s="131">
        <f t="shared" si="132"/>
        <v>1</v>
      </c>
      <c r="V160" s="131">
        <f t="shared" si="132"/>
        <v>1</v>
      </c>
      <c r="W160" s="131">
        <f t="shared" si="132"/>
        <v>0</v>
      </c>
      <c r="X160" s="131">
        <f t="shared" si="132"/>
        <v>0</v>
      </c>
      <c r="Y160" s="131">
        <f t="shared" si="132"/>
        <v>1</v>
      </c>
      <c r="Z160" s="131">
        <f t="shared" si="132"/>
        <v>0</v>
      </c>
      <c r="AA160" s="131">
        <f t="shared" si="132"/>
        <v>0</v>
      </c>
      <c r="AB160" s="131">
        <f t="shared" si="132"/>
        <v>0</v>
      </c>
      <c r="AC160" s="131">
        <f t="shared" si="132"/>
        <v>0</v>
      </c>
      <c r="AD160" s="131">
        <f t="shared" si="132"/>
        <v>0</v>
      </c>
      <c r="AE160" s="131">
        <f t="shared" si="132"/>
        <v>0</v>
      </c>
      <c r="AF160" s="131">
        <f t="shared" si="132"/>
        <v>0</v>
      </c>
      <c r="AG160" s="131">
        <f t="shared" si="132"/>
        <v>0</v>
      </c>
      <c r="AH160" s="131">
        <f t="shared" si="132"/>
        <v>0</v>
      </c>
      <c r="AI160" s="131">
        <f t="shared" si="132"/>
        <v>0</v>
      </c>
      <c r="AJ160" s="131">
        <f t="shared" si="132"/>
        <v>0</v>
      </c>
      <c r="AK160" s="131">
        <f t="shared" si="132"/>
        <v>0</v>
      </c>
      <c r="AL160" s="131">
        <f t="shared" si="132"/>
        <v>0</v>
      </c>
      <c r="AM160" s="131">
        <f t="shared" si="132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133">SUM(O162:AM162)</f>
        <v>-142201.69328709538</v>
      </c>
      <c r="M162" s="1"/>
      <c r="N162" s="1"/>
      <c r="O162" s="329">
        <f>SUM(O163:O167)</f>
        <v>666116.40453880129</v>
      </c>
      <c r="P162" s="357">
        <f t="shared" ref="P162:AM162" si="134">SUM(P163:P167)</f>
        <v>-149941.34134424094</v>
      </c>
      <c r="Q162" s="357">
        <f t="shared" si="134"/>
        <v>-143852.67799493767</v>
      </c>
      <c r="R162" s="357">
        <f t="shared" si="134"/>
        <v>-137764.01464563442</v>
      </c>
      <c r="S162" s="357">
        <f t="shared" si="134"/>
        <v>-131675.35129633115</v>
      </c>
      <c r="T162" s="357">
        <f t="shared" si="134"/>
        <v>-125586.68794702789</v>
      </c>
      <c r="U162" s="357">
        <f t="shared" si="134"/>
        <v>-119498.02459772462</v>
      </c>
      <c r="V162" s="357">
        <f t="shared" si="134"/>
        <v>-1.4828983694314956E-12</v>
      </c>
      <c r="W162" s="357">
        <f t="shared" si="134"/>
        <v>-1.4828983694314956E-12</v>
      </c>
      <c r="X162" s="357">
        <f t="shared" si="134"/>
        <v>-1.4828983694314956E-12</v>
      </c>
      <c r="Y162" s="357">
        <f t="shared" si="134"/>
        <v>-1.4828983694314956E-12</v>
      </c>
      <c r="Z162" s="357">
        <f t="shared" si="134"/>
        <v>-1.4828983694314956E-12</v>
      </c>
      <c r="AA162" s="357">
        <f t="shared" si="134"/>
        <v>-1.4828983694314956E-12</v>
      </c>
      <c r="AB162" s="357">
        <f t="shared" si="134"/>
        <v>-1.4828983694314956E-12</v>
      </c>
      <c r="AC162" s="357">
        <f t="shared" si="134"/>
        <v>-1.4828983694314956E-12</v>
      </c>
      <c r="AD162" s="357">
        <f t="shared" si="134"/>
        <v>-1.4828983694314956E-12</v>
      </c>
      <c r="AE162" s="357">
        <f t="shared" si="134"/>
        <v>-1.4828983694314956E-12</v>
      </c>
      <c r="AF162" s="357">
        <f t="shared" si="134"/>
        <v>-1.4828983694314956E-12</v>
      </c>
      <c r="AG162" s="357">
        <f t="shared" si="134"/>
        <v>-1.4828983694314956E-12</v>
      </c>
      <c r="AH162" s="357">
        <f t="shared" si="134"/>
        <v>-1.4828983694314956E-12</v>
      </c>
      <c r="AI162" s="357">
        <f t="shared" si="134"/>
        <v>-1.4828983694314956E-12</v>
      </c>
      <c r="AJ162" s="357">
        <f t="shared" si="134"/>
        <v>-1.4828983694314956E-12</v>
      </c>
      <c r="AK162" s="357">
        <f t="shared" si="134"/>
        <v>-1.4828983694314956E-12</v>
      </c>
      <c r="AL162" s="357">
        <f t="shared" si="134"/>
        <v>-1.4828983694314956E-12</v>
      </c>
      <c r="AM162" s="357">
        <f t="shared" si="134"/>
        <v>-1.4828983694314956E-12</v>
      </c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customHeight="1" x14ac:dyDescent="0.3">
      <c r="A163" s="131"/>
      <c r="B163" s="352" t="s">
        <v>5175</v>
      </c>
      <c r="C163" s="352"/>
      <c r="D163" s="352"/>
      <c r="E163" s="352"/>
      <c r="F163" s="352"/>
      <c r="G163" s="350">
        <v>1</v>
      </c>
      <c r="H163" s="350">
        <v>1</v>
      </c>
      <c r="I163" s="350">
        <f>$L$30*WACC!$D$31</f>
        <v>716988.14758634777</v>
      </c>
      <c r="J163" s="350"/>
      <c r="K163" s="350"/>
      <c r="L163" s="350">
        <f t="shared" si="133"/>
        <v>716988.14758634777</v>
      </c>
      <c r="M163" s="1"/>
      <c r="N163" s="1"/>
      <c r="O163" s="350">
        <f>IF(AND($G163&lt;=O$3,O$3&lt;=$H163),$I163/($H163-$G163+1),0)</f>
        <v>716988.14758634777</v>
      </c>
      <c r="P163" s="350">
        <f>IF(AND($G163&lt;=P$3,P$3&lt;=$H163),$I163/($H163-$G163+1),0)</f>
        <v>0</v>
      </c>
      <c r="Q163" s="350">
        <f t="shared" ref="Q163:AM163" si="135">IF(AND($G163&lt;=Q$3,Q$3&lt;=$H163),$I163/($H163-$G163+1),0)</f>
        <v>0</v>
      </c>
      <c r="R163" s="350">
        <f t="shared" si="135"/>
        <v>0</v>
      </c>
      <c r="S163" s="350">
        <f t="shared" si="135"/>
        <v>0</v>
      </c>
      <c r="T163" s="350">
        <f t="shared" si="135"/>
        <v>0</v>
      </c>
      <c r="U163" s="350">
        <f t="shared" si="135"/>
        <v>0</v>
      </c>
      <c r="V163" s="350">
        <f t="shared" si="135"/>
        <v>0</v>
      </c>
      <c r="W163" s="350">
        <f t="shared" si="135"/>
        <v>0</v>
      </c>
      <c r="X163" s="350">
        <f t="shared" si="135"/>
        <v>0</v>
      </c>
      <c r="Y163" s="350">
        <f t="shared" si="135"/>
        <v>0</v>
      </c>
      <c r="Z163" s="350">
        <f t="shared" si="135"/>
        <v>0</v>
      </c>
      <c r="AA163" s="350">
        <f t="shared" si="135"/>
        <v>0</v>
      </c>
      <c r="AB163" s="350">
        <f t="shared" si="135"/>
        <v>0</v>
      </c>
      <c r="AC163" s="350">
        <f t="shared" si="135"/>
        <v>0</v>
      </c>
      <c r="AD163" s="350">
        <f t="shared" si="135"/>
        <v>0</v>
      </c>
      <c r="AE163" s="350">
        <f t="shared" si="135"/>
        <v>0</v>
      </c>
      <c r="AF163" s="350">
        <f t="shared" si="135"/>
        <v>0</v>
      </c>
      <c r="AG163" s="350">
        <f t="shared" si="135"/>
        <v>0</v>
      </c>
      <c r="AH163" s="350">
        <f t="shared" si="135"/>
        <v>0</v>
      </c>
      <c r="AI163" s="350">
        <f t="shared" si="135"/>
        <v>0</v>
      </c>
      <c r="AJ163" s="350">
        <f t="shared" si="135"/>
        <v>0</v>
      </c>
      <c r="AK163" s="350">
        <f t="shared" si="135"/>
        <v>0</v>
      </c>
      <c r="AL163" s="350">
        <f t="shared" si="135"/>
        <v>0</v>
      </c>
      <c r="AM163" s="350">
        <f t="shared" si="135"/>
        <v>0</v>
      </c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customHeight="1" x14ac:dyDescent="0.3">
      <c r="A164" s="131"/>
      <c r="B164" s="353" t="s">
        <v>5176</v>
      </c>
      <c r="C164" s="353"/>
      <c r="D164" s="353"/>
      <c r="E164" s="353"/>
      <c r="F164" s="353"/>
      <c r="G164" s="351">
        <v>2</v>
      </c>
      <c r="H164" s="351">
        <v>7</v>
      </c>
      <c r="I164" s="351">
        <f>I163</f>
        <v>716988.14758634777</v>
      </c>
      <c r="J164" s="351"/>
      <c r="K164" s="351"/>
      <c r="L164" s="351">
        <f t="shared" si="133"/>
        <v>-716988.14758634777</v>
      </c>
      <c r="M164" s="1"/>
      <c r="N164" s="1"/>
      <c r="O164" s="351">
        <f>-IF(AND($G164&lt;=O$3,O$3&lt;=$H164),$I164/($H164-$G164+1),0)</f>
        <v>0</v>
      </c>
      <c r="P164" s="351">
        <f t="shared" ref="P164:AM164" si="136">-IF(AND($G164&lt;=P$3,P$3&lt;=$H164),$I164/($H164-$G164+1),0)</f>
        <v>-119498.02459772462</v>
      </c>
      <c r="Q164" s="351">
        <f t="shared" si="136"/>
        <v>-119498.02459772462</v>
      </c>
      <c r="R164" s="351">
        <f t="shared" si="136"/>
        <v>-119498.02459772462</v>
      </c>
      <c r="S164" s="351">
        <f t="shared" si="136"/>
        <v>-119498.02459772462</v>
      </c>
      <c r="T164" s="351">
        <f t="shared" si="136"/>
        <v>-119498.02459772462</v>
      </c>
      <c r="U164" s="351">
        <f t="shared" si="136"/>
        <v>-119498.02459772462</v>
      </c>
      <c r="V164" s="351">
        <f t="shared" si="136"/>
        <v>0</v>
      </c>
      <c r="W164" s="351">
        <f t="shared" si="136"/>
        <v>0</v>
      </c>
      <c r="X164" s="351">
        <f t="shared" si="136"/>
        <v>0</v>
      </c>
      <c r="Y164" s="351">
        <f t="shared" si="136"/>
        <v>0</v>
      </c>
      <c r="Z164" s="351">
        <f t="shared" si="136"/>
        <v>0</v>
      </c>
      <c r="AA164" s="351">
        <f t="shared" si="136"/>
        <v>0</v>
      </c>
      <c r="AB164" s="351">
        <f t="shared" si="136"/>
        <v>0</v>
      </c>
      <c r="AC164" s="351">
        <f t="shared" si="136"/>
        <v>0</v>
      </c>
      <c r="AD164" s="351">
        <f t="shared" si="136"/>
        <v>0</v>
      </c>
      <c r="AE164" s="351">
        <f t="shared" si="136"/>
        <v>0</v>
      </c>
      <c r="AF164" s="351">
        <f t="shared" si="136"/>
        <v>0</v>
      </c>
      <c r="AG164" s="351">
        <f t="shared" si="136"/>
        <v>0</v>
      </c>
      <c r="AH164" s="351">
        <f t="shared" si="136"/>
        <v>0</v>
      </c>
      <c r="AI164" s="351">
        <f t="shared" si="136"/>
        <v>0</v>
      </c>
      <c r="AJ164" s="351">
        <f t="shared" si="136"/>
        <v>0</v>
      </c>
      <c r="AK164" s="351">
        <f t="shared" si="136"/>
        <v>0</v>
      </c>
      <c r="AL164" s="351">
        <f t="shared" si="136"/>
        <v>0</v>
      </c>
      <c r="AM164" s="351">
        <f t="shared" si="136"/>
        <v>0</v>
      </c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customHeight="1" x14ac:dyDescent="0.3">
      <c r="A165" s="131"/>
      <c r="B165" s="353" t="s">
        <v>5177</v>
      </c>
      <c r="C165" s="353"/>
      <c r="D165" s="353"/>
      <c r="E165" s="353"/>
      <c r="F165" s="353"/>
      <c r="G165" s="354">
        <f>WACC!$D$23</f>
        <v>7.7200000000000005E-2</v>
      </c>
      <c r="H165" s="351"/>
      <c r="I165" s="351"/>
      <c r="J165" s="351"/>
      <c r="K165" s="351"/>
      <c r="L165" s="351">
        <f t="shared" si="133"/>
        <v>-193730.19747783119</v>
      </c>
      <c r="M165" s="1"/>
      <c r="N165" s="1"/>
      <c r="O165" s="351">
        <f>-SUM($O163:O163,$O164:O164)*$G$165</f>
        <v>-55351.484993666054</v>
      </c>
      <c r="P165" s="351">
        <f>-SUM($O163:P163,$O164:P164)*$G$165</f>
        <v>-46126.237494721703</v>
      </c>
      <c r="Q165" s="351">
        <f>-SUM($O163:Q163,$O164:Q164)*$G$165</f>
        <v>-36900.989995777367</v>
      </c>
      <c r="R165" s="351">
        <f>-SUM($O163:R163,$O164:R164)*$G$165</f>
        <v>-27675.742496833027</v>
      </c>
      <c r="S165" s="351">
        <f>-SUM($O163:S163,$O164:S164)*$G$165</f>
        <v>-18450.494997888683</v>
      </c>
      <c r="T165" s="351">
        <f>-SUM($O163:T163,$O164:T164)*$G$165</f>
        <v>-9225.2474989443435</v>
      </c>
      <c r="U165" s="351">
        <f>-SUM($O163:U163,$O164:U164)*$G$165</f>
        <v>0</v>
      </c>
      <c r="V165" s="351">
        <f>-SUM($O163:V163,$O164:V164)*$G$165</f>
        <v>-2.2468157112598421E-12</v>
      </c>
      <c r="W165" s="351">
        <f>-SUM($O163:W163,$O164:W164)*$G$165</f>
        <v>-2.2468157112598421E-12</v>
      </c>
      <c r="X165" s="351">
        <f>-SUM($O163:X163,$O164:X164)*$G$165</f>
        <v>-2.2468157112598421E-12</v>
      </c>
      <c r="Y165" s="351">
        <f>-SUM($O163:Y163,$O164:Y164)*$G$165</f>
        <v>-2.2468157112598421E-12</v>
      </c>
      <c r="Z165" s="351">
        <f>-SUM($O163:Z163,$O164:Z164)*$G$165</f>
        <v>-2.2468157112598421E-12</v>
      </c>
      <c r="AA165" s="351">
        <f>-SUM($O163:AA163,$O164:AA164)*$G$165</f>
        <v>-2.2468157112598421E-12</v>
      </c>
      <c r="AB165" s="351">
        <f>-SUM($O163:AB163,$O164:AB164)*$G$165</f>
        <v>-2.2468157112598421E-12</v>
      </c>
      <c r="AC165" s="351">
        <f>-SUM($O163:AC163,$O164:AC164)*$G$165</f>
        <v>-2.2468157112598421E-12</v>
      </c>
      <c r="AD165" s="351">
        <f>-SUM($O163:AD163,$O164:AD164)*$G$165</f>
        <v>-2.2468157112598421E-12</v>
      </c>
      <c r="AE165" s="351">
        <f>-SUM($O163:AE163,$O164:AE164)*$G$165</f>
        <v>-2.2468157112598421E-12</v>
      </c>
      <c r="AF165" s="351">
        <f>-SUM($O163:AF163,$O164:AF164)*$G$165</f>
        <v>-2.2468157112598421E-12</v>
      </c>
      <c r="AG165" s="351">
        <f>-SUM($O163:AG163,$O164:AG164)*$G$165</f>
        <v>-2.2468157112598421E-12</v>
      </c>
      <c r="AH165" s="351">
        <f>-SUM($O163:AH163,$O164:AH164)*$G$165</f>
        <v>-2.2468157112598421E-12</v>
      </c>
      <c r="AI165" s="351">
        <f>-SUM($O163:AI163,$O164:AI164)*$G$165</f>
        <v>-2.2468157112598421E-12</v>
      </c>
      <c r="AJ165" s="351">
        <f>-SUM($O163:AJ163,$O164:AJ164)*$G$165</f>
        <v>-2.2468157112598421E-12</v>
      </c>
      <c r="AK165" s="351">
        <f>-SUM($O163:AK163,$O164:AK164)*$G$165</f>
        <v>-2.2468157112598421E-12</v>
      </c>
      <c r="AL165" s="351">
        <f>-SUM($O163:AL163,$O164:AL164)*$G$165</f>
        <v>-2.2468157112598421E-12</v>
      </c>
      <c r="AM165" s="351">
        <f>-SUM($O163:AM163,$O164:AM164)*$G$165</f>
        <v>-2.2468157112598421E-12</v>
      </c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customHeight="1" x14ac:dyDescent="0.3">
      <c r="A166" s="131"/>
      <c r="B166" s="353" t="s">
        <v>5178</v>
      </c>
      <c r="C166" s="353"/>
      <c r="D166" s="353"/>
      <c r="E166" s="353"/>
      <c r="F166" s="353"/>
      <c r="G166" s="354">
        <f>WACC!$D$24</f>
        <v>0.34</v>
      </c>
      <c r="H166" s="351"/>
      <c r="I166" s="351"/>
      <c r="J166" s="351"/>
      <c r="K166" s="351"/>
      <c r="L166" s="351">
        <f t="shared" si="133"/>
        <v>65868.267142462602</v>
      </c>
      <c r="M166" s="1"/>
      <c r="N166" s="1"/>
      <c r="O166" s="351">
        <f>-O165*$G$166</f>
        <v>18819.504897846458</v>
      </c>
      <c r="P166" s="351">
        <f t="shared" ref="P166:AM166" si="137">-P165*$G$166</f>
        <v>15682.920748205381</v>
      </c>
      <c r="Q166" s="351">
        <f t="shared" si="137"/>
        <v>12546.336598564305</v>
      </c>
      <c r="R166" s="351">
        <f t="shared" si="137"/>
        <v>9409.7524489232292</v>
      </c>
      <c r="S166" s="351">
        <f t="shared" si="137"/>
        <v>6273.1682992821525</v>
      </c>
      <c r="T166" s="351">
        <f t="shared" si="137"/>
        <v>3136.5841496410771</v>
      </c>
      <c r="U166" s="351">
        <f t="shared" si="137"/>
        <v>0</v>
      </c>
      <c r="V166" s="351">
        <f t="shared" si="137"/>
        <v>7.6391734182834637E-13</v>
      </c>
      <c r="W166" s="351">
        <f t="shared" si="137"/>
        <v>7.6391734182834637E-13</v>
      </c>
      <c r="X166" s="351">
        <f t="shared" si="137"/>
        <v>7.6391734182834637E-13</v>
      </c>
      <c r="Y166" s="351">
        <f t="shared" si="137"/>
        <v>7.6391734182834637E-13</v>
      </c>
      <c r="Z166" s="351">
        <f t="shared" si="137"/>
        <v>7.6391734182834637E-13</v>
      </c>
      <c r="AA166" s="351">
        <f t="shared" si="137"/>
        <v>7.6391734182834637E-13</v>
      </c>
      <c r="AB166" s="351">
        <f t="shared" si="137"/>
        <v>7.6391734182834637E-13</v>
      </c>
      <c r="AC166" s="351">
        <f t="shared" si="137"/>
        <v>7.6391734182834637E-13</v>
      </c>
      <c r="AD166" s="351">
        <f t="shared" si="137"/>
        <v>7.6391734182834637E-13</v>
      </c>
      <c r="AE166" s="351">
        <f t="shared" si="137"/>
        <v>7.6391734182834637E-13</v>
      </c>
      <c r="AF166" s="351">
        <f t="shared" si="137"/>
        <v>7.6391734182834637E-13</v>
      </c>
      <c r="AG166" s="351">
        <f t="shared" si="137"/>
        <v>7.6391734182834637E-13</v>
      </c>
      <c r="AH166" s="351">
        <f t="shared" si="137"/>
        <v>7.6391734182834637E-13</v>
      </c>
      <c r="AI166" s="351">
        <f t="shared" si="137"/>
        <v>7.6391734182834637E-13</v>
      </c>
      <c r="AJ166" s="351">
        <f t="shared" si="137"/>
        <v>7.6391734182834637E-13</v>
      </c>
      <c r="AK166" s="351">
        <f t="shared" si="137"/>
        <v>7.6391734182834637E-13</v>
      </c>
      <c r="AL166" s="351">
        <f t="shared" si="137"/>
        <v>7.6391734182834637E-13</v>
      </c>
      <c r="AM166" s="351">
        <f t="shared" si="137"/>
        <v>7.6391734182834637E-13</v>
      </c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customHeight="1" x14ac:dyDescent="0.3">
      <c r="A167" s="131"/>
      <c r="B167" s="183" t="s">
        <v>5179</v>
      </c>
      <c r="C167" s="183"/>
      <c r="D167" s="183"/>
      <c r="E167" s="183"/>
      <c r="F167" s="183"/>
      <c r="G167" s="195">
        <v>1</v>
      </c>
      <c r="H167" s="195">
        <v>1</v>
      </c>
      <c r="I167" s="195">
        <f>2%*I163</f>
        <v>14339.762951726956</v>
      </c>
      <c r="J167" s="195"/>
      <c r="K167" s="195"/>
      <c r="L167" s="195">
        <f t="shared" si="133"/>
        <v>-14339.762951726956</v>
      </c>
      <c r="M167" s="1"/>
      <c r="N167" s="1"/>
      <c r="O167" s="195">
        <f>IF(AND($G167&lt;=O$3,O$3&lt;=$H167),-$I167,0)</f>
        <v>-14339.762951726956</v>
      </c>
      <c r="P167" s="195">
        <f t="shared" ref="P167:AM167" si="138">IF(AND($G167&lt;=P$3,P$3&lt;=$H167),-$I167,0)</f>
        <v>0</v>
      </c>
      <c r="Q167" s="195">
        <f t="shared" si="138"/>
        <v>0</v>
      </c>
      <c r="R167" s="195">
        <f t="shared" si="138"/>
        <v>0</v>
      </c>
      <c r="S167" s="195">
        <f t="shared" si="138"/>
        <v>0</v>
      </c>
      <c r="T167" s="195">
        <f t="shared" si="138"/>
        <v>0</v>
      </c>
      <c r="U167" s="195">
        <f t="shared" si="138"/>
        <v>0</v>
      </c>
      <c r="V167" s="195">
        <f t="shared" si="138"/>
        <v>0</v>
      </c>
      <c r="W167" s="195">
        <f t="shared" si="138"/>
        <v>0</v>
      </c>
      <c r="X167" s="195">
        <f t="shared" si="138"/>
        <v>0</v>
      </c>
      <c r="Y167" s="195">
        <f t="shared" si="138"/>
        <v>0</v>
      </c>
      <c r="Z167" s="195">
        <f t="shared" si="138"/>
        <v>0</v>
      </c>
      <c r="AA167" s="195">
        <f t="shared" si="138"/>
        <v>0</v>
      </c>
      <c r="AB167" s="195">
        <f t="shared" si="138"/>
        <v>0</v>
      </c>
      <c r="AC167" s="195">
        <f t="shared" si="138"/>
        <v>0</v>
      </c>
      <c r="AD167" s="195">
        <f t="shared" si="138"/>
        <v>0</v>
      </c>
      <c r="AE167" s="195">
        <f t="shared" si="138"/>
        <v>0</v>
      </c>
      <c r="AF167" s="195">
        <f t="shared" si="138"/>
        <v>0</v>
      </c>
      <c r="AG167" s="195">
        <f t="shared" si="138"/>
        <v>0</v>
      </c>
      <c r="AH167" s="195">
        <f t="shared" si="138"/>
        <v>0</v>
      </c>
      <c r="AI167" s="195">
        <f t="shared" si="138"/>
        <v>0</v>
      </c>
      <c r="AJ167" s="195">
        <f t="shared" si="138"/>
        <v>0</v>
      </c>
      <c r="AK167" s="195">
        <f t="shared" si="138"/>
        <v>0</v>
      </c>
      <c r="AL167" s="195">
        <f t="shared" si="138"/>
        <v>0</v>
      </c>
      <c r="AM167" s="195">
        <f t="shared" si="138"/>
        <v>0</v>
      </c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f>L162+L153</f>
        <v>1797911.0774210503</v>
      </c>
      <c r="M168" s="1"/>
      <c r="N168" s="1"/>
      <c r="O168" s="349">
        <f>O153+O162</f>
        <v>-574022.3762731835</v>
      </c>
      <c r="P168" s="349">
        <f t="shared" ref="P168:AM168" si="139">P153+P162</f>
        <v>92053.337970423046</v>
      </c>
      <c r="Q168" s="349">
        <f t="shared" si="139"/>
        <v>89284.955279880058</v>
      </c>
      <c r="R168" s="349">
        <f t="shared" si="139"/>
        <v>104407.35770818472</v>
      </c>
      <c r="S168" s="349">
        <f t="shared" si="139"/>
        <v>-410647.40356013342</v>
      </c>
      <c r="T168" s="349">
        <f t="shared" si="139"/>
        <v>109295.51744594648</v>
      </c>
      <c r="U168" s="349">
        <f t="shared" si="139"/>
        <v>121458.8547554034</v>
      </c>
      <c r="V168" s="349">
        <f t="shared" si="139"/>
        <v>188479.13919527916</v>
      </c>
      <c r="W168" s="349">
        <f t="shared" si="139"/>
        <v>173595.81373010119</v>
      </c>
      <c r="X168" s="349">
        <f t="shared" si="139"/>
        <v>242701.45147128467</v>
      </c>
      <c r="Y168" s="349">
        <f t="shared" si="139"/>
        <v>-282375.70789127896</v>
      </c>
      <c r="Z168" s="349">
        <f t="shared" si="139"/>
        <v>242878.14451043983</v>
      </c>
      <c r="AA168" s="349">
        <f t="shared" si="139"/>
        <v>-1103.5942212080715</v>
      </c>
      <c r="AB168" s="349">
        <f t="shared" si="139"/>
        <v>243054.83754959499</v>
      </c>
      <c r="AC168" s="349">
        <f t="shared" si="139"/>
        <v>241663.65150974866</v>
      </c>
      <c r="AD168" s="349">
        <f t="shared" si="139"/>
        <v>-326983.49854332092</v>
      </c>
      <c r="AE168" s="349">
        <f t="shared" si="139"/>
        <v>232085.06272134272</v>
      </c>
      <c r="AF168" s="349">
        <f t="shared" si="139"/>
        <v>178109.1833657879</v>
      </c>
      <c r="AG168" s="349">
        <f t="shared" si="139"/>
        <v>242017.03758805903</v>
      </c>
      <c r="AH168" s="349">
        <f t="shared" si="139"/>
        <v>243584.91666706046</v>
      </c>
      <c r="AI168" s="349">
        <f t="shared" si="139"/>
        <v>-284973.66452306428</v>
      </c>
      <c r="AJ168" s="349">
        <f t="shared" si="139"/>
        <v>243761.60970621562</v>
      </c>
      <c r="AK168" s="349">
        <f t="shared" si="139"/>
        <v>188324.80442951899</v>
      </c>
      <c r="AL168" s="349">
        <f t="shared" si="139"/>
        <v>243938.30274537078</v>
      </c>
      <c r="AM168" s="349">
        <f t="shared" si="139"/>
        <v>257323.34408360091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f>SUM($O168:O168)</f>
        <v>-574022.3762731835</v>
      </c>
      <c r="P169" s="125">
        <f>SUM($O168:P168)</f>
        <v>-481969.03830276045</v>
      </c>
      <c r="Q169" s="125">
        <f>SUM($O168:Q168)</f>
        <v>-392684.08302288037</v>
      </c>
      <c r="R169" s="125">
        <f>SUM($O168:R168)</f>
        <v>-288276.72531469562</v>
      </c>
      <c r="S169" s="125">
        <f>SUM($O168:S168)</f>
        <v>-698924.12887482904</v>
      </c>
      <c r="T169" s="125">
        <f>SUM($O168:T168)</f>
        <v>-589628.61142888258</v>
      </c>
      <c r="U169" s="125">
        <f>SUM($O168:U168)</f>
        <v>-468169.75667347916</v>
      </c>
      <c r="V169" s="125">
        <f>SUM($O168:V168)</f>
        <v>-279690.6174782</v>
      </c>
      <c r="W169" s="125">
        <f>SUM($O168:W168)</f>
        <v>-106094.80374809881</v>
      </c>
      <c r="X169" s="125">
        <f>SUM($O168:X168)</f>
        <v>136606.64772318586</v>
      </c>
      <c r="Y169" s="125">
        <f>SUM($O168:Y168)</f>
        <v>-145769.0601680931</v>
      </c>
      <c r="Z169" s="125">
        <f>SUM($O168:Z168)</f>
        <v>97109.08434234673</v>
      </c>
      <c r="AA169" s="125">
        <f>SUM($O168:AA168)</f>
        <v>96005.49012113866</v>
      </c>
      <c r="AB169" s="125">
        <f>SUM($O168:AB168)</f>
        <v>339060.32767073368</v>
      </c>
      <c r="AC169" s="125">
        <f>SUM($O168:AC168)</f>
        <v>580723.97918048233</v>
      </c>
      <c r="AD169" s="125">
        <f>SUM($O168:AD168)</f>
        <v>253740.48063716141</v>
      </c>
      <c r="AE169" s="125">
        <f>SUM($O168:AE168)</f>
        <v>485825.54335850413</v>
      </c>
      <c r="AF169" s="125">
        <f>SUM($O168:AF168)</f>
        <v>663934.72672429204</v>
      </c>
      <c r="AG169" s="125">
        <f>SUM($O168:AG168)</f>
        <v>905951.76431235112</v>
      </c>
      <c r="AH169" s="125">
        <f>SUM($O168:AH168)</f>
        <v>1149536.6809794116</v>
      </c>
      <c r="AI169" s="125">
        <f>SUM($O168:AI168)</f>
        <v>864563.01645634731</v>
      </c>
      <c r="AJ169" s="125">
        <f>SUM($O168:AJ168)</f>
        <v>1108324.626162563</v>
      </c>
      <c r="AK169" s="125">
        <f>SUM($O168:AK168)</f>
        <v>1296649.430592082</v>
      </c>
      <c r="AL169" s="125">
        <f>SUM($O168:AL168)</f>
        <v>1540587.7333374526</v>
      </c>
      <c r="AM169" s="125">
        <f>SUM($O168:AM168)</f>
        <v>1797911.0774210535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AVERAGE(O172:AM172)</f>
        <v>2.4510608594254699</v>
      </c>
      <c r="M172" s="1"/>
      <c r="N172" s="1"/>
      <c r="O172" s="343"/>
      <c r="P172" s="343">
        <f t="shared" ref="P172:R172" si="140">IF(ROUND(P165,6)=0,0,P148/-P165)</f>
        <v>5.2463563572111385</v>
      </c>
      <c r="Q172" s="343">
        <f t="shared" si="140"/>
        <v>6.317923538135318</v>
      </c>
      <c r="R172" s="343">
        <f t="shared" si="140"/>
        <v>8.7503116630576816</v>
      </c>
      <c r="S172" s="343">
        <f>IF(ROUND(S165,6)=0,0,S148/-S165)</f>
        <v>13.050066480141899</v>
      </c>
      <c r="T172" s="343">
        <f t="shared" ref="T172:AM172" si="141">IF(ROUND(T165,6)=0,0,T148/-T165)</f>
        <v>25.460802587665235</v>
      </c>
      <c r="U172" s="343">
        <f t="shared" si="141"/>
        <v>0</v>
      </c>
      <c r="V172" s="343">
        <f t="shared" si="141"/>
        <v>0</v>
      </c>
      <c r="W172" s="343">
        <f t="shared" si="141"/>
        <v>0</v>
      </c>
      <c r="X172" s="343">
        <f t="shared" si="141"/>
        <v>0</v>
      </c>
      <c r="Y172" s="343">
        <f t="shared" si="141"/>
        <v>0</v>
      </c>
      <c r="Z172" s="343">
        <f t="shared" si="141"/>
        <v>0</v>
      </c>
      <c r="AA172" s="343">
        <f t="shared" si="141"/>
        <v>0</v>
      </c>
      <c r="AB172" s="343">
        <f t="shared" si="141"/>
        <v>0</v>
      </c>
      <c r="AC172" s="343">
        <f t="shared" si="141"/>
        <v>0</v>
      </c>
      <c r="AD172" s="343">
        <f t="shared" si="141"/>
        <v>0</v>
      </c>
      <c r="AE172" s="343">
        <f t="shared" si="141"/>
        <v>0</v>
      </c>
      <c r="AF172" s="343">
        <f t="shared" si="141"/>
        <v>0</v>
      </c>
      <c r="AG172" s="343">
        <f t="shared" si="141"/>
        <v>0</v>
      </c>
      <c r="AH172" s="343">
        <f t="shared" si="141"/>
        <v>0</v>
      </c>
      <c r="AI172" s="343">
        <f t="shared" si="141"/>
        <v>0</v>
      </c>
      <c r="AJ172" s="343">
        <f t="shared" si="141"/>
        <v>0</v>
      </c>
      <c r="AK172" s="343">
        <f t="shared" si="141"/>
        <v>0</v>
      </c>
      <c r="AL172" s="343">
        <f t="shared" si="141"/>
        <v>0</v>
      </c>
      <c r="AM172" s="343">
        <f t="shared" si="141"/>
        <v>0</v>
      </c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/>
      <c r="C173" s="183"/>
      <c r="D173" s="183"/>
      <c r="E173" s="183"/>
      <c r="F173" s="183"/>
      <c r="G173" s="195"/>
      <c r="H173" s="195"/>
      <c r="I173" s="195"/>
      <c r="J173" s="195"/>
      <c r="K173" s="195"/>
      <c r="L173" s="343"/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tr">
        <f>IF(SUM(O211,O222,O226,O230)&lt;SUM(O236,O248,O252,O256),"Presumido","Real")</f>
        <v>Presumido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 t="shared" ref="O205:AM205" si="142">IF(O$204="Presumido",O211,O236)</f>
        <v>7165.8843657371917</v>
      </c>
      <c r="P205" s="97">
        <f t="shared" si="142"/>
        <v>21497.653097211598</v>
      </c>
      <c r="Q205" s="97">
        <f t="shared" si="142"/>
        <v>21497.653097211598</v>
      </c>
      <c r="R205" s="97">
        <f t="shared" si="142"/>
        <v>21497.653097211598</v>
      </c>
      <c r="S205" s="97">
        <f t="shared" si="142"/>
        <v>21497.653097211598</v>
      </c>
      <c r="T205" s="97">
        <f t="shared" si="142"/>
        <v>21497.653097211598</v>
      </c>
      <c r="U205" s="97">
        <f t="shared" si="142"/>
        <v>21497.653097211598</v>
      </c>
      <c r="V205" s="97">
        <f t="shared" si="142"/>
        <v>21497.653097211598</v>
      </c>
      <c r="W205" s="97">
        <f t="shared" si="142"/>
        <v>21497.653097211598</v>
      </c>
      <c r="X205" s="97">
        <f t="shared" si="142"/>
        <v>21497.653097211598</v>
      </c>
      <c r="Y205" s="97">
        <f t="shared" si="142"/>
        <v>21497.653097211598</v>
      </c>
      <c r="Z205" s="97">
        <f t="shared" si="142"/>
        <v>21497.653097211598</v>
      </c>
      <c r="AA205" s="97">
        <f t="shared" si="142"/>
        <v>21497.653097211598</v>
      </c>
      <c r="AB205" s="97">
        <f t="shared" si="142"/>
        <v>21497.653097211598</v>
      </c>
      <c r="AC205" s="97">
        <f t="shared" si="142"/>
        <v>21497.653097211598</v>
      </c>
      <c r="AD205" s="97">
        <f t="shared" si="142"/>
        <v>21497.653097211598</v>
      </c>
      <c r="AE205" s="97">
        <f t="shared" si="142"/>
        <v>21497.653097211598</v>
      </c>
      <c r="AF205" s="97">
        <f t="shared" si="142"/>
        <v>21497.653097211598</v>
      </c>
      <c r="AG205" s="97">
        <f t="shared" si="142"/>
        <v>21497.653097211598</v>
      </c>
      <c r="AH205" s="97">
        <f t="shared" si="142"/>
        <v>21497.653097211598</v>
      </c>
      <c r="AI205" s="97">
        <f t="shared" si="142"/>
        <v>21497.653097211598</v>
      </c>
      <c r="AJ205" s="97">
        <f t="shared" si="142"/>
        <v>21497.653097211598</v>
      </c>
      <c r="AK205" s="97">
        <f t="shared" si="142"/>
        <v>21497.653097211598</v>
      </c>
      <c r="AL205" s="97">
        <f t="shared" si="142"/>
        <v>21497.653097211598</v>
      </c>
      <c r="AM205" s="97">
        <f t="shared" si="142"/>
        <v>21497.653097211598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O260</f>
        <v>3926.511981225859</v>
      </c>
      <c r="P206" s="54">
        <f t="shared" ref="P206:AM206" si="143">P260</f>
        <v>11779.535943677589</v>
      </c>
      <c r="Q206" s="54">
        <f t="shared" si="143"/>
        <v>11779.535943677589</v>
      </c>
      <c r="R206" s="54">
        <f t="shared" si="143"/>
        <v>11779.535943677589</v>
      </c>
      <c r="S206" s="54">
        <f t="shared" si="143"/>
        <v>11779.535943677589</v>
      </c>
      <c r="T206" s="54">
        <f t="shared" si="143"/>
        <v>11779.535943677589</v>
      </c>
      <c r="U206" s="54">
        <f t="shared" si="143"/>
        <v>11779.535943677589</v>
      </c>
      <c r="V206" s="54">
        <f t="shared" si="143"/>
        <v>11779.535943677589</v>
      </c>
      <c r="W206" s="54">
        <f t="shared" si="143"/>
        <v>11779.535943677589</v>
      </c>
      <c r="X206" s="54">
        <f t="shared" si="143"/>
        <v>11779.535943677589</v>
      </c>
      <c r="Y206" s="54">
        <f t="shared" si="143"/>
        <v>11779.535943677589</v>
      </c>
      <c r="Z206" s="54">
        <f t="shared" si="143"/>
        <v>11779.535943677589</v>
      </c>
      <c r="AA206" s="54">
        <f t="shared" si="143"/>
        <v>11779.535943677589</v>
      </c>
      <c r="AB206" s="54">
        <f t="shared" si="143"/>
        <v>11779.535943677589</v>
      </c>
      <c r="AC206" s="54">
        <f t="shared" si="143"/>
        <v>11779.535943677589</v>
      </c>
      <c r="AD206" s="54">
        <f t="shared" si="143"/>
        <v>11779.535943677589</v>
      </c>
      <c r="AE206" s="54">
        <f t="shared" si="143"/>
        <v>11779.535943677589</v>
      </c>
      <c r="AF206" s="54">
        <f t="shared" si="143"/>
        <v>11779.535943677589</v>
      </c>
      <c r="AG206" s="54">
        <f t="shared" si="143"/>
        <v>11779.535943677589</v>
      </c>
      <c r="AH206" s="54">
        <f t="shared" si="143"/>
        <v>11779.535943677589</v>
      </c>
      <c r="AI206" s="54">
        <f t="shared" si="143"/>
        <v>11779.535943677589</v>
      </c>
      <c r="AJ206" s="54">
        <f t="shared" si="143"/>
        <v>11779.535943677589</v>
      </c>
      <c r="AK206" s="54">
        <f t="shared" si="143"/>
        <v>11779.535943677589</v>
      </c>
      <c r="AL206" s="54">
        <f t="shared" si="143"/>
        <v>11779.535943677589</v>
      </c>
      <c r="AM206" s="54">
        <f t="shared" si="143"/>
        <v>11779.535943677589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 t="shared" ref="O207:AM207" si="144">IF(O$204="Presumido",O222+O226+O230,O247+O251+O255)</f>
        <v>15077.806007907298</v>
      </c>
      <c r="P207" s="330">
        <f t="shared" si="144"/>
        <v>45233.418023721941</v>
      </c>
      <c r="Q207" s="330">
        <f t="shared" si="144"/>
        <v>45233.418023721941</v>
      </c>
      <c r="R207" s="330">
        <f t="shared" si="144"/>
        <v>45233.418023721941</v>
      </c>
      <c r="S207" s="330">
        <f t="shared" si="144"/>
        <v>45233.418023721941</v>
      </c>
      <c r="T207" s="330">
        <f t="shared" si="144"/>
        <v>45233.418023721941</v>
      </c>
      <c r="U207" s="330">
        <f t="shared" si="144"/>
        <v>45233.418023721941</v>
      </c>
      <c r="V207" s="330">
        <f t="shared" si="144"/>
        <v>45233.418023721941</v>
      </c>
      <c r="W207" s="330">
        <f t="shared" si="144"/>
        <v>45233.418023721941</v>
      </c>
      <c r="X207" s="330">
        <f t="shared" si="144"/>
        <v>45233.418023721941</v>
      </c>
      <c r="Y207" s="330">
        <f t="shared" si="144"/>
        <v>45233.418023721941</v>
      </c>
      <c r="Z207" s="330">
        <f t="shared" si="144"/>
        <v>45233.418023721941</v>
      </c>
      <c r="AA207" s="330">
        <f t="shared" si="144"/>
        <v>45233.418023721941</v>
      </c>
      <c r="AB207" s="330">
        <f t="shared" si="144"/>
        <v>45233.418023721941</v>
      </c>
      <c r="AC207" s="330">
        <f t="shared" si="144"/>
        <v>45233.418023721941</v>
      </c>
      <c r="AD207" s="330">
        <f t="shared" si="144"/>
        <v>45233.418023721941</v>
      </c>
      <c r="AE207" s="330">
        <f t="shared" si="144"/>
        <v>45233.418023721941</v>
      </c>
      <c r="AF207" s="330">
        <f t="shared" si="144"/>
        <v>45233.418023721941</v>
      </c>
      <c r="AG207" s="330">
        <f t="shared" si="144"/>
        <v>45233.418023721941</v>
      </c>
      <c r="AH207" s="330">
        <f t="shared" si="144"/>
        <v>45233.418023721941</v>
      </c>
      <c r="AI207" s="330">
        <f t="shared" si="144"/>
        <v>45233.418023721941</v>
      </c>
      <c r="AJ207" s="330">
        <f t="shared" si="144"/>
        <v>45233.418023721941</v>
      </c>
      <c r="AK207" s="330">
        <f t="shared" si="144"/>
        <v>45233.418023721941</v>
      </c>
      <c r="AL207" s="330">
        <f t="shared" si="144"/>
        <v>45233.418023721941</v>
      </c>
      <c r="AM207" s="330">
        <f t="shared" si="144"/>
        <v>45233.418023721941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f t="shared" ref="O209:AM209" si="145">O211+O222+O226+O230</f>
        <v>22243.690373644491</v>
      </c>
      <c r="P209" s="69">
        <f t="shared" si="145"/>
        <v>66731.071120933542</v>
      </c>
      <c r="Q209" s="69">
        <f t="shared" si="145"/>
        <v>66731.071120933542</v>
      </c>
      <c r="R209" s="69">
        <f t="shared" si="145"/>
        <v>66731.071120933542</v>
      </c>
      <c r="S209" s="69">
        <f t="shared" si="145"/>
        <v>66731.071120933542</v>
      </c>
      <c r="T209" s="69">
        <f t="shared" si="145"/>
        <v>66731.071120933542</v>
      </c>
      <c r="U209" s="69">
        <f t="shared" si="145"/>
        <v>66731.071120933542</v>
      </c>
      <c r="V209" s="69">
        <f t="shared" si="145"/>
        <v>66731.071120933542</v>
      </c>
      <c r="W209" s="69">
        <f t="shared" si="145"/>
        <v>66731.071120933542</v>
      </c>
      <c r="X209" s="69">
        <f t="shared" si="145"/>
        <v>66731.071120933542</v>
      </c>
      <c r="Y209" s="69">
        <f t="shared" si="145"/>
        <v>66731.071120933542</v>
      </c>
      <c r="Z209" s="69">
        <f t="shared" si="145"/>
        <v>66731.071120933542</v>
      </c>
      <c r="AA209" s="69">
        <f t="shared" si="145"/>
        <v>66731.071120933542</v>
      </c>
      <c r="AB209" s="69">
        <f t="shared" si="145"/>
        <v>66731.071120933542</v>
      </c>
      <c r="AC209" s="69">
        <f t="shared" si="145"/>
        <v>66731.071120933542</v>
      </c>
      <c r="AD209" s="69">
        <f t="shared" si="145"/>
        <v>66731.071120933542</v>
      </c>
      <c r="AE209" s="69">
        <f t="shared" si="145"/>
        <v>66731.071120933542</v>
      </c>
      <c r="AF209" s="69">
        <f t="shared" si="145"/>
        <v>66731.071120933542</v>
      </c>
      <c r="AG209" s="69">
        <f t="shared" si="145"/>
        <v>66731.071120933542</v>
      </c>
      <c r="AH209" s="69">
        <f t="shared" si="145"/>
        <v>66731.071120933542</v>
      </c>
      <c r="AI209" s="69">
        <f t="shared" si="145"/>
        <v>66731.071120933542</v>
      </c>
      <c r="AJ209" s="69">
        <f t="shared" si="145"/>
        <v>66731.071120933542</v>
      </c>
      <c r="AK209" s="69">
        <f t="shared" si="145"/>
        <v>66731.071120933542</v>
      </c>
      <c r="AL209" s="69">
        <f t="shared" si="145"/>
        <v>66731.071120933542</v>
      </c>
      <c r="AM209" s="69">
        <f t="shared" si="145"/>
        <v>66731.071120933542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9">
        <f t="shared" ref="O211:AM211" si="146">$I211*(O213-O214)</f>
        <v>7165.8843657371917</v>
      </c>
      <c r="P211" s="109">
        <f t="shared" si="146"/>
        <v>21497.653097211598</v>
      </c>
      <c r="Q211" s="109">
        <f t="shared" si="146"/>
        <v>21497.653097211598</v>
      </c>
      <c r="R211" s="109">
        <f t="shared" si="146"/>
        <v>21497.653097211598</v>
      </c>
      <c r="S211" s="109">
        <f t="shared" si="146"/>
        <v>21497.653097211598</v>
      </c>
      <c r="T211" s="109">
        <f t="shared" si="146"/>
        <v>21497.653097211598</v>
      </c>
      <c r="U211" s="109">
        <f t="shared" si="146"/>
        <v>21497.653097211598</v>
      </c>
      <c r="V211" s="109">
        <f t="shared" si="146"/>
        <v>21497.653097211598</v>
      </c>
      <c r="W211" s="109">
        <f t="shared" si="146"/>
        <v>21497.653097211598</v>
      </c>
      <c r="X211" s="109">
        <f t="shared" si="146"/>
        <v>21497.653097211598</v>
      </c>
      <c r="Y211" s="109">
        <f t="shared" si="146"/>
        <v>21497.653097211598</v>
      </c>
      <c r="Z211" s="109">
        <f t="shared" si="146"/>
        <v>21497.653097211598</v>
      </c>
      <c r="AA211" s="109">
        <f t="shared" si="146"/>
        <v>21497.653097211598</v>
      </c>
      <c r="AB211" s="109">
        <f t="shared" si="146"/>
        <v>21497.653097211598</v>
      </c>
      <c r="AC211" s="109">
        <f t="shared" si="146"/>
        <v>21497.653097211598</v>
      </c>
      <c r="AD211" s="109">
        <f t="shared" si="146"/>
        <v>21497.653097211598</v>
      </c>
      <c r="AE211" s="109">
        <f t="shared" si="146"/>
        <v>21497.653097211598</v>
      </c>
      <c r="AF211" s="109">
        <f t="shared" si="146"/>
        <v>21497.653097211598</v>
      </c>
      <c r="AG211" s="109">
        <f t="shared" si="146"/>
        <v>21497.653097211598</v>
      </c>
      <c r="AH211" s="109">
        <f t="shared" si="146"/>
        <v>21497.653097211598</v>
      </c>
      <c r="AI211" s="109">
        <f t="shared" si="146"/>
        <v>21497.653097211598</v>
      </c>
      <c r="AJ211" s="109">
        <f t="shared" si="146"/>
        <v>21497.653097211598</v>
      </c>
      <c r="AK211" s="109">
        <f t="shared" si="146"/>
        <v>21497.653097211598</v>
      </c>
      <c r="AL211" s="109">
        <f t="shared" si="146"/>
        <v>21497.653097211598</v>
      </c>
      <c r="AM211" s="109">
        <f t="shared" si="146"/>
        <v>21497.653097211598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>$I211*(O213-O214)</f>
        <v>7165.8843657371917</v>
      </c>
      <c r="P212" s="107">
        <f t="shared" ref="P212:AM212" si="147">$I211*(P213-P214)</f>
        <v>21497.653097211598</v>
      </c>
      <c r="Q212" s="107">
        <f t="shared" si="147"/>
        <v>21497.653097211598</v>
      </c>
      <c r="R212" s="107">
        <f t="shared" si="147"/>
        <v>21497.653097211598</v>
      </c>
      <c r="S212" s="107">
        <f t="shared" si="147"/>
        <v>21497.653097211598</v>
      </c>
      <c r="T212" s="107">
        <f t="shared" si="147"/>
        <v>21497.653097211598</v>
      </c>
      <c r="U212" s="107">
        <f t="shared" si="147"/>
        <v>21497.653097211598</v>
      </c>
      <c r="V212" s="107">
        <f t="shared" si="147"/>
        <v>21497.653097211598</v>
      </c>
      <c r="W212" s="107">
        <f t="shared" si="147"/>
        <v>21497.653097211598</v>
      </c>
      <c r="X212" s="107">
        <f t="shared" si="147"/>
        <v>21497.653097211598</v>
      </c>
      <c r="Y212" s="107">
        <f t="shared" si="147"/>
        <v>21497.653097211598</v>
      </c>
      <c r="Z212" s="107">
        <f t="shared" si="147"/>
        <v>21497.653097211598</v>
      </c>
      <c r="AA212" s="107">
        <f t="shared" si="147"/>
        <v>21497.653097211598</v>
      </c>
      <c r="AB212" s="107">
        <f t="shared" si="147"/>
        <v>21497.653097211598</v>
      </c>
      <c r="AC212" s="107">
        <f t="shared" si="147"/>
        <v>21497.653097211598</v>
      </c>
      <c r="AD212" s="107">
        <f t="shared" si="147"/>
        <v>21497.653097211598</v>
      </c>
      <c r="AE212" s="107">
        <f t="shared" si="147"/>
        <v>21497.653097211598</v>
      </c>
      <c r="AF212" s="107">
        <f t="shared" si="147"/>
        <v>21497.653097211598</v>
      </c>
      <c r="AG212" s="107">
        <f t="shared" si="147"/>
        <v>21497.653097211598</v>
      </c>
      <c r="AH212" s="107">
        <f t="shared" si="147"/>
        <v>21497.653097211598</v>
      </c>
      <c r="AI212" s="107">
        <f t="shared" si="147"/>
        <v>21497.653097211598</v>
      </c>
      <c r="AJ212" s="107">
        <f t="shared" si="147"/>
        <v>21497.653097211598</v>
      </c>
      <c r="AK212" s="107">
        <f t="shared" si="147"/>
        <v>21497.653097211598</v>
      </c>
      <c r="AL212" s="107">
        <f t="shared" si="147"/>
        <v>21497.653097211598</v>
      </c>
      <c r="AM212" s="107">
        <f t="shared" si="147"/>
        <v>21497.653097211598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148">O122*$I213</f>
        <v>196325.59906129295</v>
      </c>
      <c r="P213" s="107">
        <f t="shared" si="148"/>
        <v>588976.79718387942</v>
      </c>
      <c r="Q213" s="107">
        <f t="shared" si="148"/>
        <v>588976.79718387942</v>
      </c>
      <c r="R213" s="107">
        <f t="shared" si="148"/>
        <v>588976.79718387942</v>
      </c>
      <c r="S213" s="107">
        <f t="shared" si="148"/>
        <v>588976.79718387942</v>
      </c>
      <c r="T213" s="107">
        <f t="shared" si="148"/>
        <v>588976.79718387942</v>
      </c>
      <c r="U213" s="107">
        <f t="shared" si="148"/>
        <v>588976.79718387942</v>
      </c>
      <c r="V213" s="107">
        <f t="shared" si="148"/>
        <v>588976.79718387942</v>
      </c>
      <c r="W213" s="107">
        <f t="shared" si="148"/>
        <v>588976.79718387942</v>
      </c>
      <c r="X213" s="107">
        <f t="shared" si="148"/>
        <v>588976.79718387942</v>
      </c>
      <c r="Y213" s="107">
        <f t="shared" si="148"/>
        <v>588976.79718387942</v>
      </c>
      <c r="Z213" s="107">
        <f t="shared" si="148"/>
        <v>588976.79718387942</v>
      </c>
      <c r="AA213" s="107">
        <f t="shared" si="148"/>
        <v>588976.79718387942</v>
      </c>
      <c r="AB213" s="107">
        <f t="shared" si="148"/>
        <v>588976.79718387942</v>
      </c>
      <c r="AC213" s="107">
        <f t="shared" si="148"/>
        <v>588976.79718387942</v>
      </c>
      <c r="AD213" s="107">
        <f t="shared" si="148"/>
        <v>588976.79718387942</v>
      </c>
      <c r="AE213" s="107">
        <f t="shared" si="148"/>
        <v>588976.79718387942</v>
      </c>
      <c r="AF213" s="107">
        <f t="shared" si="148"/>
        <v>588976.79718387942</v>
      </c>
      <c r="AG213" s="107">
        <f t="shared" si="148"/>
        <v>588976.79718387942</v>
      </c>
      <c r="AH213" s="107">
        <f t="shared" si="148"/>
        <v>588976.79718387942</v>
      </c>
      <c r="AI213" s="107">
        <f t="shared" si="148"/>
        <v>588976.79718387942</v>
      </c>
      <c r="AJ213" s="107">
        <f t="shared" si="148"/>
        <v>588976.79718387942</v>
      </c>
      <c r="AK213" s="107">
        <f t="shared" si="148"/>
        <v>588976.79718387942</v>
      </c>
      <c r="AL213" s="107">
        <f t="shared" si="148"/>
        <v>588976.79718387942</v>
      </c>
      <c r="AM213" s="107">
        <f t="shared" si="148"/>
        <v>588976.79718387942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149">$I$214*O14</f>
        <v>0</v>
      </c>
      <c r="P214" s="107">
        <f t="shared" si="149"/>
        <v>0</v>
      </c>
      <c r="Q214" s="107">
        <f t="shared" si="149"/>
        <v>0</v>
      </c>
      <c r="R214" s="107">
        <f t="shared" si="149"/>
        <v>0</v>
      </c>
      <c r="S214" s="107">
        <f t="shared" si="149"/>
        <v>0</v>
      </c>
      <c r="T214" s="107">
        <f t="shared" si="149"/>
        <v>0</v>
      </c>
      <c r="U214" s="107">
        <f t="shared" si="149"/>
        <v>0</v>
      </c>
      <c r="V214" s="107">
        <f t="shared" si="149"/>
        <v>0</v>
      </c>
      <c r="W214" s="107">
        <f t="shared" si="149"/>
        <v>0</v>
      </c>
      <c r="X214" s="107">
        <f t="shared" si="149"/>
        <v>0</v>
      </c>
      <c r="Y214" s="107">
        <f t="shared" si="149"/>
        <v>0</v>
      </c>
      <c r="Z214" s="107">
        <f t="shared" si="149"/>
        <v>0</v>
      </c>
      <c r="AA214" s="107">
        <f t="shared" si="149"/>
        <v>0</v>
      </c>
      <c r="AB214" s="107">
        <f t="shared" si="149"/>
        <v>0</v>
      </c>
      <c r="AC214" s="107">
        <f t="shared" si="149"/>
        <v>0</v>
      </c>
      <c r="AD214" s="107">
        <f t="shared" si="149"/>
        <v>0</v>
      </c>
      <c r="AE214" s="107">
        <f t="shared" si="149"/>
        <v>0</v>
      </c>
      <c r="AF214" s="107">
        <f t="shared" si="149"/>
        <v>0</v>
      </c>
      <c r="AG214" s="107">
        <f t="shared" si="149"/>
        <v>0</v>
      </c>
      <c r="AH214" s="107">
        <f t="shared" si="149"/>
        <v>0</v>
      </c>
      <c r="AI214" s="107">
        <f t="shared" si="149"/>
        <v>0</v>
      </c>
      <c r="AJ214" s="107">
        <f t="shared" si="149"/>
        <v>0</v>
      </c>
      <c r="AK214" s="107">
        <f t="shared" si="149"/>
        <v>0</v>
      </c>
      <c r="AL214" s="107">
        <f t="shared" si="149"/>
        <v>0</v>
      </c>
      <c r="AM214" s="107">
        <f t="shared" si="149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150">SUM(O220:AV220)</f>
        <v>4586165.9940718077</v>
      </c>
      <c r="M220" s="1"/>
      <c r="N220" s="1"/>
      <c r="O220" s="142">
        <f t="shared" ref="O220:AM220" si="151">32%*O143</f>
        <v>62824.191699613744</v>
      </c>
      <c r="P220" s="142">
        <f t="shared" si="151"/>
        <v>188472.57509884142</v>
      </c>
      <c r="Q220" s="142">
        <f t="shared" si="151"/>
        <v>188472.57509884142</v>
      </c>
      <c r="R220" s="142">
        <f t="shared" si="151"/>
        <v>188472.57509884142</v>
      </c>
      <c r="S220" s="142">
        <f t="shared" si="151"/>
        <v>188472.57509884142</v>
      </c>
      <c r="T220" s="142">
        <f t="shared" si="151"/>
        <v>188472.57509884142</v>
      </c>
      <c r="U220" s="142">
        <f t="shared" si="151"/>
        <v>188472.57509884142</v>
      </c>
      <c r="V220" s="142">
        <f t="shared" si="151"/>
        <v>188472.57509884142</v>
      </c>
      <c r="W220" s="142">
        <f t="shared" si="151"/>
        <v>188472.57509884142</v>
      </c>
      <c r="X220" s="142">
        <f t="shared" si="151"/>
        <v>188472.57509884142</v>
      </c>
      <c r="Y220" s="142">
        <f t="shared" si="151"/>
        <v>188472.57509884142</v>
      </c>
      <c r="Z220" s="142">
        <f t="shared" si="151"/>
        <v>188472.57509884142</v>
      </c>
      <c r="AA220" s="142">
        <f t="shared" si="151"/>
        <v>188472.57509884142</v>
      </c>
      <c r="AB220" s="142">
        <f t="shared" si="151"/>
        <v>188472.57509884142</v>
      </c>
      <c r="AC220" s="142">
        <f t="shared" si="151"/>
        <v>188472.57509884142</v>
      </c>
      <c r="AD220" s="142">
        <f t="shared" si="151"/>
        <v>188472.57509884142</v>
      </c>
      <c r="AE220" s="142">
        <f t="shared" si="151"/>
        <v>188472.57509884142</v>
      </c>
      <c r="AF220" s="142">
        <f t="shared" si="151"/>
        <v>188472.57509884142</v>
      </c>
      <c r="AG220" s="142">
        <f t="shared" si="151"/>
        <v>188472.57509884142</v>
      </c>
      <c r="AH220" s="142">
        <f t="shared" si="151"/>
        <v>188472.57509884142</v>
      </c>
      <c r="AI220" s="142">
        <f t="shared" si="151"/>
        <v>188472.57509884142</v>
      </c>
      <c r="AJ220" s="142">
        <f t="shared" si="151"/>
        <v>188472.57509884142</v>
      </c>
      <c r="AK220" s="142">
        <f t="shared" si="151"/>
        <v>188472.57509884142</v>
      </c>
      <c r="AL220" s="142">
        <f t="shared" si="151"/>
        <v>188472.57509884142</v>
      </c>
      <c r="AM220" s="142">
        <f t="shared" si="151"/>
        <v>188472.57509884142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 t="shared" ref="O222:AM222" si="152">$I222*(O223-O224)</f>
        <v>9423.6287549420613</v>
      </c>
      <c r="P222" s="109">
        <f t="shared" si="152"/>
        <v>28270.886264826211</v>
      </c>
      <c r="Q222" s="109">
        <f t="shared" si="152"/>
        <v>28270.886264826211</v>
      </c>
      <c r="R222" s="109">
        <f t="shared" si="152"/>
        <v>28270.886264826211</v>
      </c>
      <c r="S222" s="109">
        <f t="shared" si="152"/>
        <v>28270.886264826211</v>
      </c>
      <c r="T222" s="109">
        <f t="shared" si="152"/>
        <v>28270.886264826211</v>
      </c>
      <c r="U222" s="109">
        <f t="shared" si="152"/>
        <v>28270.886264826211</v>
      </c>
      <c r="V222" s="109">
        <f t="shared" si="152"/>
        <v>28270.886264826211</v>
      </c>
      <c r="W222" s="109">
        <f t="shared" si="152"/>
        <v>28270.886264826211</v>
      </c>
      <c r="X222" s="109">
        <f t="shared" si="152"/>
        <v>28270.886264826211</v>
      </c>
      <c r="Y222" s="109">
        <f t="shared" si="152"/>
        <v>28270.886264826211</v>
      </c>
      <c r="Z222" s="109">
        <f t="shared" si="152"/>
        <v>28270.886264826211</v>
      </c>
      <c r="AA222" s="109">
        <f t="shared" si="152"/>
        <v>28270.886264826211</v>
      </c>
      <c r="AB222" s="109">
        <f t="shared" si="152"/>
        <v>28270.886264826211</v>
      </c>
      <c r="AC222" s="109">
        <f t="shared" si="152"/>
        <v>28270.886264826211</v>
      </c>
      <c r="AD222" s="109">
        <f t="shared" si="152"/>
        <v>28270.886264826211</v>
      </c>
      <c r="AE222" s="109">
        <f t="shared" si="152"/>
        <v>28270.886264826211</v>
      </c>
      <c r="AF222" s="109">
        <f t="shared" si="152"/>
        <v>28270.886264826211</v>
      </c>
      <c r="AG222" s="109">
        <f t="shared" si="152"/>
        <v>28270.886264826211</v>
      </c>
      <c r="AH222" s="109">
        <f t="shared" si="152"/>
        <v>28270.886264826211</v>
      </c>
      <c r="AI222" s="109">
        <f t="shared" si="152"/>
        <v>28270.886264826211</v>
      </c>
      <c r="AJ222" s="109">
        <f t="shared" si="152"/>
        <v>28270.886264826211</v>
      </c>
      <c r="AK222" s="109">
        <f t="shared" si="152"/>
        <v>28270.886264826211</v>
      </c>
      <c r="AL222" s="109">
        <f t="shared" si="152"/>
        <v>28270.886264826211</v>
      </c>
      <c r="AM222" s="109">
        <f t="shared" si="152"/>
        <v>28270.886264826211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153">O220</f>
        <v>62824.191699613744</v>
      </c>
      <c r="P223" s="107">
        <f t="shared" si="153"/>
        <v>188472.57509884142</v>
      </c>
      <c r="Q223" s="107">
        <f t="shared" si="153"/>
        <v>188472.57509884142</v>
      </c>
      <c r="R223" s="107">
        <f t="shared" si="153"/>
        <v>188472.57509884142</v>
      </c>
      <c r="S223" s="107">
        <f t="shared" si="153"/>
        <v>188472.57509884142</v>
      </c>
      <c r="T223" s="107">
        <f t="shared" si="153"/>
        <v>188472.57509884142</v>
      </c>
      <c r="U223" s="107">
        <f t="shared" si="153"/>
        <v>188472.57509884142</v>
      </c>
      <c r="V223" s="107">
        <f t="shared" si="153"/>
        <v>188472.57509884142</v>
      </c>
      <c r="W223" s="107">
        <f t="shared" si="153"/>
        <v>188472.57509884142</v>
      </c>
      <c r="X223" s="107">
        <f t="shared" si="153"/>
        <v>188472.57509884142</v>
      </c>
      <c r="Y223" s="107">
        <f t="shared" si="153"/>
        <v>188472.57509884142</v>
      </c>
      <c r="Z223" s="107">
        <f t="shared" si="153"/>
        <v>188472.57509884142</v>
      </c>
      <c r="AA223" s="107">
        <f t="shared" si="153"/>
        <v>188472.57509884142</v>
      </c>
      <c r="AB223" s="107">
        <f t="shared" si="153"/>
        <v>188472.57509884142</v>
      </c>
      <c r="AC223" s="107">
        <f t="shared" si="153"/>
        <v>188472.57509884142</v>
      </c>
      <c r="AD223" s="107">
        <f t="shared" si="153"/>
        <v>188472.57509884142</v>
      </c>
      <c r="AE223" s="107">
        <f t="shared" si="153"/>
        <v>188472.57509884142</v>
      </c>
      <c r="AF223" s="107">
        <f t="shared" si="153"/>
        <v>188472.57509884142</v>
      </c>
      <c r="AG223" s="107">
        <f t="shared" si="153"/>
        <v>188472.57509884142</v>
      </c>
      <c r="AH223" s="107">
        <f t="shared" si="153"/>
        <v>188472.57509884142</v>
      </c>
      <c r="AI223" s="107">
        <f t="shared" si="153"/>
        <v>188472.57509884142</v>
      </c>
      <c r="AJ223" s="107">
        <f t="shared" si="153"/>
        <v>188472.57509884142</v>
      </c>
      <c r="AK223" s="107">
        <f t="shared" si="153"/>
        <v>188472.57509884142</v>
      </c>
      <c r="AL223" s="107">
        <f t="shared" si="153"/>
        <v>188472.57509884142</v>
      </c>
      <c r="AM223" s="107">
        <f t="shared" si="153"/>
        <v>188472.57509884142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154">$I224</f>
        <v>0</v>
      </c>
      <c r="P224" s="107">
        <f t="shared" si="154"/>
        <v>0</v>
      </c>
      <c r="Q224" s="107">
        <f t="shared" si="154"/>
        <v>0</v>
      </c>
      <c r="R224" s="107">
        <f t="shared" si="154"/>
        <v>0</v>
      </c>
      <c r="S224" s="107">
        <f t="shared" si="154"/>
        <v>0</v>
      </c>
      <c r="T224" s="107">
        <f t="shared" si="154"/>
        <v>0</v>
      </c>
      <c r="U224" s="107">
        <f t="shared" si="154"/>
        <v>0</v>
      </c>
      <c r="V224" s="107">
        <f t="shared" si="154"/>
        <v>0</v>
      </c>
      <c r="W224" s="107">
        <f t="shared" si="154"/>
        <v>0</v>
      </c>
      <c r="X224" s="107">
        <f t="shared" si="154"/>
        <v>0</v>
      </c>
      <c r="Y224" s="107">
        <f t="shared" si="154"/>
        <v>0</v>
      </c>
      <c r="Z224" s="107">
        <f t="shared" si="154"/>
        <v>0</v>
      </c>
      <c r="AA224" s="107">
        <f t="shared" si="154"/>
        <v>0</v>
      </c>
      <c r="AB224" s="107">
        <f t="shared" si="154"/>
        <v>0</v>
      </c>
      <c r="AC224" s="107">
        <f t="shared" si="154"/>
        <v>0</v>
      </c>
      <c r="AD224" s="107">
        <f t="shared" si="154"/>
        <v>0</v>
      </c>
      <c r="AE224" s="107">
        <f t="shared" si="154"/>
        <v>0</v>
      </c>
      <c r="AF224" s="107">
        <f t="shared" si="154"/>
        <v>0</v>
      </c>
      <c r="AG224" s="107">
        <f t="shared" si="154"/>
        <v>0</v>
      </c>
      <c r="AH224" s="107">
        <f t="shared" si="154"/>
        <v>0</v>
      </c>
      <c r="AI224" s="107">
        <f t="shared" si="154"/>
        <v>0</v>
      </c>
      <c r="AJ224" s="107">
        <f t="shared" si="154"/>
        <v>0</v>
      </c>
      <c r="AK224" s="107">
        <f t="shared" si="154"/>
        <v>0</v>
      </c>
      <c r="AL224" s="107">
        <f t="shared" si="154"/>
        <v>0</v>
      </c>
      <c r="AM224" s="107">
        <f t="shared" si="154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 t="shared" ref="O226:AM226" si="155">MAX($I226*(O227-O228),0)</f>
        <v>0</v>
      </c>
      <c r="P226" s="109">
        <f t="shared" si="155"/>
        <v>0</v>
      </c>
      <c r="Q226" s="109">
        <f t="shared" si="155"/>
        <v>0</v>
      </c>
      <c r="R226" s="109">
        <f t="shared" si="155"/>
        <v>0</v>
      </c>
      <c r="S226" s="109">
        <f t="shared" si="155"/>
        <v>0</v>
      </c>
      <c r="T226" s="109">
        <f t="shared" si="155"/>
        <v>0</v>
      </c>
      <c r="U226" s="109">
        <f t="shared" si="155"/>
        <v>0</v>
      </c>
      <c r="V226" s="109">
        <f t="shared" si="155"/>
        <v>0</v>
      </c>
      <c r="W226" s="109">
        <f t="shared" si="155"/>
        <v>0</v>
      </c>
      <c r="X226" s="109">
        <f t="shared" si="155"/>
        <v>0</v>
      </c>
      <c r="Y226" s="109">
        <f t="shared" si="155"/>
        <v>0</v>
      </c>
      <c r="Z226" s="109">
        <f t="shared" si="155"/>
        <v>0</v>
      </c>
      <c r="AA226" s="109">
        <f t="shared" si="155"/>
        <v>0</v>
      </c>
      <c r="AB226" s="109">
        <f t="shared" si="155"/>
        <v>0</v>
      </c>
      <c r="AC226" s="109">
        <f t="shared" si="155"/>
        <v>0</v>
      </c>
      <c r="AD226" s="109">
        <f t="shared" si="155"/>
        <v>0</v>
      </c>
      <c r="AE226" s="109">
        <f t="shared" si="155"/>
        <v>0</v>
      </c>
      <c r="AF226" s="109">
        <f t="shared" si="155"/>
        <v>0</v>
      </c>
      <c r="AG226" s="109">
        <f t="shared" si="155"/>
        <v>0</v>
      </c>
      <c r="AH226" s="109">
        <f t="shared" si="155"/>
        <v>0</v>
      </c>
      <c r="AI226" s="109">
        <f t="shared" si="155"/>
        <v>0</v>
      </c>
      <c r="AJ226" s="109">
        <f t="shared" si="155"/>
        <v>0</v>
      </c>
      <c r="AK226" s="109">
        <f t="shared" si="155"/>
        <v>0</v>
      </c>
      <c r="AL226" s="109">
        <f t="shared" si="155"/>
        <v>0</v>
      </c>
      <c r="AM226" s="109">
        <f t="shared" si="155"/>
        <v>0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156">O220</f>
        <v>62824.191699613744</v>
      </c>
      <c r="P227" s="107">
        <f t="shared" si="156"/>
        <v>188472.57509884142</v>
      </c>
      <c r="Q227" s="107">
        <f t="shared" si="156"/>
        <v>188472.57509884142</v>
      </c>
      <c r="R227" s="107">
        <f t="shared" si="156"/>
        <v>188472.57509884142</v>
      </c>
      <c r="S227" s="107">
        <f t="shared" si="156"/>
        <v>188472.57509884142</v>
      </c>
      <c r="T227" s="107">
        <f t="shared" si="156"/>
        <v>188472.57509884142</v>
      </c>
      <c r="U227" s="107">
        <f t="shared" si="156"/>
        <v>188472.57509884142</v>
      </c>
      <c r="V227" s="107">
        <f t="shared" si="156"/>
        <v>188472.57509884142</v>
      </c>
      <c r="W227" s="107">
        <f t="shared" si="156"/>
        <v>188472.57509884142</v>
      </c>
      <c r="X227" s="107">
        <f t="shared" si="156"/>
        <v>188472.57509884142</v>
      </c>
      <c r="Y227" s="107">
        <f t="shared" si="156"/>
        <v>188472.57509884142</v>
      </c>
      <c r="Z227" s="107">
        <f t="shared" si="156"/>
        <v>188472.57509884142</v>
      </c>
      <c r="AA227" s="107">
        <f t="shared" si="156"/>
        <v>188472.57509884142</v>
      </c>
      <c r="AB227" s="107">
        <f t="shared" si="156"/>
        <v>188472.57509884142</v>
      </c>
      <c r="AC227" s="107">
        <f t="shared" si="156"/>
        <v>188472.57509884142</v>
      </c>
      <c r="AD227" s="107">
        <f t="shared" si="156"/>
        <v>188472.57509884142</v>
      </c>
      <c r="AE227" s="107">
        <f t="shared" si="156"/>
        <v>188472.57509884142</v>
      </c>
      <c r="AF227" s="107">
        <f t="shared" si="156"/>
        <v>188472.57509884142</v>
      </c>
      <c r="AG227" s="107">
        <f t="shared" si="156"/>
        <v>188472.57509884142</v>
      </c>
      <c r="AH227" s="107">
        <f t="shared" si="156"/>
        <v>188472.57509884142</v>
      </c>
      <c r="AI227" s="107">
        <f t="shared" si="156"/>
        <v>188472.57509884142</v>
      </c>
      <c r="AJ227" s="107">
        <f t="shared" si="156"/>
        <v>188472.57509884142</v>
      </c>
      <c r="AK227" s="107">
        <f t="shared" si="156"/>
        <v>188472.57509884142</v>
      </c>
      <c r="AL227" s="107">
        <f t="shared" si="156"/>
        <v>188472.57509884142</v>
      </c>
      <c r="AM227" s="107">
        <f t="shared" si="156"/>
        <v>188472.57509884142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157">$I228</f>
        <v>240000</v>
      </c>
      <c r="P228" s="107">
        <f t="shared" si="157"/>
        <v>240000</v>
      </c>
      <c r="Q228" s="107">
        <f t="shared" si="157"/>
        <v>240000</v>
      </c>
      <c r="R228" s="107">
        <f t="shared" si="157"/>
        <v>240000</v>
      </c>
      <c r="S228" s="107">
        <f t="shared" si="157"/>
        <v>240000</v>
      </c>
      <c r="T228" s="107">
        <f t="shared" si="157"/>
        <v>240000</v>
      </c>
      <c r="U228" s="107">
        <f t="shared" si="157"/>
        <v>240000</v>
      </c>
      <c r="V228" s="107">
        <f t="shared" si="157"/>
        <v>240000</v>
      </c>
      <c r="W228" s="107">
        <f t="shared" si="157"/>
        <v>240000</v>
      </c>
      <c r="X228" s="107">
        <f t="shared" si="157"/>
        <v>240000</v>
      </c>
      <c r="Y228" s="107">
        <f t="shared" si="157"/>
        <v>240000</v>
      </c>
      <c r="Z228" s="107">
        <f t="shared" si="157"/>
        <v>240000</v>
      </c>
      <c r="AA228" s="107">
        <f t="shared" si="157"/>
        <v>240000</v>
      </c>
      <c r="AB228" s="107">
        <f t="shared" si="157"/>
        <v>240000</v>
      </c>
      <c r="AC228" s="107">
        <f t="shared" si="157"/>
        <v>240000</v>
      </c>
      <c r="AD228" s="107">
        <f t="shared" si="157"/>
        <v>240000</v>
      </c>
      <c r="AE228" s="107">
        <f t="shared" si="157"/>
        <v>240000</v>
      </c>
      <c r="AF228" s="107">
        <f t="shared" si="157"/>
        <v>240000</v>
      </c>
      <c r="AG228" s="107">
        <f t="shared" si="157"/>
        <v>240000</v>
      </c>
      <c r="AH228" s="107">
        <f t="shared" si="157"/>
        <v>240000</v>
      </c>
      <c r="AI228" s="107">
        <f t="shared" si="157"/>
        <v>240000</v>
      </c>
      <c r="AJ228" s="107">
        <f t="shared" si="157"/>
        <v>240000</v>
      </c>
      <c r="AK228" s="107">
        <f t="shared" si="157"/>
        <v>240000</v>
      </c>
      <c r="AL228" s="107">
        <f t="shared" si="157"/>
        <v>240000</v>
      </c>
      <c r="AM228" s="107">
        <f t="shared" si="157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MAX($I230*(O231-O232),0)</f>
        <v>5654.1772529652371</v>
      </c>
      <c r="P230" s="109">
        <f t="shared" ref="P230:AM230" si="158">$I230*(P231-P232)</f>
        <v>16962.531758895726</v>
      </c>
      <c r="Q230" s="109">
        <f t="shared" si="158"/>
        <v>16962.531758895726</v>
      </c>
      <c r="R230" s="109">
        <f t="shared" si="158"/>
        <v>16962.531758895726</v>
      </c>
      <c r="S230" s="109">
        <f t="shared" si="158"/>
        <v>16962.531758895726</v>
      </c>
      <c r="T230" s="109">
        <f t="shared" si="158"/>
        <v>16962.531758895726</v>
      </c>
      <c r="U230" s="109">
        <f t="shared" si="158"/>
        <v>16962.531758895726</v>
      </c>
      <c r="V230" s="109">
        <f t="shared" si="158"/>
        <v>16962.531758895726</v>
      </c>
      <c r="W230" s="109">
        <f t="shared" si="158"/>
        <v>16962.531758895726</v>
      </c>
      <c r="X230" s="109">
        <f t="shared" si="158"/>
        <v>16962.531758895726</v>
      </c>
      <c r="Y230" s="109">
        <f t="shared" si="158"/>
        <v>16962.531758895726</v>
      </c>
      <c r="Z230" s="109">
        <f t="shared" si="158"/>
        <v>16962.531758895726</v>
      </c>
      <c r="AA230" s="109">
        <f t="shared" si="158"/>
        <v>16962.531758895726</v>
      </c>
      <c r="AB230" s="109">
        <f t="shared" si="158"/>
        <v>16962.531758895726</v>
      </c>
      <c r="AC230" s="109">
        <f t="shared" si="158"/>
        <v>16962.531758895726</v>
      </c>
      <c r="AD230" s="109">
        <f t="shared" si="158"/>
        <v>16962.531758895726</v>
      </c>
      <c r="AE230" s="109">
        <f t="shared" si="158"/>
        <v>16962.531758895726</v>
      </c>
      <c r="AF230" s="109">
        <f t="shared" si="158"/>
        <v>16962.531758895726</v>
      </c>
      <c r="AG230" s="109">
        <f t="shared" si="158"/>
        <v>16962.531758895726</v>
      </c>
      <c r="AH230" s="109">
        <f t="shared" si="158"/>
        <v>16962.531758895726</v>
      </c>
      <c r="AI230" s="109">
        <f t="shared" si="158"/>
        <v>16962.531758895726</v>
      </c>
      <c r="AJ230" s="109">
        <f t="shared" si="158"/>
        <v>16962.531758895726</v>
      </c>
      <c r="AK230" s="109">
        <f t="shared" si="158"/>
        <v>16962.531758895726</v>
      </c>
      <c r="AL230" s="109">
        <f t="shared" si="158"/>
        <v>16962.531758895726</v>
      </c>
      <c r="AM230" s="109">
        <f t="shared" si="158"/>
        <v>16962.531758895726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159">O220</f>
        <v>62824.191699613744</v>
      </c>
      <c r="P231" s="107">
        <f t="shared" si="159"/>
        <v>188472.57509884142</v>
      </c>
      <c r="Q231" s="107">
        <f t="shared" si="159"/>
        <v>188472.57509884142</v>
      </c>
      <c r="R231" s="107">
        <f t="shared" si="159"/>
        <v>188472.57509884142</v>
      </c>
      <c r="S231" s="107">
        <f t="shared" si="159"/>
        <v>188472.57509884142</v>
      </c>
      <c r="T231" s="107">
        <f t="shared" si="159"/>
        <v>188472.57509884142</v>
      </c>
      <c r="U231" s="107">
        <f t="shared" si="159"/>
        <v>188472.57509884142</v>
      </c>
      <c r="V231" s="107">
        <f t="shared" si="159"/>
        <v>188472.57509884142</v>
      </c>
      <c r="W231" s="107">
        <f t="shared" si="159"/>
        <v>188472.57509884142</v>
      </c>
      <c r="X231" s="107">
        <f t="shared" si="159"/>
        <v>188472.57509884142</v>
      </c>
      <c r="Y231" s="107">
        <f t="shared" si="159"/>
        <v>188472.57509884142</v>
      </c>
      <c r="Z231" s="107">
        <f t="shared" si="159"/>
        <v>188472.57509884142</v>
      </c>
      <c r="AA231" s="107">
        <f t="shared" si="159"/>
        <v>188472.57509884142</v>
      </c>
      <c r="AB231" s="107">
        <f t="shared" si="159"/>
        <v>188472.57509884142</v>
      </c>
      <c r="AC231" s="107">
        <f t="shared" si="159"/>
        <v>188472.57509884142</v>
      </c>
      <c r="AD231" s="107">
        <f t="shared" si="159"/>
        <v>188472.57509884142</v>
      </c>
      <c r="AE231" s="107">
        <f t="shared" si="159"/>
        <v>188472.57509884142</v>
      </c>
      <c r="AF231" s="107">
        <f t="shared" si="159"/>
        <v>188472.57509884142</v>
      </c>
      <c r="AG231" s="107">
        <f t="shared" si="159"/>
        <v>188472.57509884142</v>
      </c>
      <c r="AH231" s="107">
        <f t="shared" si="159"/>
        <v>188472.57509884142</v>
      </c>
      <c r="AI231" s="107">
        <f t="shared" si="159"/>
        <v>188472.57509884142</v>
      </c>
      <c r="AJ231" s="107">
        <f t="shared" si="159"/>
        <v>188472.57509884142</v>
      </c>
      <c r="AK231" s="107">
        <f t="shared" si="159"/>
        <v>188472.57509884142</v>
      </c>
      <c r="AL231" s="107">
        <f t="shared" si="159"/>
        <v>188472.57509884142</v>
      </c>
      <c r="AM231" s="107">
        <f t="shared" si="159"/>
        <v>188472.57509884142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160">$I232</f>
        <v>0</v>
      </c>
      <c r="P232" s="107">
        <f t="shared" si="160"/>
        <v>0</v>
      </c>
      <c r="Q232" s="107">
        <f t="shared" si="160"/>
        <v>0</v>
      </c>
      <c r="R232" s="107">
        <f t="shared" si="160"/>
        <v>0</v>
      </c>
      <c r="S232" s="107">
        <f t="shared" si="160"/>
        <v>0</v>
      </c>
      <c r="T232" s="107">
        <f t="shared" si="160"/>
        <v>0</v>
      </c>
      <c r="U232" s="107">
        <f t="shared" si="160"/>
        <v>0</v>
      </c>
      <c r="V232" s="107">
        <f t="shared" si="160"/>
        <v>0</v>
      </c>
      <c r="W232" s="107">
        <f t="shared" si="160"/>
        <v>0</v>
      </c>
      <c r="X232" s="107">
        <f t="shared" si="160"/>
        <v>0</v>
      </c>
      <c r="Y232" s="107">
        <f t="shared" si="160"/>
        <v>0</v>
      </c>
      <c r="Z232" s="107">
        <f t="shared" si="160"/>
        <v>0</v>
      </c>
      <c r="AA232" s="107">
        <f t="shared" si="160"/>
        <v>0</v>
      </c>
      <c r="AB232" s="107">
        <f t="shared" si="160"/>
        <v>0</v>
      </c>
      <c r="AC232" s="107">
        <f t="shared" si="160"/>
        <v>0</v>
      </c>
      <c r="AD232" s="107">
        <f t="shared" si="160"/>
        <v>0</v>
      </c>
      <c r="AE232" s="107">
        <f t="shared" si="160"/>
        <v>0</v>
      </c>
      <c r="AF232" s="107">
        <f t="shared" si="160"/>
        <v>0</v>
      </c>
      <c r="AG232" s="107">
        <f t="shared" si="160"/>
        <v>0</v>
      </c>
      <c r="AH232" s="107">
        <f t="shared" si="160"/>
        <v>0</v>
      </c>
      <c r="AI232" s="107">
        <f t="shared" si="160"/>
        <v>0</v>
      </c>
      <c r="AJ232" s="107">
        <f t="shared" si="160"/>
        <v>0</v>
      </c>
      <c r="AK232" s="107">
        <f t="shared" si="160"/>
        <v>0</v>
      </c>
      <c r="AL232" s="107">
        <f t="shared" si="160"/>
        <v>0</v>
      </c>
      <c r="AM232" s="107">
        <f t="shared" si="160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35702.874217253629</v>
      </c>
      <c r="P234" s="329">
        <f t="shared" ref="P234:AM234" si="161">P236+P247+P251+P255</f>
        <v>157301.04112421244</v>
      </c>
      <c r="Q234" s="329">
        <f t="shared" si="161"/>
        <v>154357.10672866294</v>
      </c>
      <c r="R234" s="329">
        <f t="shared" si="161"/>
        <v>157309.13145674276</v>
      </c>
      <c r="S234" s="329">
        <f t="shared" si="161"/>
        <v>157245.4325259433</v>
      </c>
      <c r="T234" s="329">
        <f t="shared" si="161"/>
        <v>154436.98632452305</v>
      </c>
      <c r="U234" s="329">
        <f t="shared" si="161"/>
        <v>157253.52285847359</v>
      </c>
      <c r="V234" s="329">
        <f t="shared" si="161"/>
        <v>154445.07665705337</v>
      </c>
      <c r="W234" s="329">
        <f t="shared" si="161"/>
        <v>157261.61319100391</v>
      </c>
      <c r="X234" s="329">
        <f t="shared" si="161"/>
        <v>157333.40245433373</v>
      </c>
      <c r="Y234" s="329">
        <f t="shared" si="161"/>
        <v>154389.46805878423</v>
      </c>
      <c r="Z234" s="329">
        <f t="shared" si="161"/>
        <v>157341.49278686402</v>
      </c>
      <c r="AA234" s="329">
        <f t="shared" si="161"/>
        <v>154397.55839131452</v>
      </c>
      <c r="AB234" s="329">
        <f t="shared" si="161"/>
        <v>157349.58311939434</v>
      </c>
      <c r="AC234" s="329">
        <f t="shared" si="161"/>
        <v>157285.88418859488</v>
      </c>
      <c r="AD234" s="329">
        <f t="shared" si="161"/>
        <v>154477.43798717466</v>
      </c>
      <c r="AE234" s="329">
        <f t="shared" si="161"/>
        <v>157293.9745211252</v>
      </c>
      <c r="AF234" s="329">
        <f t="shared" si="161"/>
        <v>154485.52831970496</v>
      </c>
      <c r="AG234" s="329">
        <f t="shared" si="161"/>
        <v>157302.06485365552</v>
      </c>
      <c r="AH234" s="329">
        <f t="shared" si="161"/>
        <v>157373.85411698528</v>
      </c>
      <c r="AI234" s="329">
        <f t="shared" si="161"/>
        <v>154429.91972143581</v>
      </c>
      <c r="AJ234" s="329">
        <f t="shared" si="161"/>
        <v>157381.94444951561</v>
      </c>
      <c r="AK234" s="329">
        <f t="shared" si="161"/>
        <v>154438.01005396614</v>
      </c>
      <c r="AL234" s="329">
        <f t="shared" si="161"/>
        <v>157390.03478204593</v>
      </c>
      <c r="AM234" s="329">
        <f t="shared" si="161"/>
        <v>161129.52798082697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f t="shared" ref="O236:AM236" si="162">$I236*(O237+O238)</f>
        <v>6282.4670482012034</v>
      </c>
      <c r="P236" s="109">
        <f t="shared" si="162"/>
        <v>35855.14267743942</v>
      </c>
      <c r="Q236" s="109">
        <f t="shared" si="162"/>
        <v>35240.685108425081</v>
      </c>
      <c r="R236" s="109">
        <f t="shared" si="162"/>
        <v>35867.400757030809</v>
      </c>
      <c r="S236" s="109">
        <f t="shared" si="162"/>
        <v>35770.887225516475</v>
      </c>
      <c r="T236" s="109">
        <f t="shared" si="162"/>
        <v>35361.714799122201</v>
      </c>
      <c r="U236" s="109">
        <f t="shared" si="162"/>
        <v>35783.145305107864</v>
      </c>
      <c r="V236" s="109">
        <f t="shared" si="162"/>
        <v>35373.972878713597</v>
      </c>
      <c r="W236" s="109">
        <f t="shared" si="162"/>
        <v>35795.403384699253</v>
      </c>
      <c r="X236" s="109">
        <f t="shared" si="162"/>
        <v>35904.174995804984</v>
      </c>
      <c r="Y236" s="109">
        <f t="shared" si="162"/>
        <v>35289.717426790638</v>
      </c>
      <c r="Z236" s="109">
        <f t="shared" si="162"/>
        <v>35916.433075396373</v>
      </c>
      <c r="AA236" s="109">
        <f t="shared" si="162"/>
        <v>35301.975506382034</v>
      </c>
      <c r="AB236" s="109">
        <f t="shared" si="162"/>
        <v>35928.691154987755</v>
      </c>
      <c r="AC236" s="109">
        <f t="shared" si="162"/>
        <v>35832.177623473421</v>
      </c>
      <c r="AD236" s="109">
        <f t="shared" si="162"/>
        <v>35423.005197079154</v>
      </c>
      <c r="AE236" s="109">
        <f t="shared" si="162"/>
        <v>35844.435703064817</v>
      </c>
      <c r="AF236" s="109">
        <f t="shared" si="162"/>
        <v>35435.263276670536</v>
      </c>
      <c r="AG236" s="109">
        <f t="shared" si="162"/>
        <v>35856.693782656206</v>
      </c>
      <c r="AH236" s="109">
        <f t="shared" si="162"/>
        <v>35965.46539376193</v>
      </c>
      <c r="AI236" s="109">
        <f t="shared" si="162"/>
        <v>35351.00782474759</v>
      </c>
      <c r="AJ236" s="109">
        <f t="shared" si="162"/>
        <v>35977.723473353319</v>
      </c>
      <c r="AK236" s="109">
        <f t="shared" si="162"/>
        <v>35363.265904338987</v>
      </c>
      <c r="AL236" s="109">
        <f t="shared" si="162"/>
        <v>35989.981552944701</v>
      </c>
      <c r="AM236" s="109">
        <f t="shared" si="162"/>
        <v>37160.092435071478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f t="shared" ref="O237:AM237" si="163">O122*$I237</f>
        <v>196325.59906129295</v>
      </c>
      <c r="P237" s="107">
        <f t="shared" si="163"/>
        <v>588976.79718387942</v>
      </c>
      <c r="Q237" s="107">
        <f t="shared" si="163"/>
        <v>588976.79718387942</v>
      </c>
      <c r="R237" s="107">
        <f t="shared" si="163"/>
        <v>588976.79718387942</v>
      </c>
      <c r="S237" s="107">
        <f t="shared" si="163"/>
        <v>588976.79718387942</v>
      </c>
      <c r="T237" s="107">
        <f t="shared" si="163"/>
        <v>588976.79718387942</v>
      </c>
      <c r="U237" s="107">
        <f t="shared" si="163"/>
        <v>588976.79718387942</v>
      </c>
      <c r="V237" s="107">
        <f t="shared" si="163"/>
        <v>588976.79718387942</v>
      </c>
      <c r="W237" s="107">
        <f t="shared" si="163"/>
        <v>588976.79718387942</v>
      </c>
      <c r="X237" s="107">
        <f t="shared" si="163"/>
        <v>588976.79718387942</v>
      </c>
      <c r="Y237" s="107">
        <f t="shared" si="163"/>
        <v>588976.79718387942</v>
      </c>
      <c r="Z237" s="107">
        <f t="shared" si="163"/>
        <v>588976.79718387942</v>
      </c>
      <c r="AA237" s="107">
        <f t="shared" si="163"/>
        <v>588976.79718387942</v>
      </c>
      <c r="AB237" s="107">
        <f t="shared" si="163"/>
        <v>588976.79718387942</v>
      </c>
      <c r="AC237" s="107">
        <f t="shared" si="163"/>
        <v>588976.79718387942</v>
      </c>
      <c r="AD237" s="107">
        <f t="shared" si="163"/>
        <v>588976.79718387942</v>
      </c>
      <c r="AE237" s="107">
        <f t="shared" si="163"/>
        <v>588976.79718387942</v>
      </c>
      <c r="AF237" s="107">
        <f t="shared" si="163"/>
        <v>588976.79718387942</v>
      </c>
      <c r="AG237" s="107">
        <f t="shared" si="163"/>
        <v>588976.79718387942</v>
      </c>
      <c r="AH237" s="107">
        <f t="shared" si="163"/>
        <v>588976.79718387942</v>
      </c>
      <c r="AI237" s="107">
        <f t="shared" si="163"/>
        <v>588976.79718387942</v>
      </c>
      <c r="AJ237" s="107">
        <f t="shared" si="163"/>
        <v>588976.79718387942</v>
      </c>
      <c r="AK237" s="107">
        <f t="shared" si="163"/>
        <v>588976.79718387942</v>
      </c>
      <c r="AL237" s="107">
        <f t="shared" si="163"/>
        <v>588976.79718387942</v>
      </c>
      <c r="AM237" s="107">
        <f t="shared" si="163"/>
        <v>588976.79718387942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f t="shared" ref="O238:AM238" si="164">$I$238*O106</f>
        <v>-128407.03637803669</v>
      </c>
      <c r="P238" s="107">
        <f t="shared" si="164"/>
        <v>-201353.63310345326</v>
      </c>
      <c r="Q238" s="107">
        <f t="shared" si="164"/>
        <v>-207996.41763333796</v>
      </c>
      <c r="R238" s="107">
        <f t="shared" si="164"/>
        <v>-201221.11332408688</v>
      </c>
      <c r="S238" s="107">
        <f t="shared" si="164"/>
        <v>-202264.50285397159</v>
      </c>
      <c r="T238" s="107">
        <f t="shared" si="164"/>
        <v>-206687.98854472046</v>
      </c>
      <c r="U238" s="107">
        <f t="shared" si="164"/>
        <v>-202131.98307460523</v>
      </c>
      <c r="V238" s="107">
        <f t="shared" si="164"/>
        <v>-206555.46876535408</v>
      </c>
      <c r="W238" s="107">
        <f t="shared" si="164"/>
        <v>-201999.46329523885</v>
      </c>
      <c r="X238" s="107">
        <f t="shared" si="164"/>
        <v>-200823.55398598773</v>
      </c>
      <c r="Y238" s="107">
        <f t="shared" si="164"/>
        <v>-207466.33851587249</v>
      </c>
      <c r="Z238" s="107">
        <f t="shared" si="164"/>
        <v>-200691.03420662135</v>
      </c>
      <c r="AA238" s="107">
        <f t="shared" si="164"/>
        <v>-207333.8187365061</v>
      </c>
      <c r="AB238" s="107">
        <f t="shared" si="164"/>
        <v>-200558.514427255</v>
      </c>
      <c r="AC238" s="107">
        <f t="shared" si="164"/>
        <v>-201601.90395713976</v>
      </c>
      <c r="AD238" s="107">
        <f t="shared" si="164"/>
        <v>-206025.3896478886</v>
      </c>
      <c r="AE238" s="107">
        <f t="shared" si="164"/>
        <v>-201469.38417777332</v>
      </c>
      <c r="AF238" s="107">
        <f t="shared" si="164"/>
        <v>-205892.86986852225</v>
      </c>
      <c r="AG238" s="107">
        <f t="shared" si="164"/>
        <v>-201336.86439840696</v>
      </c>
      <c r="AH238" s="107">
        <f t="shared" si="164"/>
        <v>-200160.95508915588</v>
      </c>
      <c r="AI238" s="107">
        <f t="shared" si="164"/>
        <v>-206803.73961904057</v>
      </c>
      <c r="AJ238" s="107">
        <f t="shared" si="164"/>
        <v>-200028.43530978952</v>
      </c>
      <c r="AK238" s="107">
        <f t="shared" si="164"/>
        <v>-206671.21983967422</v>
      </c>
      <c r="AL238" s="107">
        <f t="shared" si="164"/>
        <v>-199895.91553042317</v>
      </c>
      <c r="AM238" s="107">
        <f t="shared" si="164"/>
        <v>-187246.06815607968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165">N243</f>
        <v>0</v>
      </c>
      <c r="P240" s="109">
        <f t="shared" si="165"/>
        <v>128407.03637803669</v>
      </c>
      <c r="Q240" s="109">
        <f t="shared" si="165"/>
        <v>256655.10467991163</v>
      </c>
      <c r="R240" s="109">
        <f t="shared" si="165"/>
        <v>390931.49994265696</v>
      </c>
      <c r="S240" s="109">
        <f t="shared" si="165"/>
        <v>519059.30654475698</v>
      </c>
      <c r="T240" s="109">
        <f t="shared" si="165"/>
        <v>648133.98914522736</v>
      </c>
      <c r="U240" s="109">
        <f t="shared" si="165"/>
        <v>781222.98501005233</v>
      </c>
      <c r="V240" s="109">
        <f t="shared" si="165"/>
        <v>910177.40591074771</v>
      </c>
      <c r="W240" s="109">
        <f t="shared" si="165"/>
        <v>1043146.1400757978</v>
      </c>
      <c r="X240" s="109">
        <f t="shared" si="165"/>
        <v>1171980.2992767182</v>
      </c>
      <c r="Y240" s="109">
        <f t="shared" si="165"/>
        <v>1299747.3207794933</v>
      </c>
      <c r="Z240" s="109">
        <f t="shared" si="165"/>
        <v>1433542.6692431387</v>
      </c>
      <c r="AA240" s="109">
        <f t="shared" si="165"/>
        <v>1561189.4290461387</v>
      </c>
      <c r="AB240" s="109">
        <f t="shared" si="165"/>
        <v>1694864.5158100091</v>
      </c>
      <c r="AC240" s="109">
        <f t="shared" si="165"/>
        <v>1822391.013913234</v>
      </c>
      <c r="AD240" s="109">
        <f t="shared" si="165"/>
        <v>1950864.3880148295</v>
      </c>
      <c r="AE240" s="109">
        <f t="shared" si="165"/>
        <v>2083352.0753807796</v>
      </c>
      <c r="AF240" s="109">
        <f t="shared" si="165"/>
        <v>2211705.1877826001</v>
      </c>
      <c r="AG240" s="109">
        <f t="shared" si="165"/>
        <v>2344072.6134487749</v>
      </c>
      <c r="AH240" s="109">
        <f t="shared" si="165"/>
        <v>2472305.4641508204</v>
      </c>
      <c r="AI240" s="109">
        <f t="shared" si="165"/>
        <v>2599471.1771547208</v>
      </c>
      <c r="AJ240" s="109">
        <f t="shared" si="165"/>
        <v>2732665.2171194912</v>
      </c>
      <c r="AK240" s="109">
        <f t="shared" si="165"/>
        <v>2859710.6684236163</v>
      </c>
      <c r="AL240" s="109">
        <f t="shared" si="165"/>
        <v>2992784.446688612</v>
      </c>
      <c r="AM240" s="109">
        <f t="shared" si="165"/>
        <v>3119709.6362929624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128407.03637803669</v>
      </c>
      <c r="P241" s="107">
        <f t="shared" ref="P241:AM241" si="166">MAX(-P238,0)</f>
        <v>201353.63310345326</v>
      </c>
      <c r="Q241" s="107">
        <f t="shared" si="166"/>
        <v>207996.41763333796</v>
      </c>
      <c r="R241" s="107">
        <f t="shared" si="166"/>
        <v>201221.11332408688</v>
      </c>
      <c r="S241" s="107">
        <f t="shared" si="166"/>
        <v>202264.50285397159</v>
      </c>
      <c r="T241" s="107">
        <f t="shared" si="166"/>
        <v>206687.98854472046</v>
      </c>
      <c r="U241" s="107">
        <f t="shared" si="166"/>
        <v>202131.98307460523</v>
      </c>
      <c r="V241" s="107">
        <f t="shared" si="166"/>
        <v>206555.46876535408</v>
      </c>
      <c r="W241" s="107">
        <f t="shared" si="166"/>
        <v>201999.46329523885</v>
      </c>
      <c r="X241" s="107">
        <f t="shared" si="166"/>
        <v>200823.55398598773</v>
      </c>
      <c r="Y241" s="107">
        <f t="shared" si="166"/>
        <v>207466.33851587249</v>
      </c>
      <c r="Z241" s="107">
        <f t="shared" si="166"/>
        <v>200691.03420662135</v>
      </c>
      <c r="AA241" s="107">
        <f t="shared" si="166"/>
        <v>207333.8187365061</v>
      </c>
      <c r="AB241" s="107">
        <f t="shared" si="166"/>
        <v>200558.514427255</v>
      </c>
      <c r="AC241" s="107">
        <f t="shared" si="166"/>
        <v>201601.90395713976</v>
      </c>
      <c r="AD241" s="107">
        <f t="shared" si="166"/>
        <v>206025.3896478886</v>
      </c>
      <c r="AE241" s="107">
        <f t="shared" si="166"/>
        <v>201469.38417777332</v>
      </c>
      <c r="AF241" s="107">
        <f t="shared" si="166"/>
        <v>205892.86986852225</v>
      </c>
      <c r="AG241" s="107">
        <f t="shared" si="166"/>
        <v>201336.86439840696</v>
      </c>
      <c r="AH241" s="107">
        <f t="shared" si="166"/>
        <v>200160.95508915588</v>
      </c>
      <c r="AI241" s="107">
        <f t="shared" si="166"/>
        <v>206803.73961904057</v>
      </c>
      <c r="AJ241" s="107">
        <f t="shared" si="166"/>
        <v>200028.43530978952</v>
      </c>
      <c r="AK241" s="107">
        <f t="shared" si="166"/>
        <v>206671.21983967422</v>
      </c>
      <c r="AL241" s="107">
        <f t="shared" si="166"/>
        <v>199895.91553042317</v>
      </c>
      <c r="AM241" s="107">
        <f t="shared" si="166"/>
        <v>187246.06815607968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167">-MAX(0,MIN(P240,$I$242*(P237-P238)))</f>
        <v>-73105.564801578279</v>
      </c>
      <c r="Q242" s="107">
        <f t="shared" si="167"/>
        <v>-73720.022370592604</v>
      </c>
      <c r="R242" s="107">
        <f t="shared" si="167"/>
        <v>-73093.306721986883</v>
      </c>
      <c r="S242" s="107">
        <f t="shared" si="167"/>
        <v>-73189.82025350121</v>
      </c>
      <c r="T242" s="107">
        <f t="shared" si="167"/>
        <v>-73598.992679895484</v>
      </c>
      <c r="U242" s="107">
        <f t="shared" si="167"/>
        <v>-73177.562173909828</v>
      </c>
      <c r="V242" s="107">
        <f t="shared" si="167"/>
        <v>-73586.734600304088</v>
      </c>
      <c r="W242" s="107">
        <f t="shared" si="167"/>
        <v>-73165.304094318431</v>
      </c>
      <c r="X242" s="107">
        <f t="shared" si="167"/>
        <v>-73056.532483212723</v>
      </c>
      <c r="Y242" s="107">
        <f t="shared" si="167"/>
        <v>-73670.990052227047</v>
      </c>
      <c r="Z242" s="107">
        <f t="shared" si="167"/>
        <v>-73044.274403621326</v>
      </c>
      <c r="AA242" s="107">
        <f t="shared" si="167"/>
        <v>-73658.731972635665</v>
      </c>
      <c r="AB242" s="107">
        <f t="shared" si="167"/>
        <v>-73032.01632402993</v>
      </c>
      <c r="AC242" s="107">
        <f t="shared" si="167"/>
        <v>-73128.529855544271</v>
      </c>
      <c r="AD242" s="107">
        <f t="shared" si="167"/>
        <v>-73537.702281938546</v>
      </c>
      <c r="AE242" s="107">
        <f t="shared" si="167"/>
        <v>-73116.271775952875</v>
      </c>
      <c r="AF242" s="107">
        <f t="shared" si="167"/>
        <v>-73525.444202347149</v>
      </c>
      <c r="AG242" s="107">
        <f t="shared" si="167"/>
        <v>-73104.013696361493</v>
      </c>
      <c r="AH242" s="107">
        <f t="shared" si="167"/>
        <v>-72995.242085255755</v>
      </c>
      <c r="AI242" s="107">
        <f t="shared" si="167"/>
        <v>-73609.699654270109</v>
      </c>
      <c r="AJ242" s="107">
        <f t="shared" si="167"/>
        <v>-72982.984005664373</v>
      </c>
      <c r="AK242" s="107">
        <f t="shared" si="167"/>
        <v>-73597.441574678713</v>
      </c>
      <c r="AL242" s="107">
        <f t="shared" si="167"/>
        <v>-72970.725926072992</v>
      </c>
      <c r="AM242" s="107">
        <f t="shared" si="167"/>
        <v>-71800.615043946207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168">SUM(O240:O242)</f>
        <v>128407.03637803669</v>
      </c>
      <c r="P243" s="109">
        <f t="shared" si="168"/>
        <v>256655.10467991163</v>
      </c>
      <c r="Q243" s="109">
        <f t="shared" si="168"/>
        <v>390931.49994265696</v>
      </c>
      <c r="R243" s="109">
        <f t="shared" si="168"/>
        <v>519059.30654475698</v>
      </c>
      <c r="S243" s="109">
        <f t="shared" si="168"/>
        <v>648133.98914522736</v>
      </c>
      <c r="T243" s="109">
        <f t="shared" si="168"/>
        <v>781222.98501005233</v>
      </c>
      <c r="U243" s="109">
        <f t="shared" si="168"/>
        <v>910177.40591074771</v>
      </c>
      <c r="V243" s="109">
        <f t="shared" si="168"/>
        <v>1043146.1400757978</v>
      </c>
      <c r="W243" s="109">
        <f t="shared" si="168"/>
        <v>1171980.2992767182</v>
      </c>
      <c r="X243" s="109">
        <f t="shared" si="168"/>
        <v>1299747.3207794933</v>
      </c>
      <c r="Y243" s="109">
        <f t="shared" si="168"/>
        <v>1433542.6692431387</v>
      </c>
      <c r="Z243" s="109">
        <f t="shared" si="168"/>
        <v>1561189.4290461387</v>
      </c>
      <c r="AA243" s="109">
        <f t="shared" si="168"/>
        <v>1694864.5158100091</v>
      </c>
      <c r="AB243" s="109">
        <f t="shared" si="168"/>
        <v>1822391.013913234</v>
      </c>
      <c r="AC243" s="109">
        <f t="shared" si="168"/>
        <v>1950864.3880148295</v>
      </c>
      <c r="AD243" s="109">
        <f t="shared" si="168"/>
        <v>2083352.0753807796</v>
      </c>
      <c r="AE243" s="109">
        <f t="shared" si="168"/>
        <v>2211705.1877826001</v>
      </c>
      <c r="AF243" s="109">
        <f t="shared" si="168"/>
        <v>2344072.6134487749</v>
      </c>
      <c r="AG243" s="109">
        <f t="shared" si="168"/>
        <v>2472305.4641508204</v>
      </c>
      <c r="AH243" s="109">
        <f t="shared" si="168"/>
        <v>2599471.1771547208</v>
      </c>
      <c r="AI243" s="109">
        <f t="shared" si="168"/>
        <v>2732665.2171194912</v>
      </c>
      <c r="AJ243" s="109">
        <f t="shared" si="168"/>
        <v>2859710.6684236163</v>
      </c>
      <c r="AK243" s="109">
        <f t="shared" si="168"/>
        <v>2992784.446688612</v>
      </c>
      <c r="AL243" s="109">
        <f t="shared" si="168"/>
        <v>3119709.6362929624</v>
      </c>
      <c r="AM243" s="109">
        <f t="shared" si="168"/>
        <v>3235155.0894050961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169">SUM(O245:AV245)</f>
        <v>10333823.677487988</v>
      </c>
      <c r="M245" s="1"/>
      <c r="N245" s="1"/>
      <c r="O245" s="328">
        <f t="shared" ref="O245:AM245" si="170">O75-O14-O236-O110</f>
        <v>122585.02987105177</v>
      </c>
      <c r="P245" s="328">
        <f t="shared" si="170"/>
        <v>427782.05425521475</v>
      </c>
      <c r="Q245" s="328">
        <f t="shared" si="170"/>
        <v>420930.65182422905</v>
      </c>
      <c r="R245" s="328">
        <f t="shared" si="170"/>
        <v>427769.79617562337</v>
      </c>
      <c r="S245" s="328">
        <f t="shared" si="170"/>
        <v>427866.3097071377</v>
      </c>
      <c r="T245" s="328">
        <f t="shared" si="170"/>
        <v>420809.62213353196</v>
      </c>
      <c r="U245" s="328">
        <f t="shared" si="170"/>
        <v>427854.05162754632</v>
      </c>
      <c r="V245" s="328">
        <f t="shared" si="170"/>
        <v>420797.36405394052</v>
      </c>
      <c r="W245" s="328">
        <f t="shared" si="170"/>
        <v>427841.79354795493</v>
      </c>
      <c r="X245" s="328">
        <f t="shared" si="170"/>
        <v>427733.02193684923</v>
      </c>
      <c r="Y245" s="328">
        <f t="shared" si="170"/>
        <v>420881.61950586352</v>
      </c>
      <c r="Z245" s="328">
        <f t="shared" si="170"/>
        <v>427720.76385725779</v>
      </c>
      <c r="AA245" s="328">
        <f t="shared" si="170"/>
        <v>420869.36142627208</v>
      </c>
      <c r="AB245" s="328">
        <f t="shared" si="170"/>
        <v>427708.50577766646</v>
      </c>
      <c r="AC245" s="328">
        <f t="shared" si="170"/>
        <v>427805.01930918079</v>
      </c>
      <c r="AD245" s="328">
        <f t="shared" si="170"/>
        <v>420748.33173557499</v>
      </c>
      <c r="AE245" s="328">
        <f t="shared" si="170"/>
        <v>427792.76122958935</v>
      </c>
      <c r="AF245" s="328">
        <f t="shared" si="170"/>
        <v>420736.07365598361</v>
      </c>
      <c r="AG245" s="328">
        <f t="shared" si="170"/>
        <v>427780.50314999797</v>
      </c>
      <c r="AH245" s="328">
        <f t="shared" si="170"/>
        <v>427671.73153889226</v>
      </c>
      <c r="AI245" s="328">
        <f t="shared" si="170"/>
        <v>420820.32910790655</v>
      </c>
      <c r="AJ245" s="328">
        <f t="shared" si="170"/>
        <v>427659.47345930088</v>
      </c>
      <c r="AK245" s="328">
        <f t="shared" si="170"/>
        <v>420808.07102831517</v>
      </c>
      <c r="AL245" s="328">
        <f t="shared" si="170"/>
        <v>427647.21537970949</v>
      </c>
      <c r="AM245" s="328">
        <f t="shared" si="170"/>
        <v>435204.22219339851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f>$I247*(O248-O249)</f>
        <v>18387.754480657764</v>
      </c>
      <c r="P247" s="109">
        <f t="shared" ref="P247:AM247" si="171">$I247*(P248-P249)</f>
        <v>64167.308138282213</v>
      </c>
      <c r="Q247" s="109">
        <f t="shared" si="171"/>
        <v>63139.597773634356</v>
      </c>
      <c r="R247" s="109">
        <f t="shared" si="171"/>
        <v>64165.469426343501</v>
      </c>
      <c r="S247" s="109">
        <f t="shared" si="171"/>
        <v>64179.946456070655</v>
      </c>
      <c r="T247" s="109">
        <f t="shared" si="171"/>
        <v>63121.443320029794</v>
      </c>
      <c r="U247" s="109">
        <f t="shared" si="171"/>
        <v>64178.107744131943</v>
      </c>
      <c r="V247" s="109">
        <f t="shared" si="171"/>
        <v>63119.604608091075</v>
      </c>
      <c r="W247" s="109">
        <f t="shared" si="171"/>
        <v>64176.269032193239</v>
      </c>
      <c r="X247" s="109">
        <f t="shared" si="171"/>
        <v>64159.953290527381</v>
      </c>
      <c r="Y247" s="109">
        <f t="shared" si="171"/>
        <v>63132.242925879524</v>
      </c>
      <c r="Z247" s="109">
        <f t="shared" si="171"/>
        <v>64158.114578588662</v>
      </c>
      <c r="AA247" s="109">
        <f t="shared" si="171"/>
        <v>63130.404213940812</v>
      </c>
      <c r="AB247" s="109">
        <f t="shared" si="171"/>
        <v>64156.275866649965</v>
      </c>
      <c r="AC247" s="109">
        <f t="shared" si="171"/>
        <v>64170.752896377118</v>
      </c>
      <c r="AD247" s="109">
        <f t="shared" si="171"/>
        <v>63112.249760336243</v>
      </c>
      <c r="AE247" s="109">
        <f t="shared" si="171"/>
        <v>64168.914184438399</v>
      </c>
      <c r="AF247" s="109">
        <f t="shared" si="171"/>
        <v>63110.411048397538</v>
      </c>
      <c r="AG247" s="109">
        <f t="shared" si="171"/>
        <v>64167.075472499695</v>
      </c>
      <c r="AH247" s="109">
        <f t="shared" si="171"/>
        <v>64150.759730833837</v>
      </c>
      <c r="AI247" s="109">
        <f t="shared" si="171"/>
        <v>63123.04936618598</v>
      </c>
      <c r="AJ247" s="109">
        <f t="shared" si="171"/>
        <v>64148.921018895126</v>
      </c>
      <c r="AK247" s="109">
        <f t="shared" si="171"/>
        <v>63121.210654247276</v>
      </c>
      <c r="AL247" s="109">
        <f t="shared" si="171"/>
        <v>64147.082306956421</v>
      </c>
      <c r="AM247" s="109">
        <f t="shared" si="171"/>
        <v>65280.633329009775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f>O245</f>
        <v>122585.02987105177</v>
      </c>
      <c r="P248" s="107">
        <f t="shared" ref="P248:AM248" si="172">P245</f>
        <v>427782.05425521475</v>
      </c>
      <c r="Q248" s="107">
        <f t="shared" si="172"/>
        <v>420930.65182422905</v>
      </c>
      <c r="R248" s="107">
        <f t="shared" si="172"/>
        <v>427769.79617562337</v>
      </c>
      <c r="S248" s="107">
        <f t="shared" si="172"/>
        <v>427866.3097071377</v>
      </c>
      <c r="T248" s="107">
        <f t="shared" si="172"/>
        <v>420809.62213353196</v>
      </c>
      <c r="U248" s="107">
        <f t="shared" si="172"/>
        <v>427854.05162754632</v>
      </c>
      <c r="V248" s="107">
        <f t="shared" si="172"/>
        <v>420797.36405394052</v>
      </c>
      <c r="W248" s="107">
        <f t="shared" si="172"/>
        <v>427841.79354795493</v>
      </c>
      <c r="X248" s="107">
        <f t="shared" si="172"/>
        <v>427733.02193684923</v>
      </c>
      <c r="Y248" s="107">
        <f t="shared" si="172"/>
        <v>420881.61950586352</v>
      </c>
      <c r="Z248" s="107">
        <f t="shared" si="172"/>
        <v>427720.76385725779</v>
      </c>
      <c r="AA248" s="107">
        <f t="shared" si="172"/>
        <v>420869.36142627208</v>
      </c>
      <c r="AB248" s="107">
        <f t="shared" si="172"/>
        <v>427708.50577766646</v>
      </c>
      <c r="AC248" s="107">
        <f t="shared" si="172"/>
        <v>427805.01930918079</v>
      </c>
      <c r="AD248" s="107">
        <f t="shared" si="172"/>
        <v>420748.33173557499</v>
      </c>
      <c r="AE248" s="107">
        <f t="shared" si="172"/>
        <v>427792.76122958935</v>
      </c>
      <c r="AF248" s="107">
        <f t="shared" si="172"/>
        <v>420736.07365598361</v>
      </c>
      <c r="AG248" s="107">
        <f t="shared" si="172"/>
        <v>427780.50314999797</v>
      </c>
      <c r="AH248" s="107">
        <f t="shared" si="172"/>
        <v>427671.73153889226</v>
      </c>
      <c r="AI248" s="107">
        <f t="shared" si="172"/>
        <v>420820.32910790655</v>
      </c>
      <c r="AJ248" s="107">
        <f t="shared" si="172"/>
        <v>427659.47345930088</v>
      </c>
      <c r="AK248" s="107">
        <f t="shared" si="172"/>
        <v>420808.07102831517</v>
      </c>
      <c r="AL248" s="107">
        <f t="shared" si="172"/>
        <v>427647.21537970949</v>
      </c>
      <c r="AM248" s="107">
        <f t="shared" si="172"/>
        <v>435204.22219339851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f t="shared" ref="O249:AM249" si="173">$I249</f>
        <v>0</v>
      </c>
      <c r="P249" s="107">
        <f t="shared" si="173"/>
        <v>0</v>
      </c>
      <c r="Q249" s="107">
        <f t="shared" si="173"/>
        <v>0</v>
      </c>
      <c r="R249" s="107">
        <f t="shared" si="173"/>
        <v>0</v>
      </c>
      <c r="S249" s="107">
        <f t="shared" si="173"/>
        <v>0</v>
      </c>
      <c r="T249" s="107">
        <f t="shared" si="173"/>
        <v>0</v>
      </c>
      <c r="U249" s="107">
        <f t="shared" si="173"/>
        <v>0</v>
      </c>
      <c r="V249" s="107">
        <f t="shared" si="173"/>
        <v>0</v>
      </c>
      <c r="W249" s="107">
        <f t="shared" si="173"/>
        <v>0</v>
      </c>
      <c r="X249" s="107">
        <f t="shared" si="173"/>
        <v>0</v>
      </c>
      <c r="Y249" s="107">
        <f t="shared" si="173"/>
        <v>0</v>
      </c>
      <c r="Z249" s="107">
        <f t="shared" si="173"/>
        <v>0</v>
      </c>
      <c r="AA249" s="107">
        <f t="shared" si="173"/>
        <v>0</v>
      </c>
      <c r="AB249" s="107">
        <f t="shared" si="173"/>
        <v>0</v>
      </c>
      <c r="AC249" s="107">
        <f t="shared" si="173"/>
        <v>0</v>
      </c>
      <c r="AD249" s="107">
        <f t="shared" si="173"/>
        <v>0</v>
      </c>
      <c r="AE249" s="107">
        <f t="shared" si="173"/>
        <v>0</v>
      </c>
      <c r="AF249" s="107">
        <f t="shared" si="173"/>
        <v>0</v>
      </c>
      <c r="AG249" s="107">
        <f t="shared" si="173"/>
        <v>0</v>
      </c>
      <c r="AH249" s="107">
        <f t="shared" si="173"/>
        <v>0</v>
      </c>
      <c r="AI249" s="107">
        <f t="shared" si="173"/>
        <v>0</v>
      </c>
      <c r="AJ249" s="107">
        <f t="shared" si="173"/>
        <v>0</v>
      </c>
      <c r="AK249" s="107">
        <f t="shared" si="173"/>
        <v>0</v>
      </c>
      <c r="AL249" s="107">
        <f t="shared" si="173"/>
        <v>0</v>
      </c>
      <c r="AM249" s="107">
        <f t="shared" si="173"/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f t="shared" ref="O251:AM251" si="174">MAX($I251*(O252-O253),0)</f>
        <v>0</v>
      </c>
      <c r="P251" s="481">
        <f t="shared" si="174"/>
        <v>18778.205425521475</v>
      </c>
      <c r="Q251" s="481">
        <f t="shared" si="174"/>
        <v>18093.065182422906</v>
      </c>
      <c r="R251" s="481">
        <f t="shared" si="174"/>
        <v>18776.979617562338</v>
      </c>
      <c r="S251" s="481">
        <f t="shared" si="174"/>
        <v>18786.63097071377</v>
      </c>
      <c r="T251" s="481">
        <f t="shared" si="174"/>
        <v>18080.962213353196</v>
      </c>
      <c r="U251" s="481">
        <f t="shared" si="174"/>
        <v>18785.405162754632</v>
      </c>
      <c r="V251" s="481">
        <f t="shared" si="174"/>
        <v>18079.736405394051</v>
      </c>
      <c r="W251" s="481">
        <f t="shared" si="174"/>
        <v>18784.179354795495</v>
      </c>
      <c r="X251" s="481">
        <f t="shared" si="174"/>
        <v>18773.302193684922</v>
      </c>
      <c r="Y251" s="481">
        <f t="shared" si="174"/>
        <v>18088.161950586353</v>
      </c>
      <c r="Z251" s="481">
        <f t="shared" si="174"/>
        <v>18772.076385725781</v>
      </c>
      <c r="AA251" s="481">
        <f t="shared" si="174"/>
        <v>18086.936142627208</v>
      </c>
      <c r="AB251" s="481">
        <f t="shared" si="174"/>
        <v>18770.850577766647</v>
      </c>
      <c r="AC251" s="481">
        <f t="shared" si="174"/>
        <v>18780.501930918079</v>
      </c>
      <c r="AD251" s="481">
        <f t="shared" si="174"/>
        <v>18074.833173557501</v>
      </c>
      <c r="AE251" s="481">
        <f t="shared" si="174"/>
        <v>18779.276122958934</v>
      </c>
      <c r="AF251" s="481">
        <f t="shared" si="174"/>
        <v>18073.60736559836</v>
      </c>
      <c r="AG251" s="481">
        <f t="shared" si="174"/>
        <v>18778.050314999797</v>
      </c>
      <c r="AH251" s="481">
        <f t="shared" si="174"/>
        <v>18767.173153889227</v>
      </c>
      <c r="AI251" s="481">
        <f t="shared" si="174"/>
        <v>18082.032910790655</v>
      </c>
      <c r="AJ251" s="481">
        <f t="shared" si="174"/>
        <v>18765.94734593009</v>
      </c>
      <c r="AK251" s="481">
        <f t="shared" si="174"/>
        <v>18080.807102831517</v>
      </c>
      <c r="AL251" s="481">
        <f t="shared" si="174"/>
        <v>18764.721537970949</v>
      </c>
      <c r="AM251" s="481">
        <f t="shared" si="174"/>
        <v>19520.422219339853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f>O245</f>
        <v>122585.02987105177</v>
      </c>
      <c r="P252" s="107">
        <f t="shared" ref="P252:AM252" si="175">P245</f>
        <v>427782.05425521475</v>
      </c>
      <c r="Q252" s="107">
        <f t="shared" si="175"/>
        <v>420930.65182422905</v>
      </c>
      <c r="R252" s="107">
        <f t="shared" si="175"/>
        <v>427769.79617562337</v>
      </c>
      <c r="S252" s="107">
        <f t="shared" si="175"/>
        <v>427866.3097071377</v>
      </c>
      <c r="T252" s="107">
        <f t="shared" si="175"/>
        <v>420809.62213353196</v>
      </c>
      <c r="U252" s="107">
        <f t="shared" si="175"/>
        <v>427854.05162754632</v>
      </c>
      <c r="V252" s="107">
        <f t="shared" si="175"/>
        <v>420797.36405394052</v>
      </c>
      <c r="W252" s="107">
        <f t="shared" si="175"/>
        <v>427841.79354795493</v>
      </c>
      <c r="X252" s="107">
        <f t="shared" si="175"/>
        <v>427733.02193684923</v>
      </c>
      <c r="Y252" s="107">
        <f t="shared" si="175"/>
        <v>420881.61950586352</v>
      </c>
      <c r="Z252" s="107">
        <f t="shared" si="175"/>
        <v>427720.76385725779</v>
      </c>
      <c r="AA252" s="107">
        <f t="shared" si="175"/>
        <v>420869.36142627208</v>
      </c>
      <c r="AB252" s="107">
        <f t="shared" si="175"/>
        <v>427708.50577766646</v>
      </c>
      <c r="AC252" s="107">
        <f t="shared" si="175"/>
        <v>427805.01930918079</v>
      </c>
      <c r="AD252" s="107">
        <f t="shared" si="175"/>
        <v>420748.33173557499</v>
      </c>
      <c r="AE252" s="107">
        <f t="shared" si="175"/>
        <v>427792.76122958935</v>
      </c>
      <c r="AF252" s="107">
        <f t="shared" si="175"/>
        <v>420736.07365598361</v>
      </c>
      <c r="AG252" s="107">
        <f t="shared" si="175"/>
        <v>427780.50314999797</v>
      </c>
      <c r="AH252" s="107">
        <f t="shared" si="175"/>
        <v>427671.73153889226</v>
      </c>
      <c r="AI252" s="107">
        <f t="shared" si="175"/>
        <v>420820.32910790655</v>
      </c>
      <c r="AJ252" s="107">
        <f t="shared" si="175"/>
        <v>427659.47345930088</v>
      </c>
      <c r="AK252" s="107">
        <f t="shared" si="175"/>
        <v>420808.07102831517</v>
      </c>
      <c r="AL252" s="107">
        <f t="shared" si="175"/>
        <v>427647.21537970949</v>
      </c>
      <c r="AM252" s="107">
        <f t="shared" si="175"/>
        <v>435204.22219339851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f t="shared" ref="O253:AM253" si="176">$I253</f>
        <v>240000</v>
      </c>
      <c r="P253" s="107">
        <f t="shared" si="176"/>
        <v>240000</v>
      </c>
      <c r="Q253" s="107">
        <f t="shared" si="176"/>
        <v>240000</v>
      </c>
      <c r="R253" s="107">
        <f t="shared" si="176"/>
        <v>240000</v>
      </c>
      <c r="S253" s="107">
        <f t="shared" si="176"/>
        <v>240000</v>
      </c>
      <c r="T253" s="107">
        <f t="shared" si="176"/>
        <v>240000</v>
      </c>
      <c r="U253" s="107">
        <f t="shared" si="176"/>
        <v>240000</v>
      </c>
      <c r="V253" s="107">
        <f t="shared" si="176"/>
        <v>240000</v>
      </c>
      <c r="W253" s="107">
        <f t="shared" si="176"/>
        <v>240000</v>
      </c>
      <c r="X253" s="107">
        <f t="shared" si="176"/>
        <v>240000</v>
      </c>
      <c r="Y253" s="107">
        <f t="shared" si="176"/>
        <v>240000</v>
      </c>
      <c r="Z253" s="107">
        <f t="shared" si="176"/>
        <v>240000</v>
      </c>
      <c r="AA253" s="107">
        <f t="shared" si="176"/>
        <v>240000</v>
      </c>
      <c r="AB253" s="107">
        <f t="shared" si="176"/>
        <v>240000</v>
      </c>
      <c r="AC253" s="107">
        <f t="shared" si="176"/>
        <v>240000</v>
      </c>
      <c r="AD253" s="107">
        <f t="shared" si="176"/>
        <v>240000</v>
      </c>
      <c r="AE253" s="107">
        <f t="shared" si="176"/>
        <v>240000</v>
      </c>
      <c r="AF253" s="107">
        <f t="shared" si="176"/>
        <v>240000</v>
      </c>
      <c r="AG253" s="107">
        <f t="shared" si="176"/>
        <v>240000</v>
      </c>
      <c r="AH253" s="107">
        <f t="shared" si="176"/>
        <v>240000</v>
      </c>
      <c r="AI253" s="107">
        <f t="shared" si="176"/>
        <v>240000</v>
      </c>
      <c r="AJ253" s="107">
        <f t="shared" si="176"/>
        <v>240000</v>
      </c>
      <c r="AK253" s="107">
        <f t="shared" si="176"/>
        <v>240000</v>
      </c>
      <c r="AL253" s="107">
        <f t="shared" si="176"/>
        <v>240000</v>
      </c>
      <c r="AM253" s="107">
        <f t="shared" si="176"/>
        <v>240000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f>MAX($I255*(O256-O257),0)</f>
        <v>11032.652688394659</v>
      </c>
      <c r="P255" s="109">
        <f t="shared" ref="P255:AM255" si="177">$I255*(P256-P257)</f>
        <v>38500.384882969323</v>
      </c>
      <c r="Q255" s="109">
        <f t="shared" si="177"/>
        <v>37883.758664180612</v>
      </c>
      <c r="R255" s="109">
        <f t="shared" si="177"/>
        <v>38499.281655806102</v>
      </c>
      <c r="S255" s="109">
        <f t="shared" si="177"/>
        <v>38507.967873642388</v>
      </c>
      <c r="T255" s="109">
        <f t="shared" si="177"/>
        <v>37872.865992017876</v>
      </c>
      <c r="U255" s="109">
        <f t="shared" si="177"/>
        <v>38506.864646479167</v>
      </c>
      <c r="V255" s="109">
        <f t="shared" si="177"/>
        <v>37871.762764854648</v>
      </c>
      <c r="W255" s="109">
        <f t="shared" si="177"/>
        <v>38505.761419315946</v>
      </c>
      <c r="X255" s="109">
        <f t="shared" si="177"/>
        <v>38495.971974316431</v>
      </c>
      <c r="Y255" s="109">
        <f t="shared" si="177"/>
        <v>37879.345755527713</v>
      </c>
      <c r="Z255" s="109">
        <f t="shared" si="177"/>
        <v>38494.868747153196</v>
      </c>
      <c r="AA255" s="109">
        <f t="shared" si="177"/>
        <v>37878.242528364484</v>
      </c>
      <c r="AB255" s="109">
        <f t="shared" si="177"/>
        <v>38493.765519989982</v>
      </c>
      <c r="AC255" s="109">
        <f t="shared" si="177"/>
        <v>38502.451737826268</v>
      </c>
      <c r="AD255" s="109">
        <f t="shared" si="177"/>
        <v>37867.349856201748</v>
      </c>
      <c r="AE255" s="109">
        <f t="shared" si="177"/>
        <v>38501.34851066304</v>
      </c>
      <c r="AF255" s="109">
        <f t="shared" si="177"/>
        <v>37866.24662903852</v>
      </c>
      <c r="AG255" s="109">
        <f t="shared" si="177"/>
        <v>38500.245283499818</v>
      </c>
      <c r="AH255" s="109">
        <f t="shared" si="177"/>
        <v>38490.455838500304</v>
      </c>
      <c r="AI255" s="109">
        <f t="shared" si="177"/>
        <v>37873.829619711585</v>
      </c>
      <c r="AJ255" s="109">
        <f t="shared" si="177"/>
        <v>38489.352611337075</v>
      </c>
      <c r="AK255" s="109">
        <f t="shared" si="177"/>
        <v>37872.726392548364</v>
      </c>
      <c r="AL255" s="109">
        <f t="shared" si="177"/>
        <v>38488.249384173854</v>
      </c>
      <c r="AM255" s="109">
        <f t="shared" si="177"/>
        <v>39168.379997405864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f>O245</f>
        <v>122585.02987105177</v>
      </c>
      <c r="P256" s="107">
        <f t="shared" ref="P256:AM256" si="178">P245</f>
        <v>427782.05425521475</v>
      </c>
      <c r="Q256" s="107">
        <f t="shared" si="178"/>
        <v>420930.65182422905</v>
      </c>
      <c r="R256" s="107">
        <f t="shared" si="178"/>
        <v>427769.79617562337</v>
      </c>
      <c r="S256" s="107">
        <f t="shared" si="178"/>
        <v>427866.3097071377</v>
      </c>
      <c r="T256" s="107">
        <f t="shared" si="178"/>
        <v>420809.62213353196</v>
      </c>
      <c r="U256" s="107">
        <f t="shared" si="178"/>
        <v>427854.05162754632</v>
      </c>
      <c r="V256" s="107">
        <f t="shared" si="178"/>
        <v>420797.36405394052</v>
      </c>
      <c r="W256" s="107">
        <f t="shared" si="178"/>
        <v>427841.79354795493</v>
      </c>
      <c r="X256" s="107">
        <f t="shared" si="178"/>
        <v>427733.02193684923</v>
      </c>
      <c r="Y256" s="107">
        <f t="shared" si="178"/>
        <v>420881.61950586352</v>
      </c>
      <c r="Z256" s="107">
        <f t="shared" si="178"/>
        <v>427720.76385725779</v>
      </c>
      <c r="AA256" s="107">
        <f t="shared" si="178"/>
        <v>420869.36142627208</v>
      </c>
      <c r="AB256" s="107">
        <f t="shared" si="178"/>
        <v>427708.50577766646</v>
      </c>
      <c r="AC256" s="107">
        <f t="shared" si="178"/>
        <v>427805.01930918079</v>
      </c>
      <c r="AD256" s="107">
        <f t="shared" si="178"/>
        <v>420748.33173557499</v>
      </c>
      <c r="AE256" s="107">
        <f t="shared" si="178"/>
        <v>427792.76122958935</v>
      </c>
      <c r="AF256" s="107">
        <f t="shared" si="178"/>
        <v>420736.07365598361</v>
      </c>
      <c r="AG256" s="107">
        <f t="shared" si="178"/>
        <v>427780.50314999797</v>
      </c>
      <c r="AH256" s="107">
        <f t="shared" si="178"/>
        <v>427671.73153889226</v>
      </c>
      <c r="AI256" s="107">
        <f t="shared" si="178"/>
        <v>420820.32910790655</v>
      </c>
      <c r="AJ256" s="107">
        <f t="shared" si="178"/>
        <v>427659.47345930088</v>
      </c>
      <c r="AK256" s="107">
        <f t="shared" si="178"/>
        <v>420808.07102831517</v>
      </c>
      <c r="AL256" s="107">
        <f t="shared" si="178"/>
        <v>427647.21537970949</v>
      </c>
      <c r="AM256" s="107">
        <f t="shared" si="178"/>
        <v>435204.22219339851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f t="shared" ref="O257:AM257" si="179">$I257</f>
        <v>0</v>
      </c>
      <c r="P257" s="107">
        <f t="shared" si="179"/>
        <v>0</v>
      </c>
      <c r="Q257" s="107">
        <f t="shared" si="179"/>
        <v>0</v>
      </c>
      <c r="R257" s="107">
        <f t="shared" si="179"/>
        <v>0</v>
      </c>
      <c r="S257" s="107">
        <f t="shared" si="179"/>
        <v>0</v>
      </c>
      <c r="T257" s="107">
        <f t="shared" si="179"/>
        <v>0</v>
      </c>
      <c r="U257" s="107">
        <f t="shared" si="179"/>
        <v>0</v>
      </c>
      <c r="V257" s="107">
        <f t="shared" si="179"/>
        <v>0</v>
      </c>
      <c r="W257" s="107">
        <f t="shared" si="179"/>
        <v>0</v>
      </c>
      <c r="X257" s="107">
        <f t="shared" si="179"/>
        <v>0</v>
      </c>
      <c r="Y257" s="107">
        <f t="shared" si="179"/>
        <v>0</v>
      </c>
      <c r="Z257" s="107">
        <f t="shared" si="179"/>
        <v>0</v>
      </c>
      <c r="AA257" s="107">
        <f t="shared" si="179"/>
        <v>0</v>
      </c>
      <c r="AB257" s="107">
        <f t="shared" si="179"/>
        <v>0</v>
      </c>
      <c r="AC257" s="107">
        <f t="shared" si="179"/>
        <v>0</v>
      </c>
      <c r="AD257" s="107">
        <f t="shared" si="179"/>
        <v>0</v>
      </c>
      <c r="AE257" s="107">
        <f t="shared" si="179"/>
        <v>0</v>
      </c>
      <c r="AF257" s="107">
        <f t="shared" si="179"/>
        <v>0</v>
      </c>
      <c r="AG257" s="107">
        <f t="shared" si="179"/>
        <v>0</v>
      </c>
      <c r="AH257" s="107">
        <f t="shared" si="179"/>
        <v>0</v>
      </c>
      <c r="AI257" s="107">
        <f t="shared" si="179"/>
        <v>0</v>
      </c>
      <c r="AJ257" s="107">
        <f t="shared" si="179"/>
        <v>0</v>
      </c>
      <c r="AK257" s="107">
        <f t="shared" si="179"/>
        <v>0</v>
      </c>
      <c r="AL257" s="107">
        <f t="shared" si="179"/>
        <v>0</v>
      </c>
      <c r="AM257" s="107">
        <f t="shared" si="179"/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'Fluxo Rateio'!$H$31</f>
        <v>0.02</v>
      </c>
      <c r="J260" s="60"/>
      <c r="K260" s="60"/>
      <c r="L260" s="60"/>
      <c r="M260" s="1"/>
      <c r="N260" s="1"/>
      <c r="O260" s="109">
        <f t="shared" ref="O260:AM260" si="180">$I260*(O261-O262)</f>
        <v>3926.511981225859</v>
      </c>
      <c r="P260" s="109">
        <f t="shared" si="180"/>
        <v>11779.535943677589</v>
      </c>
      <c r="Q260" s="109">
        <f t="shared" si="180"/>
        <v>11779.535943677589</v>
      </c>
      <c r="R260" s="109">
        <f t="shared" si="180"/>
        <v>11779.535943677589</v>
      </c>
      <c r="S260" s="109">
        <f t="shared" si="180"/>
        <v>11779.535943677589</v>
      </c>
      <c r="T260" s="109">
        <f t="shared" si="180"/>
        <v>11779.535943677589</v>
      </c>
      <c r="U260" s="109">
        <f t="shared" si="180"/>
        <v>11779.535943677589</v>
      </c>
      <c r="V260" s="109">
        <f t="shared" si="180"/>
        <v>11779.535943677589</v>
      </c>
      <c r="W260" s="109">
        <f t="shared" si="180"/>
        <v>11779.535943677589</v>
      </c>
      <c r="X260" s="109">
        <f t="shared" si="180"/>
        <v>11779.535943677589</v>
      </c>
      <c r="Y260" s="109">
        <f t="shared" si="180"/>
        <v>11779.535943677589</v>
      </c>
      <c r="Z260" s="109">
        <f t="shared" si="180"/>
        <v>11779.535943677589</v>
      </c>
      <c r="AA260" s="109">
        <f t="shared" si="180"/>
        <v>11779.535943677589</v>
      </c>
      <c r="AB260" s="109">
        <f t="shared" si="180"/>
        <v>11779.535943677589</v>
      </c>
      <c r="AC260" s="109">
        <f t="shared" si="180"/>
        <v>11779.535943677589</v>
      </c>
      <c r="AD260" s="109">
        <f t="shared" si="180"/>
        <v>11779.535943677589</v>
      </c>
      <c r="AE260" s="109">
        <f t="shared" si="180"/>
        <v>11779.535943677589</v>
      </c>
      <c r="AF260" s="109">
        <f t="shared" si="180"/>
        <v>11779.535943677589</v>
      </c>
      <c r="AG260" s="109">
        <f t="shared" si="180"/>
        <v>11779.535943677589</v>
      </c>
      <c r="AH260" s="109">
        <f t="shared" si="180"/>
        <v>11779.535943677589</v>
      </c>
      <c r="AI260" s="109">
        <f t="shared" si="180"/>
        <v>11779.535943677589</v>
      </c>
      <c r="AJ260" s="109">
        <f t="shared" si="180"/>
        <v>11779.535943677589</v>
      </c>
      <c r="AK260" s="109">
        <f t="shared" si="180"/>
        <v>11779.535943677589</v>
      </c>
      <c r="AL260" s="109">
        <f t="shared" si="180"/>
        <v>11779.535943677589</v>
      </c>
      <c r="AM260" s="109">
        <f t="shared" si="180"/>
        <v>11779.535943677589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f t="shared" ref="O261:AM261" si="181">O122*$I213</f>
        <v>196325.59906129295</v>
      </c>
      <c r="P261" s="107">
        <f t="shared" si="181"/>
        <v>588976.79718387942</v>
      </c>
      <c r="Q261" s="107">
        <f t="shared" si="181"/>
        <v>588976.79718387942</v>
      </c>
      <c r="R261" s="107">
        <f t="shared" si="181"/>
        <v>588976.79718387942</v>
      </c>
      <c r="S261" s="107">
        <f t="shared" si="181"/>
        <v>588976.79718387942</v>
      </c>
      <c r="T261" s="107">
        <f t="shared" si="181"/>
        <v>588976.79718387942</v>
      </c>
      <c r="U261" s="107">
        <f t="shared" si="181"/>
        <v>588976.79718387942</v>
      </c>
      <c r="V261" s="107">
        <f t="shared" si="181"/>
        <v>588976.79718387942</v>
      </c>
      <c r="W261" s="107">
        <f t="shared" si="181"/>
        <v>588976.79718387942</v>
      </c>
      <c r="X261" s="107">
        <f t="shared" si="181"/>
        <v>588976.79718387942</v>
      </c>
      <c r="Y261" s="107">
        <f t="shared" si="181"/>
        <v>588976.79718387942</v>
      </c>
      <c r="Z261" s="107">
        <f t="shared" si="181"/>
        <v>588976.79718387942</v>
      </c>
      <c r="AA261" s="107">
        <f t="shared" si="181"/>
        <v>588976.79718387942</v>
      </c>
      <c r="AB261" s="107">
        <f t="shared" si="181"/>
        <v>588976.79718387942</v>
      </c>
      <c r="AC261" s="107">
        <f t="shared" si="181"/>
        <v>588976.79718387942</v>
      </c>
      <c r="AD261" s="107">
        <f t="shared" si="181"/>
        <v>588976.79718387942</v>
      </c>
      <c r="AE261" s="107">
        <f t="shared" si="181"/>
        <v>588976.79718387942</v>
      </c>
      <c r="AF261" s="107">
        <f t="shared" si="181"/>
        <v>588976.79718387942</v>
      </c>
      <c r="AG261" s="107">
        <f t="shared" si="181"/>
        <v>588976.79718387942</v>
      </c>
      <c r="AH261" s="107">
        <f t="shared" si="181"/>
        <v>588976.79718387942</v>
      </c>
      <c r="AI261" s="107">
        <f t="shared" si="181"/>
        <v>588976.79718387942</v>
      </c>
      <c r="AJ261" s="107">
        <f t="shared" si="181"/>
        <v>588976.79718387942</v>
      </c>
      <c r="AK261" s="107">
        <f t="shared" si="181"/>
        <v>588976.79718387942</v>
      </c>
      <c r="AL261" s="107">
        <f t="shared" si="181"/>
        <v>588976.79718387942</v>
      </c>
      <c r="AM261" s="107">
        <f t="shared" si="181"/>
        <v>588976.79718387942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f t="shared" ref="O262:AM262" si="182">$I262</f>
        <v>0</v>
      </c>
      <c r="P262" s="107">
        <f t="shared" si="182"/>
        <v>0</v>
      </c>
      <c r="Q262" s="107">
        <f t="shared" si="182"/>
        <v>0</v>
      </c>
      <c r="R262" s="107">
        <f t="shared" si="182"/>
        <v>0</v>
      </c>
      <c r="S262" s="107">
        <f t="shared" si="182"/>
        <v>0</v>
      </c>
      <c r="T262" s="107">
        <f t="shared" si="182"/>
        <v>0</v>
      </c>
      <c r="U262" s="107">
        <f t="shared" si="182"/>
        <v>0</v>
      </c>
      <c r="V262" s="107">
        <f t="shared" si="182"/>
        <v>0</v>
      </c>
      <c r="W262" s="107">
        <f t="shared" si="182"/>
        <v>0</v>
      </c>
      <c r="X262" s="107">
        <f t="shared" si="182"/>
        <v>0</v>
      </c>
      <c r="Y262" s="107">
        <f t="shared" si="182"/>
        <v>0</v>
      </c>
      <c r="Z262" s="107">
        <f t="shared" si="182"/>
        <v>0</v>
      </c>
      <c r="AA262" s="107">
        <f t="shared" si="182"/>
        <v>0</v>
      </c>
      <c r="AB262" s="107">
        <f t="shared" si="182"/>
        <v>0</v>
      </c>
      <c r="AC262" s="107">
        <f t="shared" si="182"/>
        <v>0</v>
      </c>
      <c r="AD262" s="107">
        <f t="shared" si="182"/>
        <v>0</v>
      </c>
      <c r="AE262" s="107">
        <f t="shared" si="182"/>
        <v>0</v>
      </c>
      <c r="AF262" s="107">
        <f t="shared" si="182"/>
        <v>0</v>
      </c>
      <c r="AG262" s="107">
        <f t="shared" si="182"/>
        <v>0</v>
      </c>
      <c r="AH262" s="107">
        <f t="shared" si="182"/>
        <v>0</v>
      </c>
      <c r="AI262" s="107">
        <f t="shared" si="182"/>
        <v>0</v>
      </c>
      <c r="AJ262" s="107">
        <f t="shared" si="182"/>
        <v>0</v>
      </c>
      <c r="AK262" s="107">
        <f t="shared" si="182"/>
        <v>0</v>
      </c>
      <c r="AL262" s="107">
        <f t="shared" si="182"/>
        <v>0</v>
      </c>
      <c r="AM262" s="107">
        <f t="shared" si="182"/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75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27461.53005618403</v>
      </c>
      <c r="M266" s="183"/>
      <c r="N266" s="183"/>
      <c r="O266" s="445">
        <f t="shared" ref="O266:AM266" si="183">SUM(O267:O268)</f>
        <v>3077.8906527714407</v>
      </c>
      <c r="P266" s="445">
        <f t="shared" si="183"/>
        <v>2031.969950284383</v>
      </c>
      <c r="Q266" s="445">
        <f t="shared" si="183"/>
        <v>1943.6234307068016</v>
      </c>
      <c r="R266" s="445">
        <f t="shared" si="183"/>
        <v>1855.2769111292193</v>
      </c>
      <c r="S266" s="445">
        <f t="shared" si="183"/>
        <v>1766.9303915516375</v>
      </c>
      <c r="T266" s="445">
        <f t="shared" si="183"/>
        <v>1678.5838719740555</v>
      </c>
      <c r="U266" s="445">
        <f t="shared" si="183"/>
        <v>1590.2373523964736</v>
      </c>
      <c r="V266" s="445">
        <f t="shared" si="183"/>
        <v>1501.8908328188918</v>
      </c>
      <c r="W266" s="445">
        <f t="shared" si="183"/>
        <v>1413.5443132413097</v>
      </c>
      <c r="X266" s="445">
        <f t="shared" si="183"/>
        <v>1325.1977936637277</v>
      </c>
      <c r="Y266" s="445">
        <f t="shared" si="183"/>
        <v>1236.8512740861458</v>
      </c>
      <c r="Z266" s="445">
        <f t="shared" si="183"/>
        <v>1148.504754508564</v>
      </c>
      <c r="AA266" s="445">
        <f t="shared" si="183"/>
        <v>1060.158234930982</v>
      </c>
      <c r="AB266" s="445">
        <f t="shared" si="183"/>
        <v>971.81171535340002</v>
      </c>
      <c r="AC266" s="445">
        <f t="shared" si="183"/>
        <v>883.46519577581807</v>
      </c>
      <c r="AD266" s="445">
        <f t="shared" si="183"/>
        <v>795.11867619823624</v>
      </c>
      <c r="AE266" s="445">
        <f t="shared" si="183"/>
        <v>706.77215662065441</v>
      </c>
      <c r="AF266" s="445">
        <f t="shared" si="183"/>
        <v>618.42563704307258</v>
      </c>
      <c r="AG266" s="445">
        <f t="shared" si="183"/>
        <v>530.07911746549075</v>
      </c>
      <c r="AH266" s="445">
        <f t="shared" si="183"/>
        <v>441.73259788790904</v>
      </c>
      <c r="AI266" s="445">
        <f t="shared" si="183"/>
        <v>353.38607831032721</v>
      </c>
      <c r="AJ266" s="445">
        <f t="shared" si="183"/>
        <v>265.03955873274538</v>
      </c>
      <c r="AK266" s="445">
        <f t="shared" si="183"/>
        <v>176.6930391551636</v>
      </c>
      <c r="AL266" s="445">
        <f t="shared" si="183"/>
        <v>88.346519577581802</v>
      </c>
      <c r="AM266" s="445">
        <f t="shared" si="183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461683.59791571612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26692.05739299117</v>
      </c>
      <c r="M267" s="183"/>
      <c r="N267" s="183"/>
      <c r="O267" s="450">
        <f>$G$267*$H$267</f>
        <v>2308.4179895785805</v>
      </c>
      <c r="P267" s="450">
        <f>$H$267*($L$75-SUM($O75:P$75))*$F$267</f>
        <v>2031.969950284383</v>
      </c>
      <c r="Q267" s="450">
        <f>$H$267*($L$75-SUM($O75:Q$75))*$F$267</f>
        <v>1943.6234307068016</v>
      </c>
      <c r="R267" s="450">
        <f>$H$267*($L$75-SUM($O75:R$75))*$F$267</f>
        <v>1855.2769111292193</v>
      </c>
      <c r="S267" s="450">
        <f>$H$267*($L$75-SUM($O75:S$75))*$F$267</f>
        <v>1766.9303915516375</v>
      </c>
      <c r="T267" s="450">
        <f>$H$267*($L$75-SUM($O75:T$75))*$F$267</f>
        <v>1678.5838719740555</v>
      </c>
      <c r="U267" s="450">
        <f>$H$267*($L$75-SUM($O75:U$75))*$F$267</f>
        <v>1590.2373523964736</v>
      </c>
      <c r="V267" s="450">
        <f>$H$267*($L$75-SUM($O75:V$75))*$F$267</f>
        <v>1501.8908328188918</v>
      </c>
      <c r="W267" s="450">
        <f>$H$267*($L$75-SUM($O75:W$75))*$F$267</f>
        <v>1413.5443132413097</v>
      </c>
      <c r="X267" s="450">
        <f>$H$267*($L$75-SUM($O75:X$75))*$F$267</f>
        <v>1325.1977936637277</v>
      </c>
      <c r="Y267" s="450">
        <f>$H$267*($L$75-SUM($O75:Y$75))*$F$267</f>
        <v>1236.8512740861458</v>
      </c>
      <c r="Z267" s="450">
        <f>$H$267*($L$75-SUM($O75:Z$75))*$F$267</f>
        <v>1148.504754508564</v>
      </c>
      <c r="AA267" s="450">
        <f>$H$267*($L$75-SUM($O75:AA$75))*$F$267</f>
        <v>1060.158234930982</v>
      </c>
      <c r="AB267" s="450">
        <f>$H$267*($L$75-SUM($O75:AB$75))*$F$267</f>
        <v>971.81171535340002</v>
      </c>
      <c r="AC267" s="450">
        <f>$H$267*($L$75-SUM($O75:AC$75))*$F$267</f>
        <v>883.46519577581807</v>
      </c>
      <c r="AD267" s="450">
        <f>$H$267*($L$75-SUM($O75:AD$75))*$F$267</f>
        <v>795.11867619823624</v>
      </c>
      <c r="AE267" s="450">
        <f>$H$267*($L$75-SUM($O75:AE$75))*$F$267</f>
        <v>706.77215662065441</v>
      </c>
      <c r="AF267" s="450">
        <f>$H$267*($L$75-SUM($O75:AF$75))*$F$267</f>
        <v>618.42563704307258</v>
      </c>
      <c r="AG267" s="450">
        <f>$H$267*($L$75-SUM($O75:AG$75))*$F$267</f>
        <v>530.07911746549075</v>
      </c>
      <c r="AH267" s="450">
        <f>$H$267*($L$75-SUM($O75:AH$75))*$F$267</f>
        <v>441.73259788790904</v>
      </c>
      <c r="AI267" s="450">
        <f>$H$267*($L$75-SUM($O75:AI$75))*$F$267</f>
        <v>353.38607831032721</v>
      </c>
      <c r="AJ267" s="450">
        <f>$H$267*($L$75-SUM($O75:AJ$75))*$F$267</f>
        <v>265.03955873274538</v>
      </c>
      <c r="AK267" s="450">
        <f>$H$267*($L$75-SUM($O75:AK$75))*$F$267</f>
        <v>176.6930391551636</v>
      </c>
      <c r="AL267" s="450">
        <f>$H$267*($L$75-SUM($O75:AL$75))*$F$267</f>
        <v>88.346519577581802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153894.53263857204</v>
      </c>
      <c r="H268" s="452">
        <v>5.0000000000000001E-3</v>
      </c>
      <c r="I268" s="451"/>
      <c r="J268" s="451"/>
      <c r="K268" s="451"/>
      <c r="L268" s="453">
        <f>SUM(O268:AM268)</f>
        <v>769.47266319286018</v>
      </c>
      <c r="M268" s="183"/>
      <c r="N268" s="183"/>
      <c r="O268" s="454">
        <f>$H$268*$G$268</f>
        <v>769.47266319286018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1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 t="shared" ref="O272:AM272" si="184">O273+O275</f>
        <v>1239084.7956810251</v>
      </c>
      <c r="P272" s="348">
        <f t="shared" si="184"/>
        <v>1239084.7956810251</v>
      </c>
      <c r="Q272" s="348">
        <f t="shared" si="184"/>
        <v>1239084.7956810251</v>
      </c>
      <c r="R272" s="348">
        <f t="shared" si="184"/>
        <v>1239084.7956810251</v>
      </c>
      <c r="S272" s="348">
        <f t="shared" si="184"/>
        <v>1758837.0342588003</v>
      </c>
      <c r="T272" s="348">
        <f t="shared" si="184"/>
        <v>1758837.0342588003</v>
      </c>
      <c r="U272" s="348">
        <f t="shared" si="184"/>
        <v>1758837.0342588003</v>
      </c>
      <c r="V272" s="348">
        <f t="shared" si="184"/>
        <v>1805416.7934956506</v>
      </c>
      <c r="W272" s="348">
        <f t="shared" si="184"/>
        <v>1872954.5521578325</v>
      </c>
      <c r="X272" s="348">
        <f t="shared" si="184"/>
        <v>1872954.5521578325</v>
      </c>
      <c r="Y272" s="348">
        <f t="shared" si="184"/>
        <v>2389174.6654805499</v>
      </c>
      <c r="Z272" s="348">
        <f t="shared" si="184"/>
        <v>2389174.6654805499</v>
      </c>
      <c r="AA272" s="348">
        <f t="shared" si="184"/>
        <v>2624299.3581723515</v>
      </c>
      <c r="AB272" s="348">
        <f t="shared" si="184"/>
        <v>2624299.3581723515</v>
      </c>
      <c r="AC272" s="348">
        <f t="shared" si="184"/>
        <v>2624299.3581723515</v>
      </c>
      <c r="AD272" s="348">
        <f t="shared" si="184"/>
        <v>3187048.5273044226</v>
      </c>
      <c r="AE272" s="348">
        <f t="shared" si="184"/>
        <v>3196803.8091319837</v>
      </c>
      <c r="AF272" s="348">
        <f t="shared" si="184"/>
        <v>3254636.9893941013</v>
      </c>
      <c r="AG272" s="348">
        <f t="shared" si="184"/>
        <v>3254636.9893941013</v>
      </c>
      <c r="AH272" s="348">
        <f t="shared" si="184"/>
        <v>3254636.9893941013</v>
      </c>
      <c r="AI272" s="348">
        <f t="shared" si="184"/>
        <v>3774338.5245443797</v>
      </c>
      <c r="AJ272" s="348">
        <f t="shared" si="184"/>
        <v>3774338.5245443797</v>
      </c>
      <c r="AK272" s="348">
        <f t="shared" si="184"/>
        <v>3820918.28378123</v>
      </c>
      <c r="AL272" s="348">
        <f t="shared" si="184"/>
        <v>3820918.28378123</v>
      </c>
      <c r="AM272" s="348">
        <f t="shared" si="184"/>
        <v>3824399.7056087912</v>
      </c>
    </row>
    <row r="273" spans="1:39" ht="15" customHeight="1" x14ac:dyDescent="0.3">
      <c r="B273" s="100" t="s">
        <v>5184</v>
      </c>
      <c r="L273" s="303"/>
      <c r="O273" s="303">
        <f>SUM(O274)</f>
        <v>0</v>
      </c>
      <c r="P273" s="303">
        <f t="shared" ref="P273:AM273" si="185">SUM(P274)</f>
        <v>0</v>
      </c>
      <c r="Q273" s="303">
        <f t="shared" si="185"/>
        <v>0</v>
      </c>
      <c r="R273" s="303">
        <f t="shared" si="185"/>
        <v>0</v>
      </c>
      <c r="S273" s="303">
        <f t="shared" si="185"/>
        <v>0</v>
      </c>
      <c r="T273" s="303">
        <f t="shared" si="185"/>
        <v>0</v>
      </c>
      <c r="U273" s="303">
        <f t="shared" si="185"/>
        <v>0</v>
      </c>
      <c r="V273" s="303">
        <f t="shared" si="185"/>
        <v>0</v>
      </c>
      <c r="W273" s="303">
        <f t="shared" si="185"/>
        <v>0</v>
      </c>
      <c r="X273" s="303">
        <f t="shared" si="185"/>
        <v>0</v>
      </c>
      <c r="Y273" s="303">
        <f t="shared" si="185"/>
        <v>0</v>
      </c>
      <c r="Z273" s="303">
        <f t="shared" si="185"/>
        <v>0</v>
      </c>
      <c r="AA273" s="303">
        <f t="shared" si="185"/>
        <v>0</v>
      </c>
      <c r="AB273" s="303">
        <f t="shared" si="185"/>
        <v>0</v>
      </c>
      <c r="AC273" s="303">
        <f t="shared" si="185"/>
        <v>0</v>
      </c>
      <c r="AD273" s="303">
        <f t="shared" si="185"/>
        <v>0</v>
      </c>
      <c r="AE273" s="303">
        <f t="shared" si="185"/>
        <v>0</v>
      </c>
      <c r="AF273" s="303">
        <f t="shared" si="185"/>
        <v>0</v>
      </c>
      <c r="AG273" s="303">
        <f t="shared" si="185"/>
        <v>0</v>
      </c>
      <c r="AH273" s="303">
        <f t="shared" si="185"/>
        <v>0</v>
      </c>
      <c r="AI273" s="303">
        <f t="shared" si="185"/>
        <v>0</v>
      </c>
      <c r="AJ273" s="303">
        <f t="shared" si="185"/>
        <v>0</v>
      </c>
      <c r="AK273" s="303">
        <f t="shared" si="185"/>
        <v>0</v>
      </c>
      <c r="AL273" s="303">
        <f t="shared" si="185"/>
        <v>0</v>
      </c>
      <c r="AM273" s="303">
        <f t="shared" si="185"/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1">
        <v>0</v>
      </c>
      <c r="U274" s="361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1">
        <v>0</v>
      </c>
      <c r="AD274" s="361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1">
        <v>0</v>
      </c>
      <c r="AM274" s="361"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O276</f>
        <v>1239084.7956810251</v>
      </c>
      <c r="P275" s="347">
        <f t="shared" ref="P275:AM275" si="186">P276</f>
        <v>1239084.7956810251</v>
      </c>
      <c r="Q275" s="347">
        <f t="shared" si="186"/>
        <v>1239084.7956810251</v>
      </c>
      <c r="R275" s="347">
        <f t="shared" si="186"/>
        <v>1239084.7956810251</v>
      </c>
      <c r="S275" s="347">
        <f t="shared" si="186"/>
        <v>1758837.0342588003</v>
      </c>
      <c r="T275" s="347">
        <f t="shared" si="186"/>
        <v>1758837.0342588003</v>
      </c>
      <c r="U275" s="347">
        <f t="shared" si="186"/>
        <v>1758837.0342588003</v>
      </c>
      <c r="V275" s="347">
        <f t="shared" si="186"/>
        <v>1805416.7934956506</v>
      </c>
      <c r="W275" s="347">
        <f t="shared" si="186"/>
        <v>1872954.5521578325</v>
      </c>
      <c r="X275" s="347">
        <f t="shared" si="186"/>
        <v>1872954.5521578325</v>
      </c>
      <c r="Y275" s="347">
        <f t="shared" si="186"/>
        <v>2389174.6654805499</v>
      </c>
      <c r="Z275" s="347">
        <f t="shared" si="186"/>
        <v>2389174.6654805499</v>
      </c>
      <c r="AA275" s="347">
        <f t="shared" si="186"/>
        <v>2624299.3581723515</v>
      </c>
      <c r="AB275" s="347">
        <f t="shared" si="186"/>
        <v>2624299.3581723515</v>
      </c>
      <c r="AC275" s="347">
        <f t="shared" si="186"/>
        <v>2624299.3581723515</v>
      </c>
      <c r="AD275" s="347">
        <f t="shared" si="186"/>
        <v>3187048.5273044226</v>
      </c>
      <c r="AE275" s="347">
        <f t="shared" si="186"/>
        <v>3196803.8091319837</v>
      </c>
      <c r="AF275" s="347">
        <f t="shared" si="186"/>
        <v>3254636.9893941013</v>
      </c>
      <c r="AG275" s="347">
        <f t="shared" si="186"/>
        <v>3254636.9893941013</v>
      </c>
      <c r="AH275" s="347">
        <f t="shared" si="186"/>
        <v>3254636.9893941013</v>
      </c>
      <c r="AI275" s="347">
        <f t="shared" si="186"/>
        <v>3774338.5245443797</v>
      </c>
      <c r="AJ275" s="347">
        <f t="shared" si="186"/>
        <v>3774338.5245443797</v>
      </c>
      <c r="AK275" s="347">
        <f t="shared" si="186"/>
        <v>3820918.28378123</v>
      </c>
      <c r="AL275" s="347">
        <f t="shared" si="186"/>
        <v>3820918.28378123</v>
      </c>
      <c r="AM275" s="347">
        <f t="shared" si="186"/>
        <v>3824399.7056087912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-SUM($O150:O150)</f>
        <v>1239084.7956810251</v>
      </c>
      <c r="P276" s="366">
        <f>-SUM($O150:P150)</f>
        <v>1239084.7956810251</v>
      </c>
      <c r="Q276" s="366">
        <f>-SUM($O150:Q150)</f>
        <v>1239084.7956810251</v>
      </c>
      <c r="R276" s="366">
        <f>-SUM($O150:R150)</f>
        <v>1239084.7956810251</v>
      </c>
      <c r="S276" s="366">
        <f>-SUM($O150:S150)</f>
        <v>1758837.0342588003</v>
      </c>
      <c r="T276" s="366">
        <f>-SUM($O150:T150)</f>
        <v>1758837.0342588003</v>
      </c>
      <c r="U276" s="366">
        <f>-SUM($O150:U150)</f>
        <v>1758837.0342588003</v>
      </c>
      <c r="V276" s="366">
        <f>-SUM($O150:V150)</f>
        <v>1805416.7934956506</v>
      </c>
      <c r="W276" s="366">
        <f>-SUM($O150:W150)</f>
        <v>1872954.5521578325</v>
      </c>
      <c r="X276" s="366">
        <f>-SUM($O150:X150)</f>
        <v>1872954.5521578325</v>
      </c>
      <c r="Y276" s="366">
        <f>-SUM($O150:Y150)</f>
        <v>2389174.6654805499</v>
      </c>
      <c r="Z276" s="366">
        <f>-SUM($O150:Z150)</f>
        <v>2389174.6654805499</v>
      </c>
      <c r="AA276" s="366">
        <f>-SUM($O150:AA150)</f>
        <v>2624299.3581723515</v>
      </c>
      <c r="AB276" s="366">
        <f>-SUM($O150:AB150)</f>
        <v>2624299.3581723515</v>
      </c>
      <c r="AC276" s="366">
        <f>-SUM($O150:AC150)</f>
        <v>2624299.3581723515</v>
      </c>
      <c r="AD276" s="366">
        <f>-SUM($O150:AD150)</f>
        <v>3187048.5273044226</v>
      </c>
      <c r="AE276" s="366">
        <f>-SUM($O150:AE150)</f>
        <v>3196803.8091319837</v>
      </c>
      <c r="AF276" s="366">
        <f>-SUM($O150:AF150)</f>
        <v>3254636.9893941013</v>
      </c>
      <c r="AG276" s="366">
        <f>-SUM($O150:AG150)</f>
        <v>3254636.9893941013</v>
      </c>
      <c r="AH276" s="366">
        <f>-SUM($O150:AH150)</f>
        <v>3254636.9893941013</v>
      </c>
      <c r="AI276" s="366">
        <f>-SUM($O150:AI150)</f>
        <v>3774338.5245443797</v>
      </c>
      <c r="AJ276" s="366">
        <f>-SUM($O150:AJ150)</f>
        <v>3774338.5245443797</v>
      </c>
      <c r="AK276" s="366">
        <f>-SUM($O150:AK150)</f>
        <v>3820918.28378123</v>
      </c>
      <c r="AL276" s="366">
        <f>-SUM($O150:AL150)</f>
        <v>3820918.28378123</v>
      </c>
      <c r="AM276" s="366">
        <f>-SUM($O150:AM150)</f>
        <v>3824399.7056087912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SUM(O279:O280)</f>
        <v>1239084.7956810251</v>
      </c>
      <c r="P278" s="348">
        <f t="shared" ref="P278:AM278" si="187">SUM(P279:P280)</f>
        <v>1239084.7956810251</v>
      </c>
      <c r="Q278" s="348">
        <f t="shared" si="187"/>
        <v>1239084.7956810251</v>
      </c>
      <c r="R278" s="348">
        <f t="shared" si="187"/>
        <v>1239084.7956810251</v>
      </c>
      <c r="S278" s="348">
        <f t="shared" si="187"/>
        <v>1758837.0342588003</v>
      </c>
      <c r="T278" s="348">
        <f t="shared" si="187"/>
        <v>1758837.0342588003</v>
      </c>
      <c r="U278" s="348">
        <f t="shared" si="187"/>
        <v>1758837.0342588003</v>
      </c>
      <c r="V278" s="348">
        <f t="shared" si="187"/>
        <v>1805416.7934956506</v>
      </c>
      <c r="W278" s="348">
        <f t="shared" si="187"/>
        <v>1872954.5521578325</v>
      </c>
      <c r="X278" s="348">
        <f t="shared" si="187"/>
        <v>1872954.5521578325</v>
      </c>
      <c r="Y278" s="348">
        <f t="shared" si="187"/>
        <v>2389174.6654805499</v>
      </c>
      <c r="Z278" s="348">
        <f t="shared" si="187"/>
        <v>2389174.6654805499</v>
      </c>
      <c r="AA278" s="348">
        <f t="shared" si="187"/>
        <v>2624299.3581723515</v>
      </c>
      <c r="AB278" s="348">
        <f t="shared" si="187"/>
        <v>2624299.3581723515</v>
      </c>
      <c r="AC278" s="348">
        <f t="shared" si="187"/>
        <v>2624299.3581723515</v>
      </c>
      <c r="AD278" s="348">
        <f t="shared" si="187"/>
        <v>3187048.5273044226</v>
      </c>
      <c r="AE278" s="348">
        <f t="shared" si="187"/>
        <v>3196803.8091319837</v>
      </c>
      <c r="AF278" s="348">
        <f t="shared" si="187"/>
        <v>3254636.9893941013</v>
      </c>
      <c r="AG278" s="348">
        <f t="shared" si="187"/>
        <v>3254636.9893941013</v>
      </c>
      <c r="AH278" s="348">
        <f t="shared" si="187"/>
        <v>3254636.9893941013</v>
      </c>
      <c r="AI278" s="348">
        <f t="shared" si="187"/>
        <v>3774338.5245443797</v>
      </c>
      <c r="AJ278" s="348">
        <f t="shared" si="187"/>
        <v>3774338.5245443797</v>
      </c>
      <c r="AK278" s="348">
        <f t="shared" si="187"/>
        <v>3820918.28378123</v>
      </c>
      <c r="AL278" s="348">
        <f t="shared" si="187"/>
        <v>3820918.28378123</v>
      </c>
      <c r="AM278" s="348">
        <f t="shared" si="187"/>
        <v>3824399.7056087912</v>
      </c>
    </row>
    <row r="279" spans="1:39" ht="15" customHeight="1" x14ac:dyDescent="0.3">
      <c r="B279" s="100" t="s">
        <v>5188</v>
      </c>
      <c r="O279" s="303">
        <f>SUM($O163:O163,$O164:O164)</f>
        <v>716988.14758634777</v>
      </c>
      <c r="P279" s="303">
        <f>SUM($O163:P163,$O164:P164)</f>
        <v>597490.1229886231</v>
      </c>
      <c r="Q279" s="303">
        <f>SUM($O163:Q163,$O164:Q164)</f>
        <v>477992.09839089849</v>
      </c>
      <c r="R279" s="303">
        <f>SUM($O163:R163,$O164:R164)</f>
        <v>358494.07379317388</v>
      </c>
      <c r="S279" s="303">
        <f>SUM($O163:S163,$O164:S164)</f>
        <v>238996.04919544928</v>
      </c>
      <c r="T279" s="303">
        <f>SUM($O163:T163,$O164:T164)</f>
        <v>119498.02459772465</v>
      </c>
      <c r="U279" s="303">
        <f>SUM($O163:U163,$O164:U164)</f>
        <v>0</v>
      </c>
      <c r="V279" s="303">
        <f>SUM($O163:V163,$O164:V164)</f>
        <v>2.9103830456733704E-11</v>
      </c>
      <c r="W279" s="303">
        <f>SUM($O163:W163,$O164:W164)</f>
        <v>2.9103830456733704E-11</v>
      </c>
      <c r="X279" s="303">
        <f>SUM($O163:X163,$O164:X164)</f>
        <v>2.9103830456733704E-11</v>
      </c>
      <c r="Y279" s="303">
        <f>SUM($O163:Y163,$O164:Y164)</f>
        <v>2.9103830456733704E-11</v>
      </c>
      <c r="Z279" s="303">
        <f>SUM($O163:Z163,$O164:Z164)</f>
        <v>2.9103830456733704E-11</v>
      </c>
      <c r="AA279" s="303">
        <f>SUM($O163:AA163,$O164:AA164)</f>
        <v>2.9103830456733704E-11</v>
      </c>
      <c r="AB279" s="303">
        <f>SUM($O163:AB163,$O164:AB164)</f>
        <v>2.9103830456733704E-11</v>
      </c>
      <c r="AC279" s="303">
        <f>SUM($O163:AC163,$O164:AC164)</f>
        <v>2.9103830456733704E-11</v>
      </c>
      <c r="AD279" s="303">
        <f>SUM($O163:AD163,$O164:AD164)</f>
        <v>2.9103830456733704E-11</v>
      </c>
      <c r="AE279" s="303">
        <f>SUM($O163:AE163,$O164:AE164)</f>
        <v>2.9103830456733704E-11</v>
      </c>
      <c r="AF279" s="303">
        <f>SUM($O163:AF163,$O164:AF164)</f>
        <v>2.9103830456733704E-11</v>
      </c>
      <c r="AG279" s="303">
        <f>SUM($O163:AG163,$O164:AG164)</f>
        <v>2.9103830456733704E-11</v>
      </c>
      <c r="AH279" s="303">
        <f>SUM($O163:AH163,$O164:AH164)</f>
        <v>2.9103830456733704E-11</v>
      </c>
      <c r="AI279" s="303">
        <f>SUM($O163:AI163,$O164:AI164)</f>
        <v>2.9103830456733704E-11</v>
      </c>
      <c r="AJ279" s="303">
        <f>SUM($O163:AJ163,$O164:AJ164)</f>
        <v>2.9103830456733704E-11</v>
      </c>
      <c r="AK279" s="303">
        <f>SUM($O163:AK163,$O164:AK164)</f>
        <v>2.9103830456733704E-11</v>
      </c>
      <c r="AL279" s="303">
        <f>SUM($O163:AL163,$O164:AL164)</f>
        <v>2.9103830456733704E-11</v>
      </c>
      <c r="AM279" s="303">
        <f>SUM($O163:AM163,$O164:AM164)</f>
        <v>2.9103830456733704E-11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O272-O279</f>
        <v>522096.64809467737</v>
      </c>
      <c r="P280" s="361">
        <f t="shared" ref="P280:AM280" si="188">P272-P279</f>
        <v>641594.67269240203</v>
      </c>
      <c r="Q280" s="361">
        <f t="shared" si="188"/>
        <v>761092.6972901267</v>
      </c>
      <c r="R280" s="361">
        <f t="shared" si="188"/>
        <v>880590.72188785125</v>
      </c>
      <c r="S280" s="361">
        <f t="shared" si="188"/>
        <v>1519840.985063351</v>
      </c>
      <c r="T280" s="361">
        <f t="shared" si="188"/>
        <v>1639339.0096610757</v>
      </c>
      <c r="U280" s="361">
        <f t="shared" si="188"/>
        <v>1758837.0342588003</v>
      </c>
      <c r="V280" s="361">
        <f t="shared" si="188"/>
        <v>1805416.7934956506</v>
      </c>
      <c r="W280" s="361">
        <f t="shared" si="188"/>
        <v>1872954.5521578325</v>
      </c>
      <c r="X280" s="361">
        <f t="shared" si="188"/>
        <v>1872954.5521578325</v>
      </c>
      <c r="Y280" s="361">
        <f t="shared" si="188"/>
        <v>2389174.6654805499</v>
      </c>
      <c r="Z280" s="361">
        <f t="shared" si="188"/>
        <v>2389174.6654805499</v>
      </c>
      <c r="AA280" s="361">
        <f t="shared" si="188"/>
        <v>2624299.3581723515</v>
      </c>
      <c r="AB280" s="361">
        <f t="shared" si="188"/>
        <v>2624299.3581723515</v>
      </c>
      <c r="AC280" s="361">
        <f t="shared" si="188"/>
        <v>2624299.3581723515</v>
      </c>
      <c r="AD280" s="361">
        <f t="shared" si="188"/>
        <v>3187048.5273044226</v>
      </c>
      <c r="AE280" s="361">
        <f t="shared" si="188"/>
        <v>3196803.8091319837</v>
      </c>
      <c r="AF280" s="361">
        <f t="shared" si="188"/>
        <v>3254636.9893941013</v>
      </c>
      <c r="AG280" s="361">
        <f t="shared" si="188"/>
        <v>3254636.9893941013</v>
      </c>
      <c r="AH280" s="361">
        <f t="shared" si="188"/>
        <v>3254636.9893941013</v>
      </c>
      <c r="AI280" s="361">
        <f t="shared" si="188"/>
        <v>3774338.5245443797</v>
      </c>
      <c r="AJ280" s="361">
        <f t="shared" si="188"/>
        <v>3774338.5245443797</v>
      </c>
      <c r="AK280" s="361">
        <f t="shared" si="188"/>
        <v>3820918.28378123</v>
      </c>
      <c r="AL280" s="361">
        <f t="shared" si="188"/>
        <v>3820918.28378123</v>
      </c>
      <c r="AM280" s="361">
        <f t="shared" si="188"/>
        <v>3824399.7056087912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v>0</v>
      </c>
      <c r="P286" s="367">
        <f>O288</f>
        <v>-1053.9851309595851</v>
      </c>
      <c r="Q286" s="367">
        <f t="shared" ref="Q286:AM286" si="189">P288</f>
        <v>829917.49136758386</v>
      </c>
      <c r="R286" s="367">
        <f t="shared" si="189"/>
        <v>1028045.7322579456</v>
      </c>
      <c r="S286" s="367">
        <f t="shared" si="189"/>
        <v>1250788.4789284416</v>
      </c>
      <c r="T286" s="367">
        <f t="shared" si="189"/>
        <v>1489268.3017824218</v>
      </c>
      <c r="U286" s="367">
        <f t="shared" si="189"/>
        <v>1689057.348286232</v>
      </c>
      <c r="V286" s="367">
        <f t="shared" si="189"/>
        <v>1910493.5156880314</v>
      </c>
      <c r="W286" s="367">
        <f t="shared" si="189"/>
        <v>2143150.8183026197</v>
      </c>
      <c r="X286" s="367">
        <f t="shared" si="189"/>
        <v>2396075.8538948633</v>
      </c>
      <c r="Y286" s="367">
        <f t="shared" si="189"/>
        <v>2664089.9277220783</v>
      </c>
      <c r="Z286" s="367">
        <f t="shared" si="189"/>
        <v>2944818.9580394225</v>
      </c>
      <c r="AA286" s="367">
        <f t="shared" si="189"/>
        <v>3207024.842331517</v>
      </c>
      <c r="AB286" s="367">
        <f t="shared" si="189"/>
        <v>3481351.2592858109</v>
      </c>
      <c r="AC286" s="367">
        <f t="shared" si="189"/>
        <v>3764419.7133530509</v>
      </c>
      <c r="AD286" s="367">
        <f t="shared" si="189"/>
        <v>4069129.0996462805</v>
      </c>
      <c r="AE286" s="367">
        <f t="shared" si="189"/>
        <v>4393260.1936309664</v>
      </c>
      <c r="AF286" s="367">
        <f t="shared" si="189"/>
        <v>4695407.6790939132</v>
      </c>
      <c r="AG286" s="367">
        <f t="shared" si="189"/>
        <v>5015735.96946947</v>
      </c>
      <c r="AH286" s="367">
        <f t="shared" si="189"/>
        <v>5363834.1065599807</v>
      </c>
      <c r="AI286" s="367">
        <f t="shared" si="189"/>
        <v>5743094.1218092162</v>
      </c>
      <c r="AJ286" s="367">
        <f t="shared" si="189"/>
        <v>6146030.3922481043</v>
      </c>
      <c r="AK286" s="367">
        <f t="shared" si="189"/>
        <v>6542147.723344421</v>
      </c>
      <c r="AL286" s="367">
        <f t="shared" si="189"/>
        <v>6963598.0438333899</v>
      </c>
      <c r="AM286" s="367">
        <f t="shared" si="189"/>
        <v>7427041.5805130601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 t="shared" ref="O287:AM287" si="190">O138</f>
        <v>-1053.9851309595851</v>
      </c>
      <c r="P287" s="367">
        <f t="shared" si="190"/>
        <v>830971.4764985434</v>
      </c>
      <c r="Q287" s="367">
        <f t="shared" si="190"/>
        <v>198128.24089036172</v>
      </c>
      <c r="R287" s="367">
        <f t="shared" si="190"/>
        <v>222742.74667049618</v>
      </c>
      <c r="S287" s="367">
        <f t="shared" si="190"/>
        <v>238479.82285398018</v>
      </c>
      <c r="T287" s="367">
        <f t="shared" si="190"/>
        <v>199789.04650381027</v>
      </c>
      <c r="U287" s="367">
        <f t="shared" si="190"/>
        <v>221436.16740179952</v>
      </c>
      <c r="V287" s="367">
        <f t="shared" si="190"/>
        <v>232657.30261458841</v>
      </c>
      <c r="W287" s="367">
        <f t="shared" si="190"/>
        <v>252925.0355922436</v>
      </c>
      <c r="X287" s="367">
        <f t="shared" si="190"/>
        <v>268014.07382721512</v>
      </c>
      <c r="Y287" s="367">
        <f t="shared" si="190"/>
        <v>280729.03031734406</v>
      </c>
      <c r="Z287" s="367">
        <f t="shared" si="190"/>
        <v>262205.88429209456</v>
      </c>
      <c r="AA287" s="367">
        <f t="shared" si="190"/>
        <v>274326.41695429391</v>
      </c>
      <c r="AB287" s="367">
        <f t="shared" si="190"/>
        <v>283068.45406724018</v>
      </c>
      <c r="AC287" s="367">
        <f t="shared" si="190"/>
        <v>304709.38629322982</v>
      </c>
      <c r="AD287" s="367">
        <f t="shared" si="190"/>
        <v>324131.09398468619</v>
      </c>
      <c r="AE287" s="367">
        <f t="shared" si="190"/>
        <v>302147.48546294676</v>
      </c>
      <c r="AF287" s="367">
        <f t="shared" si="190"/>
        <v>320328.29037555651</v>
      </c>
      <c r="AG287" s="367">
        <f t="shared" si="190"/>
        <v>348098.13709051081</v>
      </c>
      <c r="AH287" s="367">
        <f t="shared" si="190"/>
        <v>379260.01524923602</v>
      </c>
      <c r="AI287" s="367">
        <f t="shared" si="190"/>
        <v>402936.27043888828</v>
      </c>
      <c r="AJ287" s="367">
        <f t="shared" si="190"/>
        <v>396117.3310963171</v>
      </c>
      <c r="AK287" s="367">
        <f t="shared" si="190"/>
        <v>421450.32048896904</v>
      </c>
      <c r="AL287" s="367">
        <f t="shared" si="190"/>
        <v>463443.53667967045</v>
      </c>
      <c r="AM287" s="367">
        <f t="shared" si="190"/>
        <v>521169.38422420359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-1053.9851309595851</v>
      </c>
      <c r="P288" s="367">
        <f t="shared" ref="P288:AM288" si="191">P287+P286</f>
        <v>829917.49136758386</v>
      </c>
      <c r="Q288" s="367">
        <f t="shared" si="191"/>
        <v>1028045.7322579456</v>
      </c>
      <c r="R288" s="367">
        <f t="shared" si="191"/>
        <v>1250788.4789284416</v>
      </c>
      <c r="S288" s="367">
        <f t="shared" si="191"/>
        <v>1489268.3017824218</v>
      </c>
      <c r="T288" s="367">
        <f t="shared" si="191"/>
        <v>1689057.348286232</v>
      </c>
      <c r="U288" s="367">
        <f t="shared" si="191"/>
        <v>1910493.5156880314</v>
      </c>
      <c r="V288" s="367">
        <f t="shared" si="191"/>
        <v>2143150.8183026197</v>
      </c>
      <c r="W288" s="367">
        <f t="shared" si="191"/>
        <v>2396075.8538948633</v>
      </c>
      <c r="X288" s="367">
        <f t="shared" si="191"/>
        <v>2664089.9277220783</v>
      </c>
      <c r="Y288" s="367">
        <f t="shared" si="191"/>
        <v>2944818.9580394225</v>
      </c>
      <c r="Z288" s="367">
        <f t="shared" si="191"/>
        <v>3207024.842331517</v>
      </c>
      <c r="AA288" s="367">
        <f t="shared" si="191"/>
        <v>3481351.2592858109</v>
      </c>
      <c r="AB288" s="367">
        <f t="shared" si="191"/>
        <v>3764419.7133530509</v>
      </c>
      <c r="AC288" s="367">
        <f t="shared" si="191"/>
        <v>4069129.0996462805</v>
      </c>
      <c r="AD288" s="367">
        <f t="shared" si="191"/>
        <v>4393260.1936309664</v>
      </c>
      <c r="AE288" s="367">
        <f t="shared" si="191"/>
        <v>4695407.6790939132</v>
      </c>
      <c r="AF288" s="367">
        <f t="shared" si="191"/>
        <v>5015735.96946947</v>
      </c>
      <c r="AG288" s="367">
        <f t="shared" si="191"/>
        <v>5363834.1065599807</v>
      </c>
      <c r="AH288" s="367">
        <f t="shared" si="191"/>
        <v>5743094.1218092162</v>
      </c>
      <c r="AI288" s="367">
        <f t="shared" si="191"/>
        <v>6146030.3922481043</v>
      </c>
      <c r="AJ288" s="367">
        <f t="shared" si="191"/>
        <v>6542147.723344421</v>
      </c>
      <c r="AK288" s="367">
        <f t="shared" si="191"/>
        <v>6963598.0438333899</v>
      </c>
      <c r="AL288" s="367">
        <f t="shared" si="191"/>
        <v>7427041.5805130601</v>
      </c>
      <c r="AM288" s="367">
        <f t="shared" si="191"/>
        <v>7948210.9647372635</v>
      </c>
    </row>
    <row r="289" spans="2:50" ht="14.25" customHeight="1" x14ac:dyDescent="0.3"/>
    <row r="290" spans="2:50" ht="15" customHeight="1" x14ac:dyDescent="0.3">
      <c r="B290" s="326" t="s">
        <v>5161</v>
      </c>
    </row>
    <row r="291" spans="2:50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v>0</v>
      </c>
      <c r="P291" s="367">
        <f t="shared" ref="P291:AM291" si="192">O294</f>
        <v>0</v>
      </c>
      <c r="Q291" s="367">
        <f t="shared" si="192"/>
        <v>0</v>
      </c>
      <c r="R291" s="367">
        <f t="shared" si="192"/>
        <v>0</v>
      </c>
      <c r="S291" s="367">
        <f t="shared" si="192"/>
        <v>0</v>
      </c>
      <c r="T291" s="367">
        <f t="shared" si="192"/>
        <v>0</v>
      </c>
      <c r="U291" s="367">
        <f t="shared" si="192"/>
        <v>0</v>
      </c>
      <c r="V291" s="367">
        <f t="shared" si="192"/>
        <v>0</v>
      </c>
      <c r="W291" s="367">
        <f t="shared" si="192"/>
        <v>0</v>
      </c>
      <c r="X291" s="367">
        <f t="shared" si="192"/>
        <v>0</v>
      </c>
      <c r="Y291" s="367">
        <f t="shared" si="192"/>
        <v>0</v>
      </c>
      <c r="Z291" s="367">
        <f t="shared" si="192"/>
        <v>0</v>
      </c>
      <c r="AA291" s="367">
        <f t="shared" si="192"/>
        <v>0</v>
      </c>
      <c r="AB291" s="367">
        <f t="shared" si="192"/>
        <v>0</v>
      </c>
      <c r="AC291" s="367">
        <f t="shared" si="192"/>
        <v>0</v>
      </c>
      <c r="AD291" s="367">
        <f t="shared" si="192"/>
        <v>0</v>
      </c>
      <c r="AE291" s="367">
        <f t="shared" si="192"/>
        <v>0</v>
      </c>
      <c r="AF291" s="367">
        <f t="shared" si="192"/>
        <v>0</v>
      </c>
      <c r="AG291" s="367">
        <f t="shared" si="192"/>
        <v>0</v>
      </c>
      <c r="AH291" s="367">
        <f t="shared" si="192"/>
        <v>0</v>
      </c>
      <c r="AI291" s="367">
        <f t="shared" si="192"/>
        <v>0</v>
      </c>
      <c r="AJ291" s="367">
        <f t="shared" si="192"/>
        <v>0</v>
      </c>
      <c r="AK291" s="367">
        <f t="shared" si="192"/>
        <v>0</v>
      </c>
      <c r="AL291" s="367">
        <f t="shared" si="192"/>
        <v>0</v>
      </c>
      <c r="AM291" s="367">
        <f t="shared" si="192"/>
        <v>0</v>
      </c>
    </row>
    <row r="292" spans="2:50" ht="3.75" customHeight="1" x14ac:dyDescent="0.3"/>
    <row r="293" spans="2:50" ht="15" customHeight="1" x14ac:dyDescent="0.3">
      <c r="B293" s="359" t="s">
        <v>5163</v>
      </c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O293" s="368">
        <f t="shared" ref="O293:AM293" si="193">-O288</f>
        <v>1053.9851309595851</v>
      </c>
      <c r="P293" s="368">
        <f t="shared" si="193"/>
        <v>-829917.49136758386</v>
      </c>
      <c r="Q293" s="368">
        <f t="shared" si="193"/>
        <v>-1028045.7322579456</v>
      </c>
      <c r="R293" s="368">
        <f t="shared" si="193"/>
        <v>-1250788.4789284416</v>
      </c>
      <c r="S293" s="368">
        <f t="shared" si="193"/>
        <v>-1489268.3017824218</v>
      </c>
      <c r="T293" s="368">
        <f t="shared" si="193"/>
        <v>-1689057.348286232</v>
      </c>
      <c r="U293" s="368">
        <f t="shared" si="193"/>
        <v>-1910493.5156880314</v>
      </c>
      <c r="V293" s="368">
        <f t="shared" si="193"/>
        <v>-2143150.8183026197</v>
      </c>
      <c r="W293" s="368">
        <f t="shared" si="193"/>
        <v>-2396075.8538948633</v>
      </c>
      <c r="X293" s="368">
        <f t="shared" si="193"/>
        <v>-2664089.9277220783</v>
      </c>
      <c r="Y293" s="368">
        <f t="shared" si="193"/>
        <v>-2944818.9580394225</v>
      </c>
      <c r="Z293" s="368">
        <f t="shared" si="193"/>
        <v>-3207024.842331517</v>
      </c>
      <c r="AA293" s="368">
        <f t="shared" si="193"/>
        <v>-3481351.2592858109</v>
      </c>
      <c r="AB293" s="368">
        <f t="shared" si="193"/>
        <v>-3764419.7133530509</v>
      </c>
      <c r="AC293" s="368">
        <f t="shared" si="193"/>
        <v>-4069129.0996462805</v>
      </c>
      <c r="AD293" s="368">
        <f t="shared" si="193"/>
        <v>-4393260.1936309664</v>
      </c>
      <c r="AE293" s="368">
        <f t="shared" si="193"/>
        <v>-4695407.6790939132</v>
      </c>
      <c r="AF293" s="368">
        <f t="shared" si="193"/>
        <v>-5015735.96946947</v>
      </c>
      <c r="AG293" s="368">
        <f t="shared" si="193"/>
        <v>-5363834.1065599807</v>
      </c>
      <c r="AH293" s="368">
        <f t="shared" si="193"/>
        <v>-5743094.1218092162</v>
      </c>
      <c r="AI293" s="368">
        <f t="shared" si="193"/>
        <v>-6146030.3922481043</v>
      </c>
      <c r="AJ293" s="368">
        <f t="shared" si="193"/>
        <v>-6542147.723344421</v>
      </c>
      <c r="AK293" s="368">
        <f t="shared" si="193"/>
        <v>-6963598.0438333899</v>
      </c>
      <c r="AL293" s="368">
        <f t="shared" si="193"/>
        <v>-7427041.5805130601</v>
      </c>
      <c r="AM293" s="368">
        <f t="shared" si="193"/>
        <v>-7948210.9647372635</v>
      </c>
    </row>
    <row r="294" spans="2:50" ht="15" customHeight="1" x14ac:dyDescent="0.3">
      <c r="B294" s="364" t="s">
        <v>5164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O294" s="367">
        <f t="shared" ref="O294:AM294" si="194">O288+O293</f>
        <v>0</v>
      </c>
      <c r="P294" s="367">
        <f t="shared" si="194"/>
        <v>0</v>
      </c>
      <c r="Q294" s="367">
        <f t="shared" si="194"/>
        <v>0</v>
      </c>
      <c r="R294" s="367">
        <f t="shared" si="194"/>
        <v>0</v>
      </c>
      <c r="S294" s="367">
        <f t="shared" si="194"/>
        <v>0</v>
      </c>
      <c r="T294" s="367">
        <f t="shared" si="194"/>
        <v>0</v>
      </c>
      <c r="U294" s="367">
        <f t="shared" si="194"/>
        <v>0</v>
      </c>
      <c r="V294" s="367">
        <f t="shared" si="194"/>
        <v>0</v>
      </c>
      <c r="W294" s="367">
        <f t="shared" si="194"/>
        <v>0</v>
      </c>
      <c r="X294" s="367">
        <f t="shared" si="194"/>
        <v>0</v>
      </c>
      <c r="Y294" s="367">
        <f t="shared" si="194"/>
        <v>0</v>
      </c>
      <c r="Z294" s="367">
        <f t="shared" si="194"/>
        <v>0</v>
      </c>
      <c r="AA294" s="367">
        <f t="shared" si="194"/>
        <v>0</v>
      </c>
      <c r="AB294" s="367">
        <f t="shared" si="194"/>
        <v>0</v>
      </c>
      <c r="AC294" s="367">
        <f t="shared" si="194"/>
        <v>0</v>
      </c>
      <c r="AD294" s="367">
        <f t="shared" si="194"/>
        <v>0</v>
      </c>
      <c r="AE294" s="367">
        <f t="shared" si="194"/>
        <v>0</v>
      </c>
      <c r="AF294" s="367">
        <f t="shared" si="194"/>
        <v>0</v>
      </c>
      <c r="AG294" s="367">
        <f t="shared" si="194"/>
        <v>0</v>
      </c>
      <c r="AH294" s="367">
        <f t="shared" si="194"/>
        <v>0</v>
      </c>
      <c r="AI294" s="367">
        <f t="shared" si="194"/>
        <v>0</v>
      </c>
      <c r="AJ294" s="367">
        <f t="shared" si="194"/>
        <v>0</v>
      </c>
      <c r="AK294" s="367">
        <f t="shared" si="194"/>
        <v>0</v>
      </c>
      <c r="AL294" s="367">
        <f t="shared" si="194"/>
        <v>0</v>
      </c>
      <c r="AM294" s="367">
        <f t="shared" si="194"/>
        <v>0</v>
      </c>
    </row>
    <row r="295" spans="2:50" ht="4.5" customHeight="1" x14ac:dyDescent="0.3"/>
    <row r="296" spans="2:50" ht="15" customHeight="1" x14ac:dyDescent="0.3">
      <c r="B296" s="324"/>
      <c r="C296" s="323" t="s">
        <v>5165</v>
      </c>
      <c r="D296" s="324"/>
      <c r="E296" s="324"/>
      <c r="F296" s="324"/>
      <c r="G296" s="324"/>
      <c r="H296" s="324"/>
      <c r="I296" s="324"/>
      <c r="J296" s="324"/>
      <c r="K296" s="324"/>
      <c r="L296" s="324"/>
      <c r="O296" s="369">
        <f>-O293</f>
        <v>-1053.9851309595851</v>
      </c>
      <c r="P296" s="369">
        <f t="shared" ref="P296:AM296" si="195">-P293</f>
        <v>829917.49136758386</v>
      </c>
      <c r="Q296" s="369">
        <f t="shared" si="195"/>
        <v>1028045.7322579456</v>
      </c>
      <c r="R296" s="369">
        <f t="shared" si="195"/>
        <v>1250788.4789284416</v>
      </c>
      <c r="S296" s="369">
        <f t="shared" si="195"/>
        <v>1489268.3017824218</v>
      </c>
      <c r="T296" s="369">
        <f t="shared" si="195"/>
        <v>1689057.348286232</v>
      </c>
      <c r="U296" s="369">
        <f t="shared" si="195"/>
        <v>1910493.5156880314</v>
      </c>
      <c r="V296" s="369">
        <f t="shared" si="195"/>
        <v>2143150.8183026197</v>
      </c>
      <c r="W296" s="369">
        <f t="shared" si="195"/>
        <v>2396075.8538948633</v>
      </c>
      <c r="X296" s="369">
        <f t="shared" si="195"/>
        <v>2664089.9277220783</v>
      </c>
      <c r="Y296" s="369">
        <f t="shared" si="195"/>
        <v>2944818.9580394225</v>
      </c>
      <c r="Z296" s="369">
        <f t="shared" si="195"/>
        <v>3207024.842331517</v>
      </c>
      <c r="AA296" s="369">
        <f t="shared" si="195"/>
        <v>3481351.2592858109</v>
      </c>
      <c r="AB296" s="369">
        <f t="shared" si="195"/>
        <v>3764419.7133530509</v>
      </c>
      <c r="AC296" s="369">
        <f t="shared" si="195"/>
        <v>4069129.0996462805</v>
      </c>
      <c r="AD296" s="369">
        <f t="shared" si="195"/>
        <v>4393260.1936309664</v>
      </c>
      <c r="AE296" s="369">
        <f t="shared" si="195"/>
        <v>4695407.6790939132</v>
      </c>
      <c r="AF296" s="369">
        <f t="shared" si="195"/>
        <v>5015735.96946947</v>
      </c>
      <c r="AG296" s="369">
        <f t="shared" si="195"/>
        <v>5363834.1065599807</v>
      </c>
      <c r="AH296" s="369">
        <f t="shared" si="195"/>
        <v>5743094.1218092162</v>
      </c>
      <c r="AI296" s="369">
        <f t="shared" si="195"/>
        <v>6146030.3922481043</v>
      </c>
      <c r="AJ296" s="369">
        <f t="shared" si="195"/>
        <v>6542147.723344421</v>
      </c>
      <c r="AK296" s="369">
        <f t="shared" si="195"/>
        <v>6963598.0438333899</v>
      </c>
      <c r="AL296" s="369">
        <f t="shared" si="195"/>
        <v>7427041.5805130601</v>
      </c>
      <c r="AM296" s="369">
        <f t="shared" si="195"/>
        <v>7948210.9647372635</v>
      </c>
    </row>
    <row r="297" spans="2:50" ht="12.75" customHeight="1" x14ac:dyDescent="0.3"/>
    <row r="298" spans="2:50" ht="15" customHeight="1" x14ac:dyDescent="0.3">
      <c r="B298" s="321" t="s">
        <v>126</v>
      </c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2"/>
      <c r="N298" s="322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5"/>
      <c r="AO298" s="9"/>
      <c r="AP298" s="9"/>
      <c r="AQ298" s="9"/>
      <c r="AR298" s="9"/>
      <c r="AS298" s="9"/>
      <c r="AT298" s="9"/>
      <c r="AU298" s="9"/>
      <c r="AV298" s="9"/>
      <c r="AW298" s="9"/>
      <c r="AX298" s="221"/>
    </row>
    <row r="299" spans="2:50" ht="15" customHeight="1" thickBo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  <c r="AX299" s="221"/>
    </row>
    <row r="300" spans="2:50" ht="15" customHeight="1" x14ac:dyDescent="0.3">
      <c r="B300" s="1"/>
      <c r="C300" s="636" t="s">
        <v>5271</v>
      </c>
      <c r="D300" s="637"/>
      <c r="E300" s="637"/>
      <c r="F300" s="638"/>
      <c r="G300" s="165"/>
      <c r="H300" s="165"/>
      <c r="I300" s="205"/>
      <c r="J300" s="205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  <c r="AX300" s="221"/>
    </row>
    <row r="301" spans="2:50" ht="15" customHeight="1" x14ac:dyDescent="0.3">
      <c r="B301" s="1"/>
      <c r="C301" s="634" t="s">
        <v>127</v>
      </c>
      <c r="D301" s="627"/>
      <c r="E301" s="635" t="s">
        <v>128</v>
      </c>
      <c r="F301" s="629"/>
      <c r="G301" s="165"/>
      <c r="H301" s="295"/>
      <c r="I301" s="295"/>
      <c r="J301" s="296"/>
      <c r="K301" s="144"/>
      <c r="L301" s="14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  <c r="AX301" s="221"/>
    </row>
    <row r="302" spans="2:50" ht="15" customHeight="1" x14ac:dyDescent="0.3">
      <c r="B302" s="1"/>
      <c r="C302" s="626" t="s">
        <v>5158</v>
      </c>
      <c r="D302" s="627"/>
      <c r="E302" s="639">
        <f>Painel!G17</f>
        <v>13012.946666666665</v>
      </c>
      <c r="F302" s="640"/>
      <c r="G302" s="297"/>
      <c r="H302" s="298"/>
      <c r="I302" s="296"/>
      <c r="J302" s="16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  <c r="AX302" s="221"/>
    </row>
    <row r="303" spans="2:50" ht="15" customHeight="1" x14ac:dyDescent="0.3">
      <c r="B303" s="1"/>
      <c r="C303" s="626" t="s">
        <v>5171</v>
      </c>
      <c r="D303" s="641"/>
      <c r="E303" s="639">
        <f>Painel!G18</f>
        <v>2174</v>
      </c>
      <c r="F303" s="640"/>
      <c r="G303" s="297"/>
      <c r="H303" s="298"/>
      <c r="I303" s="296"/>
      <c r="J303" s="16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75"/>
      <c r="AO303" s="1"/>
      <c r="AP303" s="1"/>
      <c r="AQ303" s="1"/>
      <c r="AR303" s="1"/>
      <c r="AS303" s="1"/>
      <c r="AT303" s="1"/>
      <c r="AU303" s="1"/>
      <c r="AV303" s="1"/>
      <c r="AW303" s="1"/>
      <c r="AX303" s="221"/>
    </row>
    <row r="304" spans="2:50" ht="15" customHeight="1" x14ac:dyDescent="0.3">
      <c r="B304" s="1"/>
      <c r="C304" s="626" t="s">
        <v>5173</v>
      </c>
      <c r="D304" s="627"/>
      <c r="E304" s="642">
        <f>SUM(E302:F303)</f>
        <v>15186.946666666665</v>
      </c>
      <c r="F304" s="643"/>
      <c r="G304" s="297"/>
      <c r="H304" s="298"/>
      <c r="I304" s="296"/>
      <c r="J304" s="16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75"/>
      <c r="AO304" s="1"/>
      <c r="AP304" s="1"/>
      <c r="AQ304" s="1"/>
      <c r="AR304" s="1"/>
      <c r="AS304" s="1"/>
      <c r="AT304" s="1"/>
      <c r="AU304" s="1"/>
      <c r="AV304" s="1"/>
      <c r="AW304" s="1"/>
      <c r="AX304" s="221"/>
    </row>
    <row r="305" spans="2:50" ht="15" customHeight="1" x14ac:dyDescent="0.3">
      <c r="B305" s="1"/>
      <c r="C305" s="626" t="s">
        <v>5172</v>
      </c>
      <c r="D305" s="627"/>
      <c r="E305" s="642">
        <f>E304*12</f>
        <v>182243.36</v>
      </c>
      <c r="F305" s="643"/>
      <c r="G305" s="165"/>
      <c r="H305" s="165"/>
      <c r="I305" s="165"/>
      <c r="J305" s="299"/>
      <c r="K305" s="17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  <c r="AX305" s="221"/>
    </row>
    <row r="306" spans="2:50" ht="15" customHeight="1" x14ac:dyDescent="0.3">
      <c r="B306" s="1"/>
      <c r="C306" s="178"/>
      <c r="D306" s="179"/>
      <c r="E306" s="179"/>
      <c r="F306" s="176"/>
      <c r="G306" s="180"/>
      <c r="H306" s="181"/>
      <c r="I306" s="146"/>
      <c r="J306" s="145"/>
      <c r="K306" s="145"/>
      <c r="L306" s="147"/>
      <c r="M306" s="148"/>
      <c r="N306" s="148"/>
      <c r="O306" s="148"/>
      <c r="P306" s="149"/>
      <c r="Q306" s="149"/>
      <c r="R306" s="149"/>
      <c r="S306" s="149"/>
      <c r="T306" s="149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7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50" ht="15" customHeight="1" x14ac:dyDescent="0.3">
      <c r="B307" s="321" t="s">
        <v>209</v>
      </c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1"/>
      <c r="N307" s="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  <c r="AE307" s="321"/>
      <c r="AF307" s="321"/>
      <c r="AG307" s="321"/>
      <c r="AH307" s="321"/>
      <c r="AI307" s="321"/>
      <c r="AJ307" s="321"/>
      <c r="AK307" s="321"/>
      <c r="AL307" s="321"/>
      <c r="AM307" s="321"/>
      <c r="AN307" s="5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2:50" ht="15" customHeight="1" x14ac:dyDescent="0.3">
      <c r="B308" s="94" t="s">
        <v>5169</v>
      </c>
      <c r="C308" s="94"/>
      <c r="D308" s="94"/>
      <c r="E308" s="94"/>
      <c r="F308" s="94"/>
      <c r="G308" s="94"/>
      <c r="H308" s="94"/>
      <c r="I308" s="94"/>
      <c r="J308" s="94"/>
      <c r="K308" s="97">
        <f>NPV(WACC!$D$35,O308:AV308)</f>
        <v>5017028.9818126159</v>
      </c>
      <c r="L308" s="97">
        <f t="shared" ref="L308:L310" si="196">SUM(O308:AV308)</f>
        <v>14331768.731474394</v>
      </c>
      <c r="M308" s="1"/>
      <c r="N308" s="1"/>
      <c r="O308" s="97">
        <f t="shared" ref="O308:AM308" si="197">O75</f>
        <v>196325.59906129295</v>
      </c>
      <c r="P308" s="97">
        <f t="shared" si="197"/>
        <v>588976.79718387942</v>
      </c>
      <c r="Q308" s="97">
        <f t="shared" si="197"/>
        <v>588976.79718387942</v>
      </c>
      <c r="R308" s="97">
        <f t="shared" si="197"/>
        <v>588976.79718387942</v>
      </c>
      <c r="S308" s="97">
        <f t="shared" si="197"/>
        <v>588976.79718387942</v>
      </c>
      <c r="T308" s="97">
        <f t="shared" si="197"/>
        <v>588976.79718387942</v>
      </c>
      <c r="U308" s="97">
        <f t="shared" si="197"/>
        <v>588976.79718387942</v>
      </c>
      <c r="V308" s="97">
        <f t="shared" si="197"/>
        <v>588976.79718387942</v>
      </c>
      <c r="W308" s="97">
        <f t="shared" si="197"/>
        <v>588976.79718387942</v>
      </c>
      <c r="X308" s="97">
        <f t="shared" si="197"/>
        <v>588976.79718387942</v>
      </c>
      <c r="Y308" s="97">
        <f t="shared" si="197"/>
        <v>588976.79718387942</v>
      </c>
      <c r="Z308" s="97">
        <f t="shared" si="197"/>
        <v>588976.79718387942</v>
      </c>
      <c r="AA308" s="97">
        <f t="shared" si="197"/>
        <v>588976.79718387942</v>
      </c>
      <c r="AB308" s="97">
        <f t="shared" si="197"/>
        <v>588976.79718387942</v>
      </c>
      <c r="AC308" s="97">
        <f t="shared" si="197"/>
        <v>588976.79718387942</v>
      </c>
      <c r="AD308" s="97">
        <f t="shared" si="197"/>
        <v>588976.79718387942</v>
      </c>
      <c r="AE308" s="97">
        <f t="shared" si="197"/>
        <v>588976.79718387942</v>
      </c>
      <c r="AF308" s="97">
        <f t="shared" si="197"/>
        <v>588976.79718387942</v>
      </c>
      <c r="AG308" s="97">
        <f t="shared" si="197"/>
        <v>588976.79718387942</v>
      </c>
      <c r="AH308" s="97">
        <f t="shared" si="197"/>
        <v>588976.79718387942</v>
      </c>
      <c r="AI308" s="97">
        <f t="shared" si="197"/>
        <v>588976.79718387942</v>
      </c>
      <c r="AJ308" s="97">
        <f t="shared" si="197"/>
        <v>588976.79718387942</v>
      </c>
      <c r="AK308" s="97">
        <f t="shared" si="197"/>
        <v>588976.79718387942</v>
      </c>
      <c r="AL308" s="97">
        <f t="shared" si="197"/>
        <v>588976.79718387942</v>
      </c>
      <c r="AM308" s="97">
        <f t="shared" si="197"/>
        <v>588976.79718387942</v>
      </c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50" ht="15" customHeight="1" x14ac:dyDescent="0.3">
      <c r="B309" s="94" t="s">
        <v>5170</v>
      </c>
      <c r="C309" s="94"/>
      <c r="D309" s="94"/>
      <c r="E309" s="94"/>
      <c r="F309" s="94"/>
      <c r="G309" s="94"/>
      <c r="H309" s="94"/>
      <c r="I309" s="94"/>
      <c r="J309" s="94"/>
      <c r="K309" s="97">
        <f>NPV(WACC!$D$35,O309:AV309)</f>
        <v>1662906.2549881253</v>
      </c>
      <c r="L309" s="177">
        <f t="shared" si="196"/>
        <v>4556083.9999999981</v>
      </c>
      <c r="M309" s="1"/>
      <c r="N309" s="1"/>
      <c r="O309" s="97">
        <f t="shared" ref="O309:AM309" si="198">$E$305</f>
        <v>182243.36</v>
      </c>
      <c r="P309" s="97">
        <f t="shared" si="198"/>
        <v>182243.36</v>
      </c>
      <c r="Q309" s="97">
        <f t="shared" si="198"/>
        <v>182243.36</v>
      </c>
      <c r="R309" s="97">
        <f t="shared" si="198"/>
        <v>182243.36</v>
      </c>
      <c r="S309" s="97">
        <f t="shared" si="198"/>
        <v>182243.36</v>
      </c>
      <c r="T309" s="97">
        <f t="shared" si="198"/>
        <v>182243.36</v>
      </c>
      <c r="U309" s="97">
        <f t="shared" si="198"/>
        <v>182243.36</v>
      </c>
      <c r="V309" s="97">
        <f t="shared" si="198"/>
        <v>182243.36</v>
      </c>
      <c r="W309" s="97">
        <f t="shared" si="198"/>
        <v>182243.36</v>
      </c>
      <c r="X309" s="97">
        <f t="shared" si="198"/>
        <v>182243.36</v>
      </c>
      <c r="Y309" s="97">
        <f t="shared" si="198"/>
        <v>182243.36</v>
      </c>
      <c r="Z309" s="97">
        <f t="shared" si="198"/>
        <v>182243.36</v>
      </c>
      <c r="AA309" s="97">
        <f t="shared" si="198"/>
        <v>182243.36</v>
      </c>
      <c r="AB309" s="97">
        <f t="shared" si="198"/>
        <v>182243.36</v>
      </c>
      <c r="AC309" s="97">
        <f t="shared" si="198"/>
        <v>182243.36</v>
      </c>
      <c r="AD309" s="97">
        <f t="shared" si="198"/>
        <v>182243.36</v>
      </c>
      <c r="AE309" s="97">
        <f t="shared" si="198"/>
        <v>182243.36</v>
      </c>
      <c r="AF309" s="97">
        <f t="shared" si="198"/>
        <v>182243.36</v>
      </c>
      <c r="AG309" s="97">
        <f t="shared" si="198"/>
        <v>182243.36</v>
      </c>
      <c r="AH309" s="97">
        <f t="shared" si="198"/>
        <v>182243.36</v>
      </c>
      <c r="AI309" s="97">
        <f t="shared" si="198"/>
        <v>182243.36</v>
      </c>
      <c r="AJ309" s="97">
        <f t="shared" si="198"/>
        <v>182243.36</v>
      </c>
      <c r="AK309" s="97">
        <f t="shared" si="198"/>
        <v>182243.36</v>
      </c>
      <c r="AL309" s="97">
        <f t="shared" si="198"/>
        <v>182243.36</v>
      </c>
      <c r="AM309" s="97">
        <f t="shared" si="198"/>
        <v>182243.36</v>
      </c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50" ht="15" customHeight="1" x14ac:dyDescent="0.3">
      <c r="B310" s="53" t="s">
        <v>210</v>
      </c>
      <c r="C310" s="53"/>
      <c r="D310" s="53"/>
      <c r="E310" s="53"/>
      <c r="F310" s="53"/>
      <c r="G310" s="53"/>
      <c r="H310" s="53"/>
      <c r="I310" s="53"/>
      <c r="J310" s="53"/>
      <c r="K310" s="97">
        <f>NPV(WACC!$D$35,O310:AV310)</f>
        <v>-3354122.7268244922</v>
      </c>
      <c r="L310" s="177">
        <f t="shared" si="196"/>
        <v>-9775684.7314743977</v>
      </c>
      <c r="M310" s="1"/>
      <c r="N310" s="1"/>
      <c r="O310" s="54">
        <f>O309-O308</f>
        <v>-14082.239061292959</v>
      </c>
      <c r="P310" s="54">
        <f t="shared" ref="P310:AM310" si="199">P309-P308</f>
        <v>-406733.43718387943</v>
      </c>
      <c r="Q310" s="54">
        <f t="shared" si="199"/>
        <v>-406733.43718387943</v>
      </c>
      <c r="R310" s="54">
        <f t="shared" si="199"/>
        <v>-406733.43718387943</v>
      </c>
      <c r="S310" s="54">
        <f t="shared" si="199"/>
        <v>-406733.43718387943</v>
      </c>
      <c r="T310" s="54">
        <f t="shared" si="199"/>
        <v>-406733.43718387943</v>
      </c>
      <c r="U310" s="54">
        <f t="shared" si="199"/>
        <v>-406733.43718387943</v>
      </c>
      <c r="V310" s="54">
        <f t="shared" si="199"/>
        <v>-406733.43718387943</v>
      </c>
      <c r="W310" s="54">
        <f t="shared" si="199"/>
        <v>-406733.43718387943</v>
      </c>
      <c r="X310" s="54">
        <f t="shared" si="199"/>
        <v>-406733.43718387943</v>
      </c>
      <c r="Y310" s="54">
        <f t="shared" si="199"/>
        <v>-406733.43718387943</v>
      </c>
      <c r="Z310" s="54">
        <f t="shared" si="199"/>
        <v>-406733.43718387943</v>
      </c>
      <c r="AA310" s="54">
        <f t="shared" si="199"/>
        <v>-406733.43718387943</v>
      </c>
      <c r="AB310" s="54">
        <f t="shared" si="199"/>
        <v>-406733.43718387943</v>
      </c>
      <c r="AC310" s="54">
        <f t="shared" si="199"/>
        <v>-406733.43718387943</v>
      </c>
      <c r="AD310" s="54">
        <f t="shared" si="199"/>
        <v>-406733.43718387943</v>
      </c>
      <c r="AE310" s="54">
        <f t="shared" si="199"/>
        <v>-406733.43718387943</v>
      </c>
      <c r="AF310" s="54">
        <f t="shared" si="199"/>
        <v>-406733.43718387943</v>
      </c>
      <c r="AG310" s="54">
        <f t="shared" si="199"/>
        <v>-406733.43718387943</v>
      </c>
      <c r="AH310" s="54">
        <f t="shared" si="199"/>
        <v>-406733.43718387943</v>
      </c>
      <c r="AI310" s="54">
        <f t="shared" si="199"/>
        <v>-406733.43718387943</v>
      </c>
      <c r="AJ310" s="54">
        <f t="shared" si="199"/>
        <v>-406733.43718387943</v>
      </c>
      <c r="AK310" s="54">
        <f t="shared" si="199"/>
        <v>-406733.43718387943</v>
      </c>
      <c r="AL310" s="54">
        <f t="shared" si="199"/>
        <v>-406733.43718387943</v>
      </c>
      <c r="AM310" s="54">
        <f t="shared" si="199"/>
        <v>-406733.43718387943</v>
      </c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50" ht="15" customHeight="1" x14ac:dyDescent="0.3">
      <c r="B311" s="53" t="s">
        <v>211</v>
      </c>
      <c r="C311" s="53"/>
      <c r="D311" s="53"/>
      <c r="E311" s="53"/>
      <c r="F311" s="53"/>
      <c r="G311" s="53"/>
      <c r="H311" s="53"/>
      <c r="I311" s="53"/>
      <c r="J311" s="53"/>
      <c r="K311" s="177"/>
      <c r="L311" s="191">
        <f>AVERAGE(O311:AM311)</f>
        <v>-2.1456331207840775</v>
      </c>
      <c r="M311" s="1"/>
      <c r="N311" s="1"/>
      <c r="O311" s="182">
        <f>1-(O308/O309)</f>
        <v>-7.7271616706874546E-2</v>
      </c>
      <c r="P311" s="182">
        <f t="shared" ref="P311:AM311" si="200">1-(P308/P309)</f>
        <v>-2.2318148501206267</v>
      </c>
      <c r="Q311" s="182">
        <f t="shared" si="200"/>
        <v>-2.2318148501206267</v>
      </c>
      <c r="R311" s="182">
        <f t="shared" si="200"/>
        <v>-2.2318148501206267</v>
      </c>
      <c r="S311" s="182">
        <f t="shared" si="200"/>
        <v>-2.2318148501206267</v>
      </c>
      <c r="T311" s="182">
        <f t="shared" si="200"/>
        <v>-2.2318148501206267</v>
      </c>
      <c r="U311" s="182">
        <f t="shared" si="200"/>
        <v>-2.2318148501206267</v>
      </c>
      <c r="V311" s="182">
        <f t="shared" si="200"/>
        <v>-2.2318148501206267</v>
      </c>
      <c r="W311" s="182">
        <f t="shared" si="200"/>
        <v>-2.2318148501206267</v>
      </c>
      <c r="X311" s="182">
        <f t="shared" si="200"/>
        <v>-2.2318148501206267</v>
      </c>
      <c r="Y311" s="182">
        <f t="shared" si="200"/>
        <v>-2.2318148501206267</v>
      </c>
      <c r="Z311" s="182">
        <f t="shared" si="200"/>
        <v>-2.2318148501206267</v>
      </c>
      <c r="AA311" s="182">
        <f t="shared" si="200"/>
        <v>-2.2318148501206267</v>
      </c>
      <c r="AB311" s="182">
        <f t="shared" si="200"/>
        <v>-2.2318148501206267</v>
      </c>
      <c r="AC311" s="182">
        <f t="shared" si="200"/>
        <v>-2.2318148501206267</v>
      </c>
      <c r="AD311" s="182">
        <f t="shared" si="200"/>
        <v>-2.2318148501206267</v>
      </c>
      <c r="AE311" s="182">
        <f t="shared" si="200"/>
        <v>-2.2318148501206267</v>
      </c>
      <c r="AF311" s="182">
        <f t="shared" si="200"/>
        <v>-2.2318148501206267</v>
      </c>
      <c r="AG311" s="182">
        <f t="shared" si="200"/>
        <v>-2.2318148501206267</v>
      </c>
      <c r="AH311" s="182">
        <f t="shared" si="200"/>
        <v>-2.2318148501206267</v>
      </c>
      <c r="AI311" s="182">
        <f t="shared" si="200"/>
        <v>-2.2318148501206267</v>
      </c>
      <c r="AJ311" s="182">
        <f t="shared" si="200"/>
        <v>-2.2318148501206267</v>
      </c>
      <c r="AK311" s="182">
        <f t="shared" si="200"/>
        <v>-2.2318148501206267</v>
      </c>
      <c r="AL311" s="182">
        <f t="shared" si="200"/>
        <v>-2.2318148501206267</v>
      </c>
      <c r="AM311" s="182">
        <f t="shared" si="200"/>
        <v>-2.2318148501206267</v>
      </c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50" ht="15" customHeight="1" thickBot="1" x14ac:dyDescent="0.35"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50" ht="15" customHeight="1" x14ac:dyDescent="0.3">
      <c r="C313" s="636" t="s">
        <v>5157</v>
      </c>
      <c r="D313" s="637"/>
      <c r="E313" s="637"/>
      <c r="F313" s="638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50" ht="15" customHeight="1" x14ac:dyDescent="0.3">
      <c r="C314" s="634" t="s">
        <v>163</v>
      </c>
      <c r="D314" s="627"/>
      <c r="E314" s="635" t="s">
        <v>128</v>
      </c>
      <c r="F314" s="629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50" ht="15" customHeight="1" x14ac:dyDescent="0.3">
      <c r="C315" s="626" t="s">
        <v>212</v>
      </c>
      <c r="D315" s="627"/>
      <c r="E315" s="628">
        <f>K308</f>
        <v>5017028.9818126159</v>
      </c>
      <c r="F315" s="629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50" ht="15" customHeight="1" x14ac:dyDescent="0.3">
      <c r="C316" s="626" t="s">
        <v>213</v>
      </c>
      <c r="D316" s="627"/>
      <c r="E316" s="628">
        <f>K309</f>
        <v>1662906.2549881253</v>
      </c>
      <c r="F316" s="629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50" ht="15" customHeight="1" x14ac:dyDescent="0.3">
      <c r="C317" s="626" t="s">
        <v>214</v>
      </c>
      <c r="D317" s="627"/>
      <c r="E317" s="632">
        <f>E316-E315</f>
        <v>-3354122.7268244904</v>
      </c>
      <c r="F317" s="633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50" ht="15" customHeight="1" x14ac:dyDescent="0.3">
      <c r="C318" s="626" t="s">
        <v>164</v>
      </c>
      <c r="D318" s="627"/>
      <c r="E318" s="628">
        <f>L308</f>
        <v>14331768.731474394</v>
      </c>
      <c r="F318" s="629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50" ht="15" customHeight="1" x14ac:dyDescent="0.3">
      <c r="B319" s="1"/>
      <c r="C319" s="626" t="s">
        <v>165</v>
      </c>
      <c r="D319" s="627"/>
      <c r="E319" s="628">
        <f>L309</f>
        <v>4556083.9999999981</v>
      </c>
      <c r="F319" s="629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5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50" ht="15" customHeight="1" x14ac:dyDescent="0.3">
      <c r="B320" s="1"/>
      <c r="C320" s="626" t="s">
        <v>5174</v>
      </c>
      <c r="D320" s="627"/>
      <c r="E320" s="630">
        <f>1-(E318/E319)</f>
        <v>-2.1456331207840766</v>
      </c>
      <c r="F320" s="63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321" t="s">
        <v>5189</v>
      </c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1"/>
      <c r="N322" s="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5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376" t="s">
        <v>5190</v>
      </c>
      <c r="D324" s="377" t="s">
        <v>5191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3.8" x14ac:dyDescent="0.3">
      <c r="B325" s="1"/>
      <c r="C325" s="110">
        <v>0</v>
      </c>
      <c r="D325" s="110">
        <v>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8.25" customHeight="1" x14ac:dyDescent="0.3">
      <c r="B326" s="1"/>
      <c r="C326" s="370"/>
      <c r="D326" s="370"/>
      <c r="E326" s="6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376" t="s">
        <v>5192</v>
      </c>
      <c r="D327" s="376" t="s">
        <v>5193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371">
        <f>L29</f>
        <v>3782622.643678057</v>
      </c>
      <c r="D328" s="371">
        <f>L11</f>
        <v>6656831.4832519218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9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376" t="s">
        <v>5194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379">
        <f>$L$157</f>
        <v>9.9320884002751297E-2</v>
      </c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3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234"/>
      <c r="C333" s="378"/>
      <c r="D333" s="624" t="s">
        <v>104</v>
      </c>
      <c r="E333" s="624"/>
      <c r="F333" s="624"/>
      <c r="G333" s="624"/>
      <c r="H333" s="624"/>
      <c r="I333" s="624"/>
      <c r="J333" s="62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625" t="s">
        <v>5195</v>
      </c>
      <c r="C334" s="375">
        <f>$C$331</f>
        <v>9.9320884002751297E-2</v>
      </c>
      <c r="D334" s="372">
        <v>-15</v>
      </c>
      <c r="E334" s="372">
        <v>-10</v>
      </c>
      <c r="F334" s="372">
        <v>-5</v>
      </c>
      <c r="G334" s="372">
        <v>0</v>
      </c>
      <c r="H334" s="372">
        <v>5</v>
      </c>
      <c r="I334" s="372">
        <v>10</v>
      </c>
      <c r="J334" s="372">
        <v>15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625"/>
      <c r="C335" s="373">
        <v>-15</v>
      </c>
      <c r="D335" s="374">
        <f t="dataTable" ref="D335:J341" dt2D="1" dtr="1" r1="C325" r2="D325"/>
        <v>0.24131183541503942</v>
      </c>
      <c r="E335" s="374">
        <v>0.21220208268136931</v>
      </c>
      <c r="F335" s="374">
        <v>0.18620930645340272</v>
      </c>
      <c r="G335" s="374">
        <v>0.16279213196875175</v>
      </c>
      <c r="H335" s="374">
        <v>0.14151283208805587</v>
      </c>
      <c r="I335" s="374">
        <v>0.12201452487313968</v>
      </c>
      <c r="J335" s="374">
        <v>0.10400399864463417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625"/>
      <c r="C336" s="373">
        <v>-10</v>
      </c>
      <c r="D336" s="374">
        <v>0.21608503253030809</v>
      </c>
      <c r="E336" s="374">
        <v>0.18895259987471991</v>
      </c>
      <c r="F336" s="374">
        <v>0.1646022766888986</v>
      </c>
      <c r="G336" s="374">
        <v>0.14254839144642339</v>
      </c>
      <c r="H336" s="374">
        <v>0.12239730099014889</v>
      </c>
      <c r="I336" s="374">
        <v>0.10382736645838198</v>
      </c>
      <c r="J336" s="374">
        <v>8.6573755808861952E-2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625"/>
      <c r="C337" s="373">
        <v>-5</v>
      </c>
      <c r="D337" s="374">
        <v>0.19024564734832961</v>
      </c>
      <c r="E337" s="374">
        <v>0.16500767584813514</v>
      </c>
      <c r="F337" s="374">
        <v>0.14222102323272789</v>
      </c>
      <c r="G337" s="374">
        <v>0.12145368326774308</v>
      </c>
      <c r="H337" s="374">
        <v>0.10235463868106898</v>
      </c>
      <c r="I337" s="374">
        <v>8.4636365510734946E-2</v>
      </c>
      <c r="J337" s="374">
        <v>6.8061488203615461E-2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625"/>
      <c r="C338" s="373">
        <v>0</v>
      </c>
      <c r="D338" s="374">
        <v>0.16368321330218305</v>
      </c>
      <c r="E338" s="374">
        <v>0.1402313279615679</v>
      </c>
      <c r="F338" s="374">
        <v>0.11890406154783917</v>
      </c>
      <c r="G338" s="374">
        <v>9.9320884002751297E-2</v>
      </c>
      <c r="H338" s="374">
        <v>8.1171711207225439E-2</v>
      </c>
      <c r="I338" s="374">
        <v>6.4201755105699032E-2</v>
      </c>
      <c r="J338" s="374">
        <v>4.8199966035509245E-2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625"/>
      <c r="C339" s="373">
        <v>5</v>
      </c>
      <c r="D339" s="374">
        <v>0.1362117831872367</v>
      </c>
      <c r="E339" s="374">
        <v>0.11440380494159896</v>
      </c>
      <c r="F339" s="374">
        <v>9.4397423198612662E-2</v>
      </c>
      <c r="G339" s="374">
        <v>7.5861081728567203E-2</v>
      </c>
      <c r="H339" s="374">
        <v>5.8523597919530213E-2</v>
      </c>
      <c r="I339" s="374">
        <v>4.2161275681536159E-2</v>
      </c>
      <c r="J339" s="374">
        <v>2.6588160918042281E-2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625"/>
      <c r="C340" s="373">
        <v>10</v>
      </c>
      <c r="D340" s="374">
        <v>0.10752212620539736</v>
      </c>
      <c r="E340" s="374">
        <v>8.716879241686204E-2</v>
      </c>
      <c r="F340" s="374">
        <v>6.8296322162720857E-2</v>
      </c>
      <c r="G340" s="374">
        <v>5.0619164483357793E-2</v>
      </c>
      <c r="H340" s="374">
        <v>3.3902688590293995E-2</v>
      </c>
      <c r="I340" s="374">
        <v>1.795263522546553E-2</v>
      </c>
      <c r="J340" s="374">
        <v>2.6073748280741604E-3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625"/>
      <c r="C341" s="373">
        <v>15</v>
      </c>
      <c r="D341" s="374">
        <v>7.7094211988657735E-2</v>
      </c>
      <c r="E341" s="374">
        <v>5.7936240047653076E-2</v>
      </c>
      <c r="F341" s="374">
        <v>3.9937393826083856E-2</v>
      </c>
      <c r="G341" s="374">
        <v>2.2854863909240519E-2</v>
      </c>
      <c r="H341" s="374">
        <v>6.4885587927747679E-3</v>
      </c>
      <c r="I341" s="374">
        <v>-9.3267198520422534E-3</v>
      </c>
      <c r="J341" s="374">
        <v>-2.472649771971791E-2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321" t="s">
        <v>5196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1"/>
      <c r="N344" s="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5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 t="s">
        <v>5224</v>
      </c>
      <c r="D346" s="435">
        <f>NPV(WACC!$D$35,AR!O355:AM355)</f>
        <v>5575989.0626711994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7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 t="s">
        <v>5225</v>
      </c>
      <c r="D347" s="435">
        <f>NPV(WACC!$D$35,O358:AM358)</f>
        <v>5017028.9818126159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7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7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436" t="s">
        <v>5226</v>
      </c>
      <c r="D349" s="437">
        <f>1-(D347/D346)</f>
        <v>0.10024411356912011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7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7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438"/>
      <c r="C351" s="439" t="s">
        <v>5227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1"/>
      <c r="N351" s="1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  <c r="AH351" s="438"/>
      <c r="AI351" s="438"/>
      <c r="AJ351" s="438"/>
      <c r="AK351" s="438"/>
      <c r="AL351" s="438"/>
      <c r="AM351" s="438"/>
      <c r="AN351" s="17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234" t="s">
        <v>5228</v>
      </c>
      <c r="D352" s="1"/>
      <c r="E352" s="441">
        <v>0.25840000000000002</v>
      </c>
      <c r="F352" s="1"/>
      <c r="G352" s="1"/>
      <c r="H352" s="1"/>
      <c r="I352" s="1"/>
      <c r="J352" s="1"/>
      <c r="K352" s="1"/>
      <c r="L352" s="1"/>
      <c r="M352" s="1"/>
      <c r="N352" s="1"/>
      <c r="O352" s="195">
        <f t="shared" ref="O352:AM352" si="201">(O29)*(1+$E$352)</f>
        <v>1506692.0521513664</v>
      </c>
      <c r="P352" s="195">
        <f t="shared" si="201"/>
        <v>0</v>
      </c>
      <c r="Q352" s="195">
        <f t="shared" si="201"/>
        <v>0</v>
      </c>
      <c r="R352" s="195">
        <f t="shared" si="201"/>
        <v>0</v>
      </c>
      <c r="S352" s="195">
        <f t="shared" si="201"/>
        <v>654056.21702627221</v>
      </c>
      <c r="T352" s="195">
        <f t="shared" si="201"/>
        <v>0</v>
      </c>
      <c r="U352" s="195">
        <f t="shared" si="201"/>
        <v>0</v>
      </c>
      <c r="V352" s="195">
        <f t="shared" si="201"/>
        <v>58615.969023652484</v>
      </c>
      <c r="W352" s="195">
        <f t="shared" si="201"/>
        <v>84989.515500489812</v>
      </c>
      <c r="X352" s="195">
        <f t="shared" si="201"/>
        <v>0</v>
      </c>
      <c r="Y352" s="195">
        <f t="shared" si="201"/>
        <v>649611.39060530742</v>
      </c>
      <c r="Z352" s="195">
        <f t="shared" si="201"/>
        <v>0</v>
      </c>
      <c r="AA352" s="195">
        <f t="shared" si="201"/>
        <v>295880.9132833631</v>
      </c>
      <c r="AB352" s="195">
        <f t="shared" si="201"/>
        <v>0</v>
      </c>
      <c r="AC352" s="195">
        <f t="shared" si="201"/>
        <v>0</v>
      </c>
      <c r="AD352" s="195">
        <f t="shared" si="201"/>
        <v>708163.5544357982</v>
      </c>
      <c r="AE352" s="195">
        <f t="shared" si="201"/>
        <v>12276.046651802963</v>
      </c>
      <c r="AF352" s="195">
        <f t="shared" si="201"/>
        <v>72777.274041848563</v>
      </c>
      <c r="AG352" s="195">
        <f t="shared" si="201"/>
        <v>0</v>
      </c>
      <c r="AH352" s="195">
        <f t="shared" si="201"/>
        <v>0</v>
      </c>
      <c r="AI352" s="195">
        <f t="shared" si="201"/>
        <v>653992.41183311038</v>
      </c>
      <c r="AJ352" s="195">
        <f t="shared" si="201"/>
        <v>0</v>
      </c>
      <c r="AK352" s="195">
        <f t="shared" si="201"/>
        <v>58615.969023652484</v>
      </c>
      <c r="AL352" s="195">
        <f t="shared" si="201"/>
        <v>0</v>
      </c>
      <c r="AM352" s="195">
        <f t="shared" si="201"/>
        <v>4381.0212278029621</v>
      </c>
      <c r="AN352" s="17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234" t="s">
        <v>161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95">
        <f t="shared" ref="O353:AM353" si="202">(O11)*(1+$E$352)</f>
        <v>215449.88610416182</v>
      </c>
      <c r="P353" s="195">
        <f t="shared" si="202"/>
        <v>337844.54919651407</v>
      </c>
      <c r="Q353" s="195">
        <f t="shared" si="202"/>
        <v>348990.25593305659</v>
      </c>
      <c r="R353" s="195">
        <f t="shared" si="202"/>
        <v>337622.19867604121</v>
      </c>
      <c r="S353" s="195">
        <f t="shared" si="202"/>
        <v>339372.86718858377</v>
      </c>
      <c r="T353" s="195">
        <f t="shared" si="202"/>
        <v>346794.88637956831</v>
      </c>
      <c r="U353" s="195">
        <f t="shared" si="202"/>
        <v>339150.51666811091</v>
      </c>
      <c r="V353" s="195">
        <f t="shared" si="202"/>
        <v>346572.53585909546</v>
      </c>
      <c r="W353" s="195">
        <f t="shared" si="202"/>
        <v>338928.16614763805</v>
      </c>
      <c r="X353" s="195">
        <f t="shared" si="202"/>
        <v>336955.14711462258</v>
      </c>
      <c r="Y353" s="195">
        <f t="shared" si="202"/>
        <v>348100.85385116522</v>
      </c>
      <c r="Z353" s="195">
        <f t="shared" si="202"/>
        <v>336732.79659414978</v>
      </c>
      <c r="AA353" s="195">
        <f t="shared" si="202"/>
        <v>347878.50333069236</v>
      </c>
      <c r="AB353" s="195">
        <f t="shared" si="202"/>
        <v>336510.44607367693</v>
      </c>
      <c r="AC353" s="195">
        <f t="shared" si="202"/>
        <v>338261.11458621954</v>
      </c>
      <c r="AD353" s="195">
        <f t="shared" si="202"/>
        <v>345683.13377720403</v>
      </c>
      <c r="AE353" s="195">
        <f t="shared" si="202"/>
        <v>338038.76406574663</v>
      </c>
      <c r="AF353" s="195">
        <f t="shared" si="202"/>
        <v>345460.78325673117</v>
      </c>
      <c r="AG353" s="195">
        <f t="shared" si="202"/>
        <v>337816.41354527377</v>
      </c>
      <c r="AH353" s="195">
        <f t="shared" si="202"/>
        <v>335843.39451225835</v>
      </c>
      <c r="AI353" s="195">
        <f t="shared" si="202"/>
        <v>346989.10124880087</v>
      </c>
      <c r="AJ353" s="195">
        <f t="shared" si="202"/>
        <v>335621.0439917855</v>
      </c>
      <c r="AK353" s="195">
        <f t="shared" si="202"/>
        <v>346766.75072832801</v>
      </c>
      <c r="AL353" s="195">
        <f t="shared" si="202"/>
        <v>335398.69347131264</v>
      </c>
      <c r="AM353" s="195">
        <f t="shared" si="202"/>
        <v>314173.93622348091</v>
      </c>
      <c r="AN353" s="17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256" t="s">
        <v>5154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95">
        <f>-O165</f>
        <v>55351.484993666054</v>
      </c>
      <c r="P354" s="195">
        <f t="shared" ref="P354:AM354" si="203">-P165</f>
        <v>46126.237494721703</v>
      </c>
      <c r="Q354" s="195">
        <f t="shared" si="203"/>
        <v>36900.989995777367</v>
      </c>
      <c r="R354" s="195">
        <f t="shared" si="203"/>
        <v>27675.742496833027</v>
      </c>
      <c r="S354" s="195">
        <f t="shared" si="203"/>
        <v>18450.494997888683</v>
      </c>
      <c r="T354" s="195">
        <f t="shared" si="203"/>
        <v>9225.2474989443435</v>
      </c>
      <c r="U354" s="195">
        <f t="shared" si="203"/>
        <v>0</v>
      </c>
      <c r="V354" s="195">
        <f t="shared" si="203"/>
        <v>2.2468157112598421E-12</v>
      </c>
      <c r="W354" s="195">
        <f t="shared" si="203"/>
        <v>2.2468157112598421E-12</v>
      </c>
      <c r="X354" s="195">
        <f t="shared" si="203"/>
        <v>2.2468157112598421E-12</v>
      </c>
      <c r="Y354" s="195">
        <f t="shared" si="203"/>
        <v>2.2468157112598421E-12</v>
      </c>
      <c r="Z354" s="195">
        <f t="shared" si="203"/>
        <v>2.2468157112598421E-12</v>
      </c>
      <c r="AA354" s="195">
        <f t="shared" si="203"/>
        <v>2.2468157112598421E-12</v>
      </c>
      <c r="AB354" s="195">
        <f t="shared" si="203"/>
        <v>2.2468157112598421E-12</v>
      </c>
      <c r="AC354" s="195">
        <f t="shared" si="203"/>
        <v>2.2468157112598421E-12</v>
      </c>
      <c r="AD354" s="195">
        <f t="shared" si="203"/>
        <v>2.2468157112598421E-12</v>
      </c>
      <c r="AE354" s="195">
        <f t="shared" si="203"/>
        <v>2.2468157112598421E-12</v>
      </c>
      <c r="AF354" s="195">
        <f t="shared" si="203"/>
        <v>2.2468157112598421E-12</v>
      </c>
      <c r="AG354" s="195">
        <f t="shared" si="203"/>
        <v>2.2468157112598421E-12</v>
      </c>
      <c r="AH354" s="195">
        <f t="shared" si="203"/>
        <v>2.2468157112598421E-12</v>
      </c>
      <c r="AI354" s="195">
        <f t="shared" si="203"/>
        <v>2.2468157112598421E-12</v>
      </c>
      <c r="AJ354" s="195">
        <f t="shared" si="203"/>
        <v>2.2468157112598421E-12</v>
      </c>
      <c r="AK354" s="195">
        <f t="shared" si="203"/>
        <v>2.2468157112598421E-12</v>
      </c>
      <c r="AL354" s="195">
        <f t="shared" si="203"/>
        <v>2.2468157112598421E-12</v>
      </c>
      <c r="AM354" s="195">
        <f t="shared" si="203"/>
        <v>2.2468157112598421E-12</v>
      </c>
      <c r="AN354" s="17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234" t="s">
        <v>129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95">
        <f t="shared" ref="O355:AM355" si="204">SUM(O352:O354)</f>
        <v>1777493.4232491942</v>
      </c>
      <c r="P355" s="195">
        <f t="shared" si="204"/>
        <v>383970.78669123579</v>
      </c>
      <c r="Q355" s="195">
        <f t="shared" si="204"/>
        <v>385891.24592883396</v>
      </c>
      <c r="R355" s="195">
        <f t="shared" si="204"/>
        <v>365297.94117287424</v>
      </c>
      <c r="S355" s="195">
        <f t="shared" si="204"/>
        <v>1011879.5792127446</v>
      </c>
      <c r="T355" s="195">
        <f t="shared" si="204"/>
        <v>356020.13387851266</v>
      </c>
      <c r="U355" s="195">
        <f t="shared" si="204"/>
        <v>339150.51666811091</v>
      </c>
      <c r="V355" s="195">
        <f t="shared" si="204"/>
        <v>405188.50488274795</v>
      </c>
      <c r="W355" s="195">
        <f t="shared" si="204"/>
        <v>423917.68164812785</v>
      </c>
      <c r="X355" s="195">
        <f t="shared" si="204"/>
        <v>336955.14711462258</v>
      </c>
      <c r="Y355" s="195">
        <f t="shared" si="204"/>
        <v>997712.24445647257</v>
      </c>
      <c r="Z355" s="195">
        <f t="shared" si="204"/>
        <v>336732.79659414978</v>
      </c>
      <c r="AA355" s="195">
        <f t="shared" si="204"/>
        <v>643759.4166140554</v>
      </c>
      <c r="AB355" s="195">
        <f t="shared" si="204"/>
        <v>336510.44607367693</v>
      </c>
      <c r="AC355" s="195">
        <f t="shared" si="204"/>
        <v>338261.11458621954</v>
      </c>
      <c r="AD355" s="195">
        <f t="shared" si="204"/>
        <v>1053846.6882130022</v>
      </c>
      <c r="AE355" s="195">
        <f t="shared" si="204"/>
        <v>350314.81071754958</v>
      </c>
      <c r="AF355" s="195">
        <f t="shared" si="204"/>
        <v>418238.05729857972</v>
      </c>
      <c r="AG355" s="195">
        <f t="shared" si="204"/>
        <v>337816.41354527377</v>
      </c>
      <c r="AH355" s="195">
        <f t="shared" si="204"/>
        <v>335843.39451225835</v>
      </c>
      <c r="AI355" s="195">
        <f t="shared" si="204"/>
        <v>1000981.5130819113</v>
      </c>
      <c r="AJ355" s="195">
        <f t="shared" si="204"/>
        <v>335621.0439917855</v>
      </c>
      <c r="AK355" s="195">
        <f t="shared" si="204"/>
        <v>405382.7197519805</v>
      </c>
      <c r="AL355" s="195">
        <f t="shared" si="204"/>
        <v>335398.69347131264</v>
      </c>
      <c r="AM355" s="195">
        <f t="shared" si="204"/>
        <v>318554.95745128387</v>
      </c>
      <c r="AN355" s="17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60"/>
      <c r="D356" s="60"/>
      <c r="E356" s="6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7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438"/>
      <c r="C357" s="440" t="s">
        <v>5229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1"/>
      <c r="N357" s="1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  <c r="AH357" s="438"/>
      <c r="AI357" s="438"/>
      <c r="AJ357" s="438"/>
      <c r="AK357" s="438"/>
      <c r="AL357" s="438"/>
      <c r="AM357" s="438"/>
      <c r="AN357" s="17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 t="s">
        <v>5230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95">
        <f>O75</f>
        <v>196325.59906129295</v>
      </c>
      <c r="P358" s="195">
        <f t="shared" ref="P358:AM358" si="205">P75</f>
        <v>588976.79718387942</v>
      </c>
      <c r="Q358" s="195">
        <f t="shared" si="205"/>
        <v>588976.79718387942</v>
      </c>
      <c r="R358" s="195">
        <f t="shared" si="205"/>
        <v>588976.79718387942</v>
      </c>
      <c r="S358" s="195">
        <f t="shared" si="205"/>
        <v>588976.79718387942</v>
      </c>
      <c r="T358" s="195">
        <f t="shared" si="205"/>
        <v>588976.79718387942</v>
      </c>
      <c r="U358" s="195">
        <f t="shared" si="205"/>
        <v>588976.79718387942</v>
      </c>
      <c r="V358" s="195">
        <f t="shared" si="205"/>
        <v>588976.79718387942</v>
      </c>
      <c r="W358" s="195">
        <f t="shared" si="205"/>
        <v>588976.79718387942</v>
      </c>
      <c r="X358" s="195">
        <f t="shared" si="205"/>
        <v>588976.79718387942</v>
      </c>
      <c r="Y358" s="195">
        <f t="shared" si="205"/>
        <v>588976.79718387942</v>
      </c>
      <c r="Z358" s="195">
        <f t="shared" si="205"/>
        <v>588976.79718387942</v>
      </c>
      <c r="AA358" s="195">
        <f t="shared" si="205"/>
        <v>588976.79718387942</v>
      </c>
      <c r="AB358" s="195">
        <f t="shared" si="205"/>
        <v>588976.79718387942</v>
      </c>
      <c r="AC358" s="195">
        <f t="shared" si="205"/>
        <v>588976.79718387942</v>
      </c>
      <c r="AD358" s="195">
        <f t="shared" si="205"/>
        <v>588976.79718387942</v>
      </c>
      <c r="AE358" s="195">
        <f t="shared" si="205"/>
        <v>588976.79718387942</v>
      </c>
      <c r="AF358" s="195">
        <f t="shared" si="205"/>
        <v>588976.79718387942</v>
      </c>
      <c r="AG358" s="195">
        <f t="shared" si="205"/>
        <v>588976.79718387942</v>
      </c>
      <c r="AH358" s="195">
        <f t="shared" si="205"/>
        <v>588976.79718387942</v>
      </c>
      <c r="AI358" s="195">
        <f t="shared" si="205"/>
        <v>588976.79718387942</v>
      </c>
      <c r="AJ358" s="195">
        <f t="shared" si="205"/>
        <v>588976.79718387942</v>
      </c>
      <c r="AK358" s="195">
        <f t="shared" si="205"/>
        <v>588976.79718387942</v>
      </c>
      <c r="AL358" s="195">
        <f t="shared" si="205"/>
        <v>588976.79718387942</v>
      </c>
      <c r="AM358" s="195">
        <f t="shared" si="205"/>
        <v>588976.79718387942</v>
      </c>
      <c r="AN358" s="17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5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5" customHeight="1" x14ac:dyDescent="0.3">
      <c r="B465" s="1"/>
      <c r="C465" s="60"/>
      <c r="D465" s="60"/>
      <c r="E465" s="6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5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5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5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5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5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5" customHeight="1" x14ac:dyDescent="0.3">
      <c r="B470" s="1"/>
      <c r="C470" s="60"/>
      <c r="D470" s="60"/>
      <c r="E470" s="6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5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5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5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5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5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5" customHeight="1" x14ac:dyDescent="0.3">
      <c r="B475" s="1"/>
      <c r="C475" s="60"/>
      <c r="D475" s="60"/>
      <c r="E475" s="6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5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5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5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5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5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5" customHeight="1" x14ac:dyDescent="0.3">
      <c r="B480" s="1"/>
      <c r="C480" s="60"/>
      <c r="D480" s="60"/>
      <c r="E480" s="6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5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5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5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5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5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5" customHeight="1" x14ac:dyDescent="0.3">
      <c r="B485" s="1"/>
      <c r="C485" s="60"/>
      <c r="D485" s="60"/>
      <c r="E485" s="6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5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5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5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5"/>
      <c r="AO488" s="1"/>
      <c r="AP488" s="1"/>
      <c r="AQ488" s="1"/>
      <c r="AR488" s="1"/>
      <c r="AS488" s="1"/>
      <c r="AT488" s="1"/>
      <c r="AU488" s="1"/>
      <c r="AV488" s="1"/>
      <c r="AW488" s="1"/>
    </row>
  </sheetData>
  <mergeCells count="28">
    <mergeCell ref="C314:D314"/>
    <mergeCell ref="E314:F314"/>
    <mergeCell ref="C300:F300"/>
    <mergeCell ref="C301:D301"/>
    <mergeCell ref="E301:F301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13:F313"/>
    <mergeCell ref="C315:D315"/>
    <mergeCell ref="E315:F315"/>
    <mergeCell ref="C316:D316"/>
    <mergeCell ref="E316:F316"/>
    <mergeCell ref="C317:D317"/>
    <mergeCell ref="E317:F317"/>
    <mergeCell ref="D333:J333"/>
    <mergeCell ref="B334:B341"/>
    <mergeCell ref="C318:D318"/>
    <mergeCell ref="E318:F318"/>
    <mergeCell ref="C319:D319"/>
    <mergeCell ref="E319:F319"/>
    <mergeCell ref="C320:D320"/>
    <mergeCell ref="E320:F320"/>
  </mergeCells>
  <conditionalFormatting sqref="D335:J341 L3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disablePrompts="1" count="3">
    <dataValidation type="list" allowBlank="1" showInputMessage="1" showErrorMessage="1" sqref="C325:D325" xr:uid="{DC335F72-7577-4D9F-8099-396EDC4063D9}">
      <formula1>"-15,-10,-5,0,5,10,15"</formula1>
    </dataValidation>
    <dataValidation type="list" allowBlank="1" showErrorMessage="1" sqref="G114" xr:uid="{66A304B4-7240-4C81-ACEF-9306D84DF709}">
      <formula1>"Regulatório,Gerencial"</formula1>
    </dataValidation>
    <dataValidation type="list" allowBlank="1" showErrorMessage="1" sqref="F83" xr:uid="{3C736B16-BD53-4DD4-8ABE-B3FB194A066D}">
      <formula1>"Real,Nominal"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L60:BG69 P84:BA92 K101:L105 K124:L127 O76:AM7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948EE-A0E4-4F1C-B623-428D7ED36FAC}">
  <dimension ref="A1:XFD488"/>
  <sheetViews>
    <sheetView showGridLines="0" zoomScale="85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A7" sqref="A7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38" width="13" customWidth="1"/>
    <col min="39" max="39" width="13.88671875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7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(SUM(O11:AM11))*(1+$D$325/100)</f>
        <v>58835225.636226192</v>
      </c>
      <c r="M11" s="1"/>
      <c r="N11" s="1"/>
      <c r="O11" s="13">
        <f>(O12+O13+O266)*(1+$D$325/100)</f>
        <v>1517216.4138084308</v>
      </c>
      <c r="P11" s="13">
        <f t="shared" ref="P11:AM11" si="4">(P12+P13+P266)*(1+$D$325/100)</f>
        <v>2381185.6571947243</v>
      </c>
      <c r="Q11" s="13">
        <f t="shared" si="4"/>
        <v>2437432.8809328228</v>
      </c>
      <c r="R11" s="13">
        <f t="shared" si="4"/>
        <v>2379576.7400941118</v>
      </c>
      <c r="S11" s="13">
        <f t="shared" si="4"/>
        <v>2391948.1038322099</v>
      </c>
      <c r="T11" s="13">
        <f t="shared" si="4"/>
        <v>2421843.6829934991</v>
      </c>
      <c r="U11" s="13">
        <f t="shared" si="4"/>
        <v>2390339.1867315979</v>
      </c>
      <c r="V11" s="13">
        <f t="shared" si="4"/>
        <v>2420234.7658928866</v>
      </c>
      <c r="W11" s="13">
        <f t="shared" si="4"/>
        <v>2388730.2696309853</v>
      </c>
      <c r="X11" s="13">
        <f t="shared" si="4"/>
        <v>2374749.9887922746</v>
      </c>
      <c r="Y11" s="13">
        <f t="shared" si="4"/>
        <v>2430997.2125303731</v>
      </c>
      <c r="Z11" s="13">
        <f t="shared" si="4"/>
        <v>2373141.0716916621</v>
      </c>
      <c r="AA11" s="13">
        <f t="shared" si="4"/>
        <v>2429388.2954297606</v>
      </c>
      <c r="AB11" s="13">
        <f t="shared" si="4"/>
        <v>2371532.1545910495</v>
      </c>
      <c r="AC11" s="13">
        <f t="shared" si="4"/>
        <v>2383903.5183291482</v>
      </c>
      <c r="AD11" s="13">
        <f t="shared" si="4"/>
        <v>2413799.0974904369</v>
      </c>
      <c r="AE11" s="13">
        <f t="shared" si="4"/>
        <v>2382294.6012285356</v>
      </c>
      <c r="AF11" s="13">
        <f t="shared" si="4"/>
        <v>2412190.1803898248</v>
      </c>
      <c r="AG11" s="13">
        <f t="shared" si="4"/>
        <v>2380685.6841279231</v>
      </c>
      <c r="AH11" s="13">
        <f t="shared" si="4"/>
        <v>2366705.4032892124</v>
      </c>
      <c r="AI11" s="13">
        <f t="shared" si="4"/>
        <v>2422952.6270273109</v>
      </c>
      <c r="AJ11" s="13">
        <f t="shared" si="4"/>
        <v>2365096.4861885998</v>
      </c>
      <c r="AK11" s="13">
        <f t="shared" si="4"/>
        <v>2421343.7099266988</v>
      </c>
      <c r="AL11" s="13">
        <f t="shared" si="4"/>
        <v>2363487.5690879873</v>
      </c>
      <c r="AM11" s="13">
        <f t="shared" si="4"/>
        <v>2214450.3349941219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27458177.707779616</v>
      </c>
      <c r="M12" s="1"/>
      <c r="N12" s="1"/>
      <c r="O12" s="415">
        <f>O14</f>
        <v>592653.68274706788</v>
      </c>
      <c r="P12" s="415">
        <f t="shared" ref="P12:AM12" si="5">P14</f>
        <v>1106132.3638512858</v>
      </c>
      <c r="Q12" s="415">
        <f t="shared" si="5"/>
        <v>1150008.2238512859</v>
      </c>
      <c r="R12" s="415">
        <f t="shared" si="5"/>
        <v>1106132.3638512858</v>
      </c>
      <c r="S12" s="415">
        <f t="shared" si="5"/>
        <v>1106132.3638512858</v>
      </c>
      <c r="T12" s="415">
        <f t="shared" si="5"/>
        <v>1150008.2238512859</v>
      </c>
      <c r="U12" s="415">
        <f t="shared" si="5"/>
        <v>1106132.3638512858</v>
      </c>
      <c r="V12" s="415">
        <f t="shared" si="5"/>
        <v>1150008.2238512859</v>
      </c>
      <c r="W12" s="415">
        <f t="shared" si="5"/>
        <v>1106132.3638512858</v>
      </c>
      <c r="X12" s="415">
        <f t="shared" si="5"/>
        <v>1106132.3638512858</v>
      </c>
      <c r="Y12" s="415">
        <f t="shared" si="5"/>
        <v>1150008.2238512859</v>
      </c>
      <c r="Z12" s="415">
        <f t="shared" si="5"/>
        <v>1106132.3638512858</v>
      </c>
      <c r="AA12" s="415">
        <f t="shared" si="5"/>
        <v>1150008.2238512859</v>
      </c>
      <c r="AB12" s="415">
        <f t="shared" si="5"/>
        <v>1106132.3638512858</v>
      </c>
      <c r="AC12" s="415">
        <f t="shared" si="5"/>
        <v>1106132.3638512858</v>
      </c>
      <c r="AD12" s="415">
        <f t="shared" si="5"/>
        <v>1150008.2238512859</v>
      </c>
      <c r="AE12" s="415">
        <f t="shared" si="5"/>
        <v>1106132.3638512858</v>
      </c>
      <c r="AF12" s="415">
        <f t="shared" si="5"/>
        <v>1150008.2238512859</v>
      </c>
      <c r="AG12" s="415">
        <f t="shared" si="5"/>
        <v>1106132.3638512858</v>
      </c>
      <c r="AH12" s="415">
        <f t="shared" si="5"/>
        <v>1106132.3638512858</v>
      </c>
      <c r="AI12" s="415">
        <f t="shared" si="5"/>
        <v>1150008.2238512859</v>
      </c>
      <c r="AJ12" s="415">
        <f t="shared" si="5"/>
        <v>1106132.3638512858</v>
      </c>
      <c r="AK12" s="415">
        <f t="shared" si="5"/>
        <v>1150008.2238512859</v>
      </c>
      <c r="AL12" s="415">
        <f t="shared" si="5"/>
        <v>1106132.3638512858</v>
      </c>
      <c r="AM12" s="415">
        <f t="shared" si="5"/>
        <v>1029596.916452966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31126990.962265946</v>
      </c>
      <c r="M13" s="1"/>
      <c r="N13" s="1"/>
      <c r="O13" s="415">
        <f>'Fluxo Rateio'!O4*$G$16</f>
        <v>896536.32476524147</v>
      </c>
      <c r="P13" s="415">
        <f>'Fluxo Rateio'!P4*$G$16</f>
        <v>1256550.7466863955</v>
      </c>
      <c r="Q13" s="415">
        <f>'Fluxo Rateio'!Q4*$G$16</f>
        <v>1269726.5689748004</v>
      </c>
      <c r="R13" s="415">
        <f>'Fluxo Rateio'!R4*$G$16</f>
        <v>1256550.7466863955</v>
      </c>
      <c r="S13" s="415">
        <f>'Fluxo Rateio'!S4*$G$16</f>
        <v>1269726.5689748004</v>
      </c>
      <c r="T13" s="415">
        <f>'Fluxo Rateio'!T4*$G$16</f>
        <v>1256550.7466863955</v>
      </c>
      <c r="U13" s="415">
        <f>'Fluxo Rateio'!U4*$G$16</f>
        <v>1269726.5689748004</v>
      </c>
      <c r="V13" s="415">
        <f>'Fluxo Rateio'!V4*$G$16</f>
        <v>1256550.7466863955</v>
      </c>
      <c r="W13" s="415">
        <f>'Fluxo Rateio'!W4*$G$16</f>
        <v>1269726.5689748004</v>
      </c>
      <c r="X13" s="415">
        <f>'Fluxo Rateio'!X4*$G$16</f>
        <v>1256550.7466863955</v>
      </c>
      <c r="Y13" s="415">
        <f>'Fluxo Rateio'!Y4*$G$16</f>
        <v>1269726.5689748004</v>
      </c>
      <c r="Z13" s="415">
        <f>'Fluxo Rateio'!Z4*$G$16</f>
        <v>1256550.7466863955</v>
      </c>
      <c r="AA13" s="415">
        <f>'Fluxo Rateio'!AA4*$G$16</f>
        <v>1269726.5689748004</v>
      </c>
      <c r="AB13" s="415">
        <f>'Fluxo Rateio'!AB4*$G$16</f>
        <v>1256550.7466863955</v>
      </c>
      <c r="AC13" s="415">
        <f>'Fluxo Rateio'!AC4*$G$16</f>
        <v>1269726.5689748004</v>
      </c>
      <c r="AD13" s="415">
        <f>'Fluxo Rateio'!AD4*$G$16</f>
        <v>1256550.7466863955</v>
      </c>
      <c r="AE13" s="415">
        <f>'Fluxo Rateio'!AE4*$G$16</f>
        <v>1269726.5689748004</v>
      </c>
      <c r="AF13" s="415">
        <f>'Fluxo Rateio'!AF4*$G$16</f>
        <v>1256550.7466863955</v>
      </c>
      <c r="AG13" s="415">
        <f>'Fluxo Rateio'!AG4*$G$16</f>
        <v>1269726.5689748004</v>
      </c>
      <c r="AH13" s="415">
        <f>'Fluxo Rateio'!AH4*$G$16</f>
        <v>1256550.7466863955</v>
      </c>
      <c r="AI13" s="415">
        <f>'Fluxo Rateio'!AI4*$G$16</f>
        <v>1269726.5689748004</v>
      </c>
      <c r="AJ13" s="415">
        <f>'Fluxo Rateio'!AJ4*$G$16</f>
        <v>1256550.7466863955</v>
      </c>
      <c r="AK13" s="415">
        <f>'Fluxo Rateio'!AK4*$G$16</f>
        <v>1269726.5689748004</v>
      </c>
      <c r="AL13" s="415">
        <f>'Fluxo Rateio'!AL4*$G$16</f>
        <v>1256550.7466863955</v>
      </c>
      <c r="AM13" s="415">
        <f>'Fluxo Rateio'!AM4*$G$16</f>
        <v>1184853.4185411558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SUM(O14:AM14)*(1+$D$325/100)</f>
        <v>27458177.707779616</v>
      </c>
      <c r="M14" s="183"/>
      <c r="N14" s="1"/>
      <c r="O14" s="486">
        <f>(SUM(O16:O20,O22)*(1+$D$325/100))</f>
        <v>592653.68274706788</v>
      </c>
      <c r="P14" s="486">
        <f t="shared" ref="P14:AM14" si="6">(SUM(P16:P20,P22)*(1+$D$325/100))</f>
        <v>1106132.3638512858</v>
      </c>
      <c r="Q14" s="486">
        <f t="shared" si="6"/>
        <v>1150008.2238512859</v>
      </c>
      <c r="R14" s="486">
        <f t="shared" si="6"/>
        <v>1106132.3638512858</v>
      </c>
      <c r="S14" s="486">
        <f t="shared" si="6"/>
        <v>1106132.3638512858</v>
      </c>
      <c r="T14" s="486">
        <f t="shared" si="6"/>
        <v>1150008.2238512859</v>
      </c>
      <c r="U14" s="486">
        <f t="shared" si="6"/>
        <v>1106132.3638512858</v>
      </c>
      <c r="V14" s="486">
        <f t="shared" si="6"/>
        <v>1150008.2238512859</v>
      </c>
      <c r="W14" s="486">
        <f t="shared" si="6"/>
        <v>1106132.3638512858</v>
      </c>
      <c r="X14" s="486">
        <f t="shared" si="6"/>
        <v>1106132.3638512858</v>
      </c>
      <c r="Y14" s="486">
        <f t="shared" si="6"/>
        <v>1150008.2238512859</v>
      </c>
      <c r="Z14" s="486">
        <f t="shared" si="6"/>
        <v>1106132.3638512858</v>
      </c>
      <c r="AA14" s="486">
        <f t="shared" si="6"/>
        <v>1150008.2238512859</v>
      </c>
      <c r="AB14" s="486">
        <f t="shared" si="6"/>
        <v>1106132.3638512858</v>
      </c>
      <c r="AC14" s="486">
        <f t="shared" si="6"/>
        <v>1106132.3638512858</v>
      </c>
      <c r="AD14" s="486">
        <f t="shared" si="6"/>
        <v>1150008.2238512859</v>
      </c>
      <c r="AE14" s="486">
        <f t="shared" si="6"/>
        <v>1106132.3638512858</v>
      </c>
      <c r="AF14" s="486">
        <f t="shared" si="6"/>
        <v>1150008.2238512859</v>
      </c>
      <c r="AG14" s="486">
        <f t="shared" si="6"/>
        <v>1106132.3638512858</v>
      </c>
      <c r="AH14" s="486">
        <f t="shared" si="6"/>
        <v>1106132.3638512858</v>
      </c>
      <c r="AI14" s="486">
        <f t="shared" si="6"/>
        <v>1150008.2238512859</v>
      </c>
      <c r="AJ14" s="486">
        <f t="shared" si="6"/>
        <v>1106132.3638512858</v>
      </c>
      <c r="AK14" s="486">
        <f t="shared" si="6"/>
        <v>1150008.2238512859</v>
      </c>
      <c r="AL14" s="486">
        <f t="shared" si="6"/>
        <v>1106132.3638512858</v>
      </c>
      <c r="AM14" s="486">
        <f t="shared" si="6"/>
        <v>1029596.916452966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f>'Fluxo Rateio'!$F$32</f>
        <v>0.62006875102204595</v>
      </c>
      <c r="H16" s="397"/>
      <c r="I16" s="398"/>
      <c r="J16" s="427"/>
      <c r="K16" s="399">
        <f t="shared" ref="K16:K18" si="7">L16/$L$14</f>
        <v>0.45294414509466674</v>
      </c>
      <c r="L16" s="431">
        <f t="shared" ref="L16:L23" si="8">SUM(O16:AV16)</f>
        <v>12437020.827707674</v>
      </c>
      <c r="M16" s="184"/>
      <c r="N16" s="200"/>
      <c r="O16" s="424">
        <v>246596.6843899182</v>
      </c>
      <c r="P16" s="424">
        <v>493193.36877983651</v>
      </c>
      <c r="Q16" s="424">
        <v>537069.22877983656</v>
      </c>
      <c r="R16" s="424">
        <v>493193.36877983651</v>
      </c>
      <c r="S16" s="424">
        <v>493193.36877983651</v>
      </c>
      <c r="T16" s="424">
        <v>537069.22877983656</v>
      </c>
      <c r="U16" s="424">
        <v>493193.36877983651</v>
      </c>
      <c r="V16" s="424">
        <v>537069.22877983656</v>
      </c>
      <c r="W16" s="424">
        <v>493193.36877983651</v>
      </c>
      <c r="X16" s="424">
        <v>493193.36877983651</v>
      </c>
      <c r="Y16" s="424">
        <v>537069.22877983656</v>
      </c>
      <c r="Z16" s="424">
        <v>493193.36877983651</v>
      </c>
      <c r="AA16" s="424">
        <v>537069.22877983656</v>
      </c>
      <c r="AB16" s="424">
        <v>493193.36877983651</v>
      </c>
      <c r="AC16" s="424">
        <v>493193.36877983651</v>
      </c>
      <c r="AD16" s="424">
        <v>537069.22877983656</v>
      </c>
      <c r="AE16" s="424">
        <v>493193.36877983651</v>
      </c>
      <c r="AF16" s="424">
        <v>537069.22877983656</v>
      </c>
      <c r="AG16" s="424">
        <v>493193.36877983651</v>
      </c>
      <c r="AH16" s="424">
        <v>493193.36877983651</v>
      </c>
      <c r="AI16" s="424">
        <v>537069.22877983656</v>
      </c>
      <c r="AJ16" s="424">
        <v>493193.36877983651</v>
      </c>
      <c r="AK16" s="424">
        <v>537069.22877983656</v>
      </c>
      <c r="AL16" s="424">
        <v>493193.36877983651</v>
      </c>
      <c r="AM16" s="424">
        <v>452093.92138151679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7"/>
        <v>0</v>
      </c>
      <c r="L17" s="421">
        <f t="shared" si="8"/>
        <v>0</v>
      </c>
      <c r="M17" s="184"/>
      <c r="N17" s="200"/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7"/>
        <v>0.28401811959249024</v>
      </c>
      <c r="L18" s="421">
        <f t="shared" si="8"/>
        <v>7798620</v>
      </c>
      <c r="M18" s="184"/>
      <c r="N18" s="200"/>
      <c r="O18" s="411">
        <v>211488</v>
      </c>
      <c r="P18" s="411">
        <v>317232</v>
      </c>
      <c r="Q18" s="411">
        <v>317232</v>
      </c>
      <c r="R18" s="411">
        <v>317232</v>
      </c>
      <c r="S18" s="411">
        <v>317232</v>
      </c>
      <c r="T18" s="411">
        <v>317232</v>
      </c>
      <c r="U18" s="411">
        <v>317232</v>
      </c>
      <c r="V18" s="411">
        <v>317232</v>
      </c>
      <c r="W18" s="411">
        <v>317232</v>
      </c>
      <c r="X18" s="411">
        <v>317232</v>
      </c>
      <c r="Y18" s="411">
        <v>317232</v>
      </c>
      <c r="Z18" s="411">
        <v>317232</v>
      </c>
      <c r="AA18" s="411">
        <v>317232</v>
      </c>
      <c r="AB18" s="411">
        <v>317232</v>
      </c>
      <c r="AC18" s="411">
        <v>317232</v>
      </c>
      <c r="AD18" s="411">
        <v>317232</v>
      </c>
      <c r="AE18" s="411">
        <v>317232</v>
      </c>
      <c r="AF18" s="411">
        <v>317232</v>
      </c>
      <c r="AG18" s="411">
        <v>317232</v>
      </c>
      <c r="AH18" s="411">
        <v>317232</v>
      </c>
      <c r="AI18" s="411">
        <v>317232</v>
      </c>
      <c r="AJ18" s="411">
        <v>317232</v>
      </c>
      <c r="AK18" s="411">
        <v>317232</v>
      </c>
      <c r="AL18" s="411">
        <v>317232</v>
      </c>
      <c r="AM18" s="411">
        <v>290796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9.6692505535346196E-2</v>
      </c>
      <c r="L19" s="421">
        <f t="shared" si="8"/>
        <v>2655000</v>
      </c>
      <c r="M19" s="183"/>
      <c r="N19" s="1"/>
      <c r="O19" s="411">
        <v>72000</v>
      </c>
      <c r="P19" s="411">
        <v>108000</v>
      </c>
      <c r="Q19" s="411">
        <v>108000</v>
      </c>
      <c r="R19" s="411">
        <v>108000</v>
      </c>
      <c r="S19" s="411">
        <v>108000</v>
      </c>
      <c r="T19" s="411">
        <v>108000</v>
      </c>
      <c r="U19" s="411">
        <v>108000</v>
      </c>
      <c r="V19" s="411">
        <v>108000</v>
      </c>
      <c r="W19" s="411">
        <v>108000</v>
      </c>
      <c r="X19" s="411">
        <v>108000</v>
      </c>
      <c r="Y19" s="411">
        <v>108000</v>
      </c>
      <c r="Z19" s="411">
        <v>108000</v>
      </c>
      <c r="AA19" s="411">
        <v>108000</v>
      </c>
      <c r="AB19" s="411">
        <v>108000</v>
      </c>
      <c r="AC19" s="411">
        <v>108000</v>
      </c>
      <c r="AD19" s="411">
        <v>108000</v>
      </c>
      <c r="AE19" s="411">
        <v>108000</v>
      </c>
      <c r="AF19" s="411">
        <v>108000</v>
      </c>
      <c r="AG19" s="411">
        <v>108000</v>
      </c>
      <c r="AH19" s="411">
        <v>108000</v>
      </c>
      <c r="AI19" s="411">
        <v>108000</v>
      </c>
      <c r="AJ19" s="411">
        <v>108000</v>
      </c>
      <c r="AK19" s="411">
        <v>108000</v>
      </c>
      <c r="AL19" s="411">
        <v>108000</v>
      </c>
      <c r="AM19" s="411">
        <v>99000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8"/>
        <v>0</v>
      </c>
      <c r="M20" s="1"/>
      <c r="N20" s="1"/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393" t="s">
        <v>162</v>
      </c>
      <c r="C21" s="183"/>
      <c r="D21" s="183"/>
      <c r="E21" s="183"/>
      <c r="F21" s="183"/>
      <c r="G21" s="183"/>
      <c r="H21" s="183"/>
      <c r="I21" s="183"/>
      <c r="J21" s="183"/>
      <c r="K21" s="423"/>
      <c r="L21" s="597">
        <f t="shared" si="8"/>
        <v>4650515.6326653445</v>
      </c>
      <c r="M21" s="1"/>
      <c r="N21" s="1"/>
      <c r="O21" s="425">
        <f>'Fluxo Rateio'!O12*$G$16</f>
        <v>186020.62530661377</v>
      </c>
      <c r="P21" s="425">
        <f>'Fluxo Rateio'!P12*$G$16</f>
        <v>186020.62530661377</v>
      </c>
      <c r="Q21" s="425">
        <f>'Fluxo Rateio'!Q12*$G$16</f>
        <v>186020.62530661377</v>
      </c>
      <c r="R21" s="425">
        <f>'Fluxo Rateio'!R12*$G$16</f>
        <v>186020.62530661377</v>
      </c>
      <c r="S21" s="425">
        <f>'Fluxo Rateio'!S12*$G$16</f>
        <v>186020.62530661377</v>
      </c>
      <c r="T21" s="425">
        <f>'Fluxo Rateio'!T12*$G$16</f>
        <v>186020.62530661377</v>
      </c>
      <c r="U21" s="425">
        <f>'Fluxo Rateio'!U12*$G$16</f>
        <v>186020.62530661377</v>
      </c>
      <c r="V21" s="425">
        <f>'Fluxo Rateio'!V12*$G$16</f>
        <v>186020.62530661377</v>
      </c>
      <c r="W21" s="425">
        <f>'Fluxo Rateio'!W12*$G$16</f>
        <v>186020.62530661377</v>
      </c>
      <c r="X21" s="425">
        <f>'Fluxo Rateio'!X12*$G$16</f>
        <v>186020.62530661377</v>
      </c>
      <c r="Y21" s="425">
        <f>'Fluxo Rateio'!Y12*$G$16</f>
        <v>186020.62530661377</v>
      </c>
      <c r="Z21" s="425">
        <f>'Fluxo Rateio'!Z12*$G$16</f>
        <v>186020.62530661377</v>
      </c>
      <c r="AA21" s="425">
        <f>'Fluxo Rateio'!AA12*$G$16</f>
        <v>186020.62530661377</v>
      </c>
      <c r="AB21" s="425">
        <f>'Fluxo Rateio'!AB12*$G$16</f>
        <v>186020.62530661377</v>
      </c>
      <c r="AC21" s="425">
        <f>'Fluxo Rateio'!AC12*$G$16</f>
        <v>186020.62530661377</v>
      </c>
      <c r="AD21" s="425">
        <f>'Fluxo Rateio'!AD12*$G$16</f>
        <v>186020.62530661377</v>
      </c>
      <c r="AE21" s="425">
        <f>'Fluxo Rateio'!AE12*$G$16</f>
        <v>186020.62530661377</v>
      </c>
      <c r="AF21" s="425">
        <f>'Fluxo Rateio'!AF12*$G$16</f>
        <v>186020.62530661377</v>
      </c>
      <c r="AG21" s="425">
        <f>'Fluxo Rateio'!AG12*$G$16</f>
        <v>186020.62530661377</v>
      </c>
      <c r="AH21" s="425">
        <f>'Fluxo Rateio'!AH12*$G$16</f>
        <v>186020.62530661377</v>
      </c>
      <c r="AI21" s="425">
        <f>'Fluxo Rateio'!AI12*$G$16</f>
        <v>186020.62530661377</v>
      </c>
      <c r="AJ21" s="425">
        <f>'Fluxo Rateio'!AJ12*$G$16</f>
        <v>186020.62530661377</v>
      </c>
      <c r="AK21" s="425">
        <f>'Fluxo Rateio'!AK12*$G$16</f>
        <v>186020.62530661377</v>
      </c>
      <c r="AL21" s="425">
        <f>'Fluxo Rateio'!AL12*$G$16</f>
        <v>186020.62530661377</v>
      </c>
      <c r="AM21" s="425">
        <f>'Fluxo Rateio'!AM12*$G$16</f>
        <v>186020.62530661377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611">
        <f t="shared" si="8"/>
        <v>4567536.8800719324</v>
      </c>
      <c r="M22" s="1"/>
      <c r="N22" s="1"/>
      <c r="O22" s="612">
        <f>O75*$G$22</f>
        <v>62568.998357149678</v>
      </c>
      <c r="P22" s="619">
        <f t="shared" ref="P22:AM22" si="9">P75*$G$22</f>
        <v>187706.99507144923</v>
      </c>
      <c r="Q22" s="612">
        <f t="shared" si="9"/>
        <v>187706.99507144923</v>
      </c>
      <c r="R22" s="612">
        <f t="shared" si="9"/>
        <v>187706.99507144923</v>
      </c>
      <c r="S22" s="612">
        <f t="shared" si="9"/>
        <v>187706.99507144923</v>
      </c>
      <c r="T22" s="612">
        <f t="shared" si="9"/>
        <v>187706.99507144923</v>
      </c>
      <c r="U22" s="612">
        <f t="shared" si="9"/>
        <v>187706.99507144923</v>
      </c>
      <c r="V22" s="612">
        <f t="shared" si="9"/>
        <v>187706.99507144923</v>
      </c>
      <c r="W22" s="612">
        <f t="shared" si="9"/>
        <v>187706.99507144923</v>
      </c>
      <c r="X22" s="612">
        <f t="shared" si="9"/>
        <v>187706.99507144923</v>
      </c>
      <c r="Y22" s="612">
        <f t="shared" si="9"/>
        <v>187706.99507144923</v>
      </c>
      <c r="Z22" s="612">
        <f t="shared" si="9"/>
        <v>187706.99507144923</v>
      </c>
      <c r="AA22" s="612">
        <f t="shared" si="9"/>
        <v>187706.99507144923</v>
      </c>
      <c r="AB22" s="612">
        <f t="shared" si="9"/>
        <v>187706.99507144923</v>
      </c>
      <c r="AC22" s="612">
        <f t="shared" si="9"/>
        <v>187706.99507144923</v>
      </c>
      <c r="AD22" s="612">
        <f t="shared" si="9"/>
        <v>187706.99507144923</v>
      </c>
      <c r="AE22" s="612">
        <f t="shared" si="9"/>
        <v>187706.99507144923</v>
      </c>
      <c r="AF22" s="612">
        <f t="shared" si="9"/>
        <v>187706.99507144923</v>
      </c>
      <c r="AG22" s="612">
        <f t="shared" si="9"/>
        <v>187706.99507144923</v>
      </c>
      <c r="AH22" s="612">
        <f t="shared" si="9"/>
        <v>187706.99507144923</v>
      </c>
      <c r="AI22" s="612">
        <f t="shared" si="9"/>
        <v>187706.99507144923</v>
      </c>
      <c r="AJ22" s="612">
        <f t="shared" si="9"/>
        <v>187706.99507144923</v>
      </c>
      <c r="AK22" s="612">
        <f t="shared" si="9"/>
        <v>187706.99507144923</v>
      </c>
      <c r="AL22" s="612">
        <f t="shared" si="9"/>
        <v>187706.99507144923</v>
      </c>
      <c r="AM22" s="612">
        <f t="shared" si="9"/>
        <v>187706.99507144923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609" t="s">
        <v>5363</v>
      </c>
      <c r="H23" s="599"/>
      <c r="I23" s="599"/>
      <c r="J23" s="599"/>
      <c r="K23" s="600"/>
      <c r="L23" s="611">
        <f t="shared" si="8"/>
        <v>930103.12653306848</v>
      </c>
      <c r="M23" s="1"/>
      <c r="N23" s="1"/>
      <c r="O23" s="604">
        <f>$G$16*'Fluxo Rateio'!O13</f>
        <v>37204.12506132276</v>
      </c>
      <c r="P23" s="618">
        <f>$G$16*'Fluxo Rateio'!P13</f>
        <v>37204.12506132276</v>
      </c>
      <c r="Q23" s="604">
        <f>$G$16*'Fluxo Rateio'!Q13</f>
        <v>37204.12506132276</v>
      </c>
      <c r="R23" s="604">
        <f>$G$16*'Fluxo Rateio'!R13</f>
        <v>37204.12506132276</v>
      </c>
      <c r="S23" s="604">
        <f>$G$16*'Fluxo Rateio'!S13</f>
        <v>37204.12506132276</v>
      </c>
      <c r="T23" s="604">
        <f>$G$16*'Fluxo Rateio'!T13</f>
        <v>37204.12506132276</v>
      </c>
      <c r="U23" s="604">
        <f>$G$16*'Fluxo Rateio'!U13</f>
        <v>37204.12506132276</v>
      </c>
      <c r="V23" s="604">
        <f>$G$16*'Fluxo Rateio'!V13</f>
        <v>37204.12506132276</v>
      </c>
      <c r="W23" s="604">
        <f>$G$16*'Fluxo Rateio'!W13</f>
        <v>37204.12506132276</v>
      </c>
      <c r="X23" s="604">
        <f>$G$16*'Fluxo Rateio'!X13</f>
        <v>37204.12506132276</v>
      </c>
      <c r="Y23" s="604">
        <f>$G$16*'Fluxo Rateio'!Y13</f>
        <v>37204.12506132276</v>
      </c>
      <c r="Z23" s="604">
        <f>$G$16*'Fluxo Rateio'!Z13</f>
        <v>37204.12506132276</v>
      </c>
      <c r="AA23" s="604">
        <f>$G$16*'Fluxo Rateio'!AA13</f>
        <v>37204.12506132276</v>
      </c>
      <c r="AB23" s="604">
        <f>$G$16*'Fluxo Rateio'!AB13</f>
        <v>37204.12506132276</v>
      </c>
      <c r="AC23" s="604">
        <f>$G$16*'Fluxo Rateio'!AC13</f>
        <v>37204.12506132276</v>
      </c>
      <c r="AD23" s="604">
        <f>$G$16*'Fluxo Rateio'!AD13</f>
        <v>37204.12506132276</v>
      </c>
      <c r="AE23" s="604">
        <f>$G$16*'Fluxo Rateio'!AE13</f>
        <v>37204.12506132276</v>
      </c>
      <c r="AF23" s="604">
        <f>$G$16*'Fluxo Rateio'!AF13</f>
        <v>37204.12506132276</v>
      </c>
      <c r="AG23" s="604">
        <f>$G$16*'Fluxo Rateio'!AG13</f>
        <v>37204.12506132276</v>
      </c>
      <c r="AH23" s="604">
        <f>$G$16*'Fluxo Rateio'!AH13</f>
        <v>37204.12506132276</v>
      </c>
      <c r="AI23" s="604">
        <f>$G$16*'Fluxo Rateio'!AI13</f>
        <v>37204.12506132276</v>
      </c>
      <c r="AJ23" s="604">
        <f>$G$16*'Fluxo Rateio'!AJ13</f>
        <v>37204.12506132276</v>
      </c>
      <c r="AK23" s="604">
        <f>$G$16*'Fluxo Rateio'!AK13</f>
        <v>37204.12506132276</v>
      </c>
      <c r="AL23" s="604">
        <f>$G$16*'Fluxo Rateio'!AL13</f>
        <v>37204.12506132276</v>
      </c>
      <c r="AM23" s="604">
        <f>$G$16*'Fluxo Rateio'!AM13</f>
        <v>37204.12506132276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(SUM(O29:AM29))*(1+$C$325/100)</f>
        <v>33293479.120088503</v>
      </c>
      <c r="M29" s="1"/>
      <c r="N29" s="1"/>
      <c r="O29" s="300">
        <f t="shared" ref="O29:AM29" si="10">(O30+O31)*(1+$C$325/100)</f>
        <v>10500745.048619796</v>
      </c>
      <c r="P29" s="300">
        <f t="shared" si="10"/>
        <v>0</v>
      </c>
      <c r="Q29" s="300">
        <f t="shared" si="10"/>
        <v>0</v>
      </c>
      <c r="R29" s="300">
        <f t="shared" si="10"/>
        <v>0</v>
      </c>
      <c r="S29" s="300">
        <f t="shared" si="10"/>
        <v>4627416.8325103205</v>
      </c>
      <c r="T29" s="300">
        <f t="shared" si="10"/>
        <v>0</v>
      </c>
      <c r="U29" s="300">
        <f t="shared" si="10"/>
        <v>0</v>
      </c>
      <c r="V29" s="300">
        <f t="shared" si="10"/>
        <v>414811.16858991171</v>
      </c>
      <c r="W29" s="300">
        <f t="shared" si="10"/>
        <v>593554.54468889139</v>
      </c>
      <c r="X29" s="300">
        <f t="shared" si="10"/>
        <v>0</v>
      </c>
      <c r="Y29" s="300">
        <f t="shared" si="10"/>
        <v>4595961.8608947229</v>
      </c>
      <c r="Z29" s="300">
        <f t="shared" si="10"/>
        <v>0</v>
      </c>
      <c r="AA29" s="300">
        <f t="shared" si="10"/>
        <v>1883882.1860244903</v>
      </c>
      <c r="AB29" s="300">
        <f t="shared" si="10"/>
        <v>0</v>
      </c>
      <c r="AC29" s="300">
        <f t="shared" si="10"/>
        <v>0</v>
      </c>
      <c r="AD29" s="300">
        <f t="shared" si="10"/>
        <v>5010321.4954201402</v>
      </c>
      <c r="AE29" s="300">
        <f t="shared" si="10"/>
        <v>78978.747551102293</v>
      </c>
      <c r="AF29" s="300">
        <f t="shared" si="10"/>
        <v>515027.33120228339</v>
      </c>
      <c r="AG29" s="300">
        <f t="shared" si="10"/>
        <v>0</v>
      </c>
      <c r="AH29" s="300">
        <f t="shared" si="10"/>
        <v>0</v>
      </c>
      <c r="AI29" s="300">
        <f t="shared" si="10"/>
        <v>4626965.2984458264</v>
      </c>
      <c r="AJ29" s="300">
        <f t="shared" si="10"/>
        <v>0</v>
      </c>
      <c r="AK29" s="300">
        <f t="shared" si="10"/>
        <v>414811.16858991171</v>
      </c>
      <c r="AL29" s="300">
        <f t="shared" si="10"/>
        <v>0</v>
      </c>
      <c r="AM29" s="300">
        <f t="shared" si="10"/>
        <v>31003.437551102299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15570386.423376331</v>
      </c>
      <c r="M30" s="1"/>
      <c r="N30" s="1"/>
      <c r="O30" s="414">
        <f>O32</f>
        <v>5659377.9654419087</v>
      </c>
      <c r="P30" s="414">
        <f t="shared" ref="P30:AM30" si="11">P32</f>
        <v>0</v>
      </c>
      <c r="Q30" s="414">
        <f t="shared" si="11"/>
        <v>0</v>
      </c>
      <c r="R30" s="414">
        <f t="shared" si="11"/>
        <v>0</v>
      </c>
      <c r="S30" s="414">
        <f t="shared" si="11"/>
        <v>2124878.1199999996</v>
      </c>
      <c r="T30" s="414">
        <f t="shared" si="11"/>
        <v>0</v>
      </c>
      <c r="U30" s="414">
        <f t="shared" si="11"/>
        <v>0</v>
      </c>
      <c r="V30" s="414">
        <f t="shared" si="11"/>
        <v>0</v>
      </c>
      <c r="W30" s="414">
        <f t="shared" si="11"/>
        <v>47975.31</v>
      </c>
      <c r="X30" s="414">
        <f t="shared" si="11"/>
        <v>0</v>
      </c>
      <c r="Y30" s="414">
        <f t="shared" si="11"/>
        <v>2124878.1199999996</v>
      </c>
      <c r="Z30" s="414">
        <f t="shared" si="11"/>
        <v>0</v>
      </c>
      <c r="AA30" s="414">
        <f t="shared" si="11"/>
        <v>1315545.3579344256</v>
      </c>
      <c r="AB30" s="414">
        <f t="shared" si="11"/>
        <v>0</v>
      </c>
      <c r="AC30" s="414">
        <f t="shared" si="11"/>
        <v>0</v>
      </c>
      <c r="AD30" s="414">
        <f t="shared" si="11"/>
        <v>2124878.1199999996</v>
      </c>
      <c r="AE30" s="414">
        <f t="shared" si="11"/>
        <v>47975.31</v>
      </c>
      <c r="AF30" s="414">
        <f t="shared" si="11"/>
        <v>0</v>
      </c>
      <c r="AG30" s="414">
        <f t="shared" si="11"/>
        <v>0</v>
      </c>
      <c r="AH30" s="414">
        <f t="shared" si="11"/>
        <v>0</v>
      </c>
      <c r="AI30" s="414">
        <f t="shared" si="11"/>
        <v>2124878.1199999996</v>
      </c>
      <c r="AJ30" s="414">
        <f t="shared" si="11"/>
        <v>0</v>
      </c>
      <c r="AK30" s="414">
        <f t="shared" si="11"/>
        <v>0</v>
      </c>
      <c r="AL30" s="414">
        <f t="shared" si="11"/>
        <v>0</v>
      </c>
      <c r="AM30" s="414">
        <f t="shared" si="11"/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17723092.696712166</v>
      </c>
      <c r="M31" s="1"/>
      <c r="N31" s="1"/>
      <c r="O31" s="414">
        <f>'Fluxo Rateio'!O15*$G$34</f>
        <v>4841367.0831778869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2502538.7125103204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414811.16858991171</v>
      </c>
      <c r="W31" s="414">
        <f>'Fluxo Rateio'!W15*$G$34</f>
        <v>545579.23468889145</v>
      </c>
      <c r="X31" s="414">
        <f>'Fluxo Rateio'!X15*$G$34</f>
        <v>0</v>
      </c>
      <c r="Y31" s="414">
        <f>'Fluxo Rateio'!Y15*$G$34</f>
        <v>2471083.7408947237</v>
      </c>
      <c r="Z31" s="414">
        <f>'Fluxo Rateio'!Z15*$G$34</f>
        <v>0</v>
      </c>
      <c r="AA31" s="414">
        <f>'Fluxo Rateio'!AA15*$G$34</f>
        <v>568336.82809006481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2885443.3754201406</v>
      </c>
      <c r="AE31" s="414">
        <f>'Fluxo Rateio'!AE15*$G$34</f>
        <v>31003.437551102299</v>
      </c>
      <c r="AF31" s="414">
        <f>'Fluxo Rateio'!AF15*$G$34</f>
        <v>515027.33120228339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2502087.1784458263</v>
      </c>
      <c r="AJ31" s="414">
        <f>'Fluxo Rateio'!AJ15*$G$34</f>
        <v>0</v>
      </c>
      <c r="AK31" s="414">
        <f>'Fluxo Rateio'!AK15*$G$34</f>
        <v>414811.16858991171</v>
      </c>
      <c r="AL31" s="414">
        <f>'Fluxo Rateio'!AL15*$G$34</f>
        <v>0</v>
      </c>
      <c r="AM31" s="414">
        <f>'Fluxo Rateio'!AM15*$G$34</f>
        <v>31003.437551102299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(L34+L35+L38+L36+L37+L39)*(1+$C$325/100)</f>
        <v>15570386.423376333</v>
      </c>
      <c r="M32" s="1"/>
      <c r="N32" s="1"/>
      <c r="O32" s="92">
        <f t="shared" ref="O32:AM32" si="12">(O34+O35+O38+O36+O37+O39)*(1+$C$325/100)</f>
        <v>5659377.9654419087</v>
      </c>
      <c r="P32" s="92">
        <f t="shared" si="12"/>
        <v>0</v>
      </c>
      <c r="Q32" s="92">
        <f t="shared" si="12"/>
        <v>0</v>
      </c>
      <c r="R32" s="92">
        <f t="shared" si="12"/>
        <v>0</v>
      </c>
      <c r="S32" s="92">
        <f t="shared" si="12"/>
        <v>2124878.1199999996</v>
      </c>
      <c r="T32" s="92">
        <f t="shared" si="12"/>
        <v>0</v>
      </c>
      <c r="U32" s="92">
        <f t="shared" si="12"/>
        <v>0</v>
      </c>
      <c r="V32" s="92">
        <f t="shared" si="12"/>
        <v>0</v>
      </c>
      <c r="W32" s="92">
        <f t="shared" si="12"/>
        <v>47975.31</v>
      </c>
      <c r="X32" s="92">
        <f t="shared" si="12"/>
        <v>0</v>
      </c>
      <c r="Y32" s="92">
        <f t="shared" si="12"/>
        <v>2124878.1199999996</v>
      </c>
      <c r="Z32" s="92">
        <f t="shared" si="12"/>
        <v>0</v>
      </c>
      <c r="AA32" s="92">
        <f t="shared" si="12"/>
        <v>1315545.3579344256</v>
      </c>
      <c r="AB32" s="92">
        <f t="shared" si="12"/>
        <v>0</v>
      </c>
      <c r="AC32" s="92">
        <f t="shared" si="12"/>
        <v>0</v>
      </c>
      <c r="AD32" s="92">
        <f t="shared" si="12"/>
        <v>2124878.1199999996</v>
      </c>
      <c r="AE32" s="92">
        <f t="shared" si="12"/>
        <v>47975.31</v>
      </c>
      <c r="AF32" s="92">
        <f t="shared" si="12"/>
        <v>0</v>
      </c>
      <c r="AG32" s="92">
        <f t="shared" si="12"/>
        <v>0</v>
      </c>
      <c r="AH32" s="92">
        <f t="shared" si="12"/>
        <v>0</v>
      </c>
      <c r="AI32" s="92">
        <f t="shared" si="12"/>
        <v>2124878.1199999996</v>
      </c>
      <c r="AJ32" s="92">
        <f t="shared" si="12"/>
        <v>0</v>
      </c>
      <c r="AK32" s="92">
        <f t="shared" si="12"/>
        <v>0</v>
      </c>
      <c r="AL32" s="92">
        <f t="shared" si="12"/>
        <v>0</v>
      </c>
      <c r="AM32" s="92">
        <f t="shared" si="12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f>'Fluxo Rateio'!$F$32</f>
        <v>0.62006875102204595</v>
      </c>
      <c r="H34" s="350"/>
      <c r="I34" s="401"/>
      <c r="J34" s="401"/>
      <c r="K34" s="402">
        <f>L34/$L$32</f>
        <v>0.1591325338130378</v>
      </c>
      <c r="L34" s="403">
        <f>SUM(O34:AM34)</f>
        <v>2477755.0439999988</v>
      </c>
      <c r="M34" s="165"/>
      <c r="N34" s="165"/>
      <c r="O34" s="410">
        <v>2477755.0439999988</v>
      </c>
      <c r="P34" s="410">
        <v>0</v>
      </c>
      <c r="Q34" s="410">
        <v>0</v>
      </c>
      <c r="R34" s="410">
        <v>0</v>
      </c>
      <c r="S34" s="410">
        <v>0</v>
      </c>
      <c r="T34" s="410">
        <v>0</v>
      </c>
      <c r="U34" s="410">
        <v>0</v>
      </c>
      <c r="V34" s="410">
        <v>0</v>
      </c>
      <c r="W34" s="410">
        <v>0</v>
      </c>
      <c r="X34" s="410">
        <v>0</v>
      </c>
      <c r="Y34" s="410">
        <v>0</v>
      </c>
      <c r="Z34" s="410">
        <v>0</v>
      </c>
      <c r="AA34" s="410">
        <v>0</v>
      </c>
      <c r="AB34" s="410">
        <v>0</v>
      </c>
      <c r="AC34" s="410">
        <v>0</v>
      </c>
      <c r="AD34" s="410">
        <v>0</v>
      </c>
      <c r="AE34" s="410">
        <v>0</v>
      </c>
      <c r="AF34" s="410">
        <v>0</v>
      </c>
      <c r="AG34" s="410">
        <v>0</v>
      </c>
      <c r="AH34" s="410">
        <v>0</v>
      </c>
      <c r="AI34" s="410">
        <v>0</v>
      </c>
      <c r="AJ34" s="410">
        <v>0</v>
      </c>
      <c r="AK34" s="410">
        <v>0</v>
      </c>
      <c r="AL34" s="410">
        <v>0</v>
      </c>
      <c r="AM34" s="410"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>L35/$L$32</f>
        <v>8.6221587405106506E-2</v>
      </c>
      <c r="L35" s="405">
        <f>SUM(O35:AM35)</f>
        <v>1342503.4339344262</v>
      </c>
      <c r="M35" s="1"/>
      <c r="N35" s="1"/>
      <c r="O35" s="411">
        <v>1342503.4339344262</v>
      </c>
      <c r="P35" s="411">
        <v>0</v>
      </c>
      <c r="Q35" s="411">
        <v>0</v>
      </c>
      <c r="R35" s="411">
        <v>0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>L36/$L$32</f>
        <v>2.8340703178535011E-3</v>
      </c>
      <c r="L36" s="405">
        <f t="shared" ref="L36:L39" si="13">SUM(O36:AM36)</f>
        <v>44127.57</v>
      </c>
      <c r="M36" s="1"/>
      <c r="N36" s="1"/>
      <c r="O36" s="411">
        <v>44127.57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>L37/$L$32</f>
        <v>0.11528242579854046</v>
      </c>
      <c r="L37" s="405">
        <f t="shared" si="13"/>
        <v>1794991.9175074839</v>
      </c>
      <c r="M37" s="1"/>
      <c r="N37" s="1"/>
      <c r="O37" s="411">
        <v>1794991.9175074839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>
        <v>0</v>
      </c>
      <c r="X37" s="411">
        <v>0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0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>L38/$L$32</f>
        <v>0</v>
      </c>
      <c r="L38" s="405">
        <f t="shared" si="13"/>
        <v>0</v>
      </c>
      <c r="M38" s="1"/>
      <c r="N38" s="1"/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408"/>
      <c r="L39" s="409">
        <f t="shared" si="13"/>
        <v>9911008.4579344243</v>
      </c>
      <c r="M39" s="1"/>
      <c r="N39" s="1"/>
      <c r="O39" s="412">
        <v>0</v>
      </c>
      <c r="P39" s="412">
        <v>0</v>
      </c>
      <c r="Q39" s="412">
        <v>0</v>
      </c>
      <c r="R39" s="412">
        <v>0</v>
      </c>
      <c r="S39" s="412">
        <v>2124878.1199999996</v>
      </c>
      <c r="T39" s="412">
        <v>0</v>
      </c>
      <c r="U39" s="412">
        <v>0</v>
      </c>
      <c r="V39" s="412">
        <v>0</v>
      </c>
      <c r="W39" s="412">
        <v>47975.31</v>
      </c>
      <c r="X39" s="412">
        <v>0</v>
      </c>
      <c r="Y39" s="412">
        <v>2124878.1199999996</v>
      </c>
      <c r="Z39" s="412">
        <v>0</v>
      </c>
      <c r="AA39" s="412">
        <v>1315545.3579344256</v>
      </c>
      <c r="AB39" s="412">
        <v>0</v>
      </c>
      <c r="AC39" s="412">
        <v>0</v>
      </c>
      <c r="AD39" s="412">
        <v>2124878.1199999996</v>
      </c>
      <c r="AE39" s="412">
        <v>47975.31</v>
      </c>
      <c r="AF39" s="412">
        <v>0</v>
      </c>
      <c r="AG39" s="412">
        <v>0</v>
      </c>
      <c r="AH39" s="412">
        <v>0</v>
      </c>
      <c r="AI39" s="412">
        <v>2124878.1199999996</v>
      </c>
      <c r="AJ39" s="412">
        <v>0</v>
      </c>
      <c r="AK39" s="412">
        <v>0</v>
      </c>
      <c r="AL39" s="412">
        <v>0</v>
      </c>
      <c r="AM39" s="412"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372041.25061322754</v>
      </c>
      <c r="M41" s="1"/>
      <c r="N41" s="1"/>
      <c r="O41" s="15">
        <f t="shared" ref="O41:AM41" si="14">SUM(O42:O47)</f>
        <v>372041.25061322754</v>
      </c>
      <c r="P41" s="15">
        <f t="shared" si="14"/>
        <v>0</v>
      </c>
      <c r="Q41" s="15">
        <f t="shared" si="14"/>
        <v>0</v>
      </c>
      <c r="R41" s="15">
        <f t="shared" si="14"/>
        <v>0</v>
      </c>
      <c r="S41" s="15">
        <f t="shared" si="14"/>
        <v>0</v>
      </c>
      <c r="T41" s="15">
        <f t="shared" si="14"/>
        <v>0</v>
      </c>
      <c r="U41" s="15">
        <f t="shared" si="14"/>
        <v>0</v>
      </c>
      <c r="V41" s="15">
        <f t="shared" si="14"/>
        <v>0</v>
      </c>
      <c r="W41" s="15">
        <f t="shared" si="14"/>
        <v>0</v>
      </c>
      <c r="X41" s="15">
        <f t="shared" si="14"/>
        <v>0</v>
      </c>
      <c r="Y41" s="15">
        <f t="shared" si="14"/>
        <v>0</v>
      </c>
      <c r="Z41" s="15">
        <f t="shared" si="14"/>
        <v>0</v>
      </c>
      <c r="AA41" s="15">
        <f t="shared" si="14"/>
        <v>0</v>
      </c>
      <c r="AB41" s="15">
        <f t="shared" si="14"/>
        <v>0</v>
      </c>
      <c r="AC41" s="15">
        <f t="shared" si="14"/>
        <v>0</v>
      </c>
      <c r="AD41" s="15">
        <f t="shared" si="14"/>
        <v>0</v>
      </c>
      <c r="AE41" s="15">
        <f t="shared" si="14"/>
        <v>0</v>
      </c>
      <c r="AF41" s="15">
        <f t="shared" si="14"/>
        <v>0</v>
      </c>
      <c r="AG41" s="15">
        <f t="shared" si="14"/>
        <v>0</v>
      </c>
      <c r="AH41" s="15">
        <f t="shared" si="14"/>
        <v>0</v>
      </c>
      <c r="AI41" s="15">
        <f t="shared" si="14"/>
        <v>0</v>
      </c>
      <c r="AJ41" s="15">
        <f t="shared" si="14"/>
        <v>0</v>
      </c>
      <c r="AK41" s="15">
        <f t="shared" si="14"/>
        <v>0</v>
      </c>
      <c r="AL41" s="15">
        <f t="shared" si="14"/>
        <v>0</v>
      </c>
      <c r="AM41" s="15">
        <f t="shared" si="14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5">SUM(O42:AV42)</f>
        <v>372041.25061322754</v>
      </c>
      <c r="M42" s="1"/>
      <c r="N42" s="1"/>
      <c r="O42" s="44">
        <f>'Fluxo Rateio'!O24*$G$34</f>
        <v>372041.25061322754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5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5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5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5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5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 t="shared" ref="O49:AM49" si="16">O50+O59</f>
        <v>0</v>
      </c>
      <c r="P49" s="13">
        <f t="shared" si="16"/>
        <v>0</v>
      </c>
      <c r="Q49" s="13">
        <f t="shared" si="16"/>
        <v>0</v>
      </c>
      <c r="R49" s="13">
        <f t="shared" si="16"/>
        <v>0</v>
      </c>
      <c r="S49" s="13">
        <f t="shared" si="16"/>
        <v>0</v>
      </c>
      <c r="T49" s="13">
        <f t="shared" si="16"/>
        <v>0</v>
      </c>
      <c r="U49" s="13">
        <f t="shared" si="16"/>
        <v>0</v>
      </c>
      <c r="V49" s="13">
        <f t="shared" si="16"/>
        <v>0</v>
      </c>
      <c r="W49" s="13">
        <f t="shared" si="16"/>
        <v>0</v>
      </c>
      <c r="X49" s="13">
        <f t="shared" si="16"/>
        <v>0</v>
      </c>
      <c r="Y49" s="13">
        <f t="shared" si="16"/>
        <v>0</v>
      </c>
      <c r="Z49" s="13">
        <f t="shared" si="16"/>
        <v>0</v>
      </c>
      <c r="AA49" s="13">
        <f t="shared" si="16"/>
        <v>0</v>
      </c>
      <c r="AB49" s="13">
        <f t="shared" si="16"/>
        <v>0</v>
      </c>
      <c r="AC49" s="13">
        <f t="shared" si="16"/>
        <v>0</v>
      </c>
      <c r="AD49" s="13">
        <f t="shared" si="16"/>
        <v>0</v>
      </c>
      <c r="AE49" s="13">
        <f t="shared" si="16"/>
        <v>0</v>
      </c>
      <c r="AF49" s="13">
        <f t="shared" si="16"/>
        <v>0</v>
      </c>
      <c r="AG49" s="13">
        <f t="shared" si="16"/>
        <v>0</v>
      </c>
      <c r="AH49" s="13">
        <f t="shared" si="16"/>
        <v>0</v>
      </c>
      <c r="AI49" s="13">
        <f t="shared" si="16"/>
        <v>0</v>
      </c>
      <c r="AJ49" s="13">
        <f t="shared" si="16"/>
        <v>0</v>
      </c>
      <c r="AK49" s="13">
        <f t="shared" si="16"/>
        <v>0</v>
      </c>
      <c r="AL49" s="13">
        <f t="shared" si="16"/>
        <v>0</v>
      </c>
      <c r="AM49" s="13">
        <f t="shared" si="16"/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SUM(O50:AM50)</f>
        <v>0</v>
      </c>
      <c r="M50" s="1"/>
      <c r="N50" s="1"/>
      <c r="O50" s="15">
        <f>'Fluxo Rateio'!O26*$G$16</f>
        <v>0</v>
      </c>
      <c r="P50" s="15">
        <f>'Fluxo Rateio'!P26*$G$16</f>
        <v>0</v>
      </c>
      <c r="Q50" s="15">
        <f>'Fluxo Rateio'!Q26*$G$16</f>
        <v>0</v>
      </c>
      <c r="R50" s="15">
        <f>'Fluxo Rateio'!R26*$G$16</f>
        <v>0</v>
      </c>
      <c r="S50" s="15">
        <f>'Fluxo Rateio'!S26*$G$16</f>
        <v>0</v>
      </c>
      <c r="T50" s="15">
        <f>'Fluxo Rateio'!T26*$G$16</f>
        <v>0</v>
      </c>
      <c r="U50" s="15">
        <f>'Fluxo Rateio'!U26*$G$16</f>
        <v>0</v>
      </c>
      <c r="V50" s="15">
        <f>'Fluxo Rateio'!V26*$G$16</f>
        <v>0</v>
      </c>
      <c r="W50" s="15">
        <f>'Fluxo Rateio'!W26*$G$16</f>
        <v>0</v>
      </c>
      <c r="X50" s="15">
        <f>'Fluxo Rateio'!X26*$G$16</f>
        <v>0</v>
      </c>
      <c r="Y50" s="15">
        <f>'Fluxo Rateio'!Y26*$G$16</f>
        <v>0</v>
      </c>
      <c r="Z50" s="15">
        <f>'Fluxo Rateio'!Z26*$G$16</f>
        <v>0</v>
      </c>
      <c r="AA50" s="15">
        <f>'Fluxo Rateio'!AA26*$G$16</f>
        <v>0</v>
      </c>
      <c r="AB50" s="15">
        <f>'Fluxo Rateio'!AB26*$G$16</f>
        <v>0</v>
      </c>
      <c r="AC50" s="15">
        <f>'Fluxo Rateio'!AC26*$G$16</f>
        <v>0</v>
      </c>
      <c r="AD50" s="15">
        <f>'Fluxo Rateio'!AD26*$G$16</f>
        <v>0</v>
      </c>
      <c r="AE50" s="15">
        <f>'Fluxo Rateio'!AE26*$G$16</f>
        <v>0</v>
      </c>
      <c r="AF50" s="15">
        <f>'Fluxo Rateio'!AF26*$G$16</f>
        <v>0</v>
      </c>
      <c r="AG50" s="15">
        <f>'Fluxo Rateio'!AG26*$G$16</f>
        <v>0</v>
      </c>
      <c r="AH50" s="15">
        <f>'Fluxo Rateio'!AH26*$G$16</f>
        <v>0</v>
      </c>
      <c r="AI50" s="15">
        <f>'Fluxo Rateio'!AI26*$G$16</f>
        <v>0</v>
      </c>
      <c r="AJ50" s="15">
        <f>'Fluxo Rateio'!AJ26*$G$16</f>
        <v>0</v>
      </c>
      <c r="AK50" s="15">
        <f>'Fluxo Rateio'!AK26*$G$16</f>
        <v>0</v>
      </c>
      <c r="AL50" s="15">
        <f>'Fluxo Rateio'!AL26*$G$16</f>
        <v>0</v>
      </c>
      <c r="AM50" s="15">
        <f>'Fluxo Rateio'!AM26*$G$16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7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7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7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7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7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7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7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8">SUM(O60:AV60)</f>
        <v>33293479.120088503</v>
      </c>
      <c r="M60" s="1"/>
      <c r="N60" s="1"/>
      <c r="O60" s="52">
        <f t="shared" ref="O60:AM60" si="19">O29</f>
        <v>10500745.048619796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4627416.8325103205</v>
      </c>
      <c r="T60" s="52">
        <f t="shared" si="19"/>
        <v>0</v>
      </c>
      <c r="U60" s="52">
        <f t="shared" si="19"/>
        <v>0</v>
      </c>
      <c r="V60" s="52">
        <f t="shared" si="19"/>
        <v>414811.16858991171</v>
      </c>
      <c r="W60" s="52">
        <f t="shared" si="19"/>
        <v>593554.54468889139</v>
      </c>
      <c r="X60" s="52">
        <f t="shared" si="19"/>
        <v>0</v>
      </c>
      <c r="Y60" s="52">
        <f t="shared" si="19"/>
        <v>4595961.8608947229</v>
      </c>
      <c r="Z60" s="52">
        <f t="shared" si="19"/>
        <v>0</v>
      </c>
      <c r="AA60" s="52">
        <f t="shared" si="19"/>
        <v>1883882.1860244903</v>
      </c>
      <c r="AB60" s="52">
        <f t="shared" si="19"/>
        <v>0</v>
      </c>
      <c r="AC60" s="52">
        <f t="shared" si="19"/>
        <v>0</v>
      </c>
      <c r="AD60" s="52">
        <f t="shared" si="19"/>
        <v>5010321.4954201402</v>
      </c>
      <c r="AE60" s="52">
        <f t="shared" si="19"/>
        <v>78978.747551102293</v>
      </c>
      <c r="AF60" s="52">
        <f t="shared" si="19"/>
        <v>515027.33120228339</v>
      </c>
      <c r="AG60" s="52">
        <f t="shared" si="19"/>
        <v>0</v>
      </c>
      <c r="AH60" s="52">
        <f t="shared" si="19"/>
        <v>0</v>
      </c>
      <c r="AI60" s="52">
        <f t="shared" si="19"/>
        <v>4626965.2984458264</v>
      </c>
      <c r="AJ60" s="52">
        <f t="shared" si="19"/>
        <v>0</v>
      </c>
      <c r="AK60" s="52">
        <f t="shared" si="19"/>
        <v>414811.16858991171</v>
      </c>
      <c r="AL60" s="52">
        <f t="shared" si="19"/>
        <v>0</v>
      </c>
      <c r="AM60" s="52">
        <f t="shared" si="19"/>
        <v>31003.437551102299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8"/>
        <v>0</v>
      </c>
      <c r="M61" s="1"/>
      <c r="N61" s="1"/>
      <c r="O61" s="54">
        <f t="shared" ref="O61:AM61" si="20">O49</f>
        <v>0</v>
      </c>
      <c r="P61" s="54">
        <f t="shared" si="20"/>
        <v>0</v>
      </c>
      <c r="Q61" s="54">
        <f t="shared" si="20"/>
        <v>0</v>
      </c>
      <c r="R61" s="54">
        <f t="shared" si="20"/>
        <v>0</v>
      </c>
      <c r="S61" s="54">
        <f t="shared" si="20"/>
        <v>0</v>
      </c>
      <c r="T61" s="54">
        <f t="shared" si="20"/>
        <v>0</v>
      </c>
      <c r="U61" s="54">
        <f t="shared" si="20"/>
        <v>0</v>
      </c>
      <c r="V61" s="54">
        <f t="shared" si="20"/>
        <v>0</v>
      </c>
      <c r="W61" s="54">
        <f t="shared" si="20"/>
        <v>0</v>
      </c>
      <c r="X61" s="54">
        <f t="shared" si="20"/>
        <v>0</v>
      </c>
      <c r="Y61" s="54">
        <f t="shared" si="20"/>
        <v>0</v>
      </c>
      <c r="Z61" s="54">
        <f t="shared" si="20"/>
        <v>0</v>
      </c>
      <c r="AA61" s="54">
        <f t="shared" si="20"/>
        <v>0</v>
      </c>
      <c r="AB61" s="54">
        <f t="shared" si="20"/>
        <v>0</v>
      </c>
      <c r="AC61" s="54">
        <f t="shared" si="20"/>
        <v>0</v>
      </c>
      <c r="AD61" s="54">
        <f t="shared" si="20"/>
        <v>0</v>
      </c>
      <c r="AE61" s="54">
        <f t="shared" si="20"/>
        <v>0</v>
      </c>
      <c r="AF61" s="54">
        <f t="shared" si="20"/>
        <v>0</v>
      </c>
      <c r="AG61" s="54">
        <f t="shared" si="20"/>
        <v>0</v>
      </c>
      <c r="AH61" s="54">
        <f t="shared" si="20"/>
        <v>0</v>
      </c>
      <c r="AI61" s="54">
        <f t="shared" si="20"/>
        <v>0</v>
      </c>
      <c r="AJ61" s="54">
        <f t="shared" si="20"/>
        <v>0</v>
      </c>
      <c r="AK61" s="54">
        <f t="shared" si="20"/>
        <v>0</v>
      </c>
      <c r="AL61" s="54">
        <f t="shared" si="20"/>
        <v>0</v>
      </c>
      <c r="AM61" s="54">
        <f t="shared" si="20"/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8"/>
        <v>130501053.71634081</v>
      </c>
      <c r="M62" s="1"/>
      <c r="N62" s="1"/>
      <c r="O62" s="54">
        <f t="shared" ref="O62:AM62" si="21">O75</f>
        <v>1787685.6673471334</v>
      </c>
      <c r="P62" s="54">
        <f t="shared" si="21"/>
        <v>5363057.002041406</v>
      </c>
      <c r="Q62" s="54">
        <f t="shared" si="21"/>
        <v>5363057.002041406</v>
      </c>
      <c r="R62" s="54">
        <f t="shared" si="21"/>
        <v>5363057.002041406</v>
      </c>
      <c r="S62" s="54">
        <f t="shared" si="21"/>
        <v>5363057.002041406</v>
      </c>
      <c r="T62" s="54">
        <f t="shared" si="21"/>
        <v>5363057.002041406</v>
      </c>
      <c r="U62" s="54">
        <f t="shared" si="21"/>
        <v>5363057.002041406</v>
      </c>
      <c r="V62" s="54">
        <f t="shared" si="21"/>
        <v>5363057.002041406</v>
      </c>
      <c r="W62" s="54">
        <f t="shared" si="21"/>
        <v>5363057.002041406</v>
      </c>
      <c r="X62" s="54">
        <f t="shared" si="21"/>
        <v>5363057.002041406</v>
      </c>
      <c r="Y62" s="54">
        <f t="shared" si="21"/>
        <v>5363057.002041406</v>
      </c>
      <c r="Z62" s="54">
        <f t="shared" si="21"/>
        <v>5363057.002041406</v>
      </c>
      <c r="AA62" s="54">
        <f t="shared" si="21"/>
        <v>5363057.002041406</v>
      </c>
      <c r="AB62" s="54">
        <f t="shared" si="21"/>
        <v>5363057.002041406</v>
      </c>
      <c r="AC62" s="54">
        <f t="shared" si="21"/>
        <v>5363057.002041406</v>
      </c>
      <c r="AD62" s="54">
        <f t="shared" si="21"/>
        <v>5363057.002041406</v>
      </c>
      <c r="AE62" s="54">
        <f t="shared" si="21"/>
        <v>5363057.002041406</v>
      </c>
      <c r="AF62" s="54">
        <f t="shared" si="21"/>
        <v>5363057.002041406</v>
      </c>
      <c r="AG62" s="54">
        <f t="shared" si="21"/>
        <v>5363057.002041406</v>
      </c>
      <c r="AH62" s="54">
        <f t="shared" si="21"/>
        <v>5363057.002041406</v>
      </c>
      <c r="AI62" s="54">
        <f t="shared" si="21"/>
        <v>5363057.002041406</v>
      </c>
      <c r="AJ62" s="54">
        <f t="shared" si="21"/>
        <v>5363057.002041406</v>
      </c>
      <c r="AK62" s="54">
        <f t="shared" si="21"/>
        <v>5363057.002041406</v>
      </c>
      <c r="AL62" s="54">
        <f t="shared" si="21"/>
        <v>5363057.002041406</v>
      </c>
      <c r="AM62" s="54">
        <f t="shared" si="21"/>
        <v>5363057.002041406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 t="s">
        <v>34</v>
      </c>
      <c r="H63" s="57">
        <v>0.32578942</v>
      </c>
      <c r="I63" s="55"/>
      <c r="J63" s="55"/>
      <c r="K63" s="58"/>
      <c r="L63" s="59">
        <f>SUM(O63:AV63)</f>
        <v>42515862.599635519</v>
      </c>
      <c r="M63" s="1"/>
      <c r="N63" s="1"/>
      <c r="O63" s="59">
        <f t="shared" ref="O63:AM63" si="22">$H63*O62</f>
        <v>582409.07670733554</v>
      </c>
      <c r="P63" s="59">
        <f t="shared" si="22"/>
        <v>1747227.2301220084</v>
      </c>
      <c r="Q63" s="59">
        <f t="shared" si="22"/>
        <v>1747227.2301220084</v>
      </c>
      <c r="R63" s="59">
        <f t="shared" si="22"/>
        <v>1747227.2301220084</v>
      </c>
      <c r="S63" s="59">
        <f t="shared" si="22"/>
        <v>1747227.2301220084</v>
      </c>
      <c r="T63" s="59">
        <f t="shared" si="22"/>
        <v>1747227.2301220084</v>
      </c>
      <c r="U63" s="59">
        <f t="shared" si="22"/>
        <v>1747227.2301220084</v>
      </c>
      <c r="V63" s="59">
        <f t="shared" si="22"/>
        <v>1747227.2301220084</v>
      </c>
      <c r="W63" s="59">
        <f t="shared" si="22"/>
        <v>1747227.2301220084</v>
      </c>
      <c r="X63" s="59">
        <f t="shared" si="22"/>
        <v>1747227.2301220084</v>
      </c>
      <c r="Y63" s="59">
        <f t="shared" si="22"/>
        <v>1747227.2301220084</v>
      </c>
      <c r="Z63" s="59">
        <f t="shared" si="22"/>
        <v>1747227.2301220084</v>
      </c>
      <c r="AA63" s="59">
        <f t="shared" si="22"/>
        <v>1747227.2301220084</v>
      </c>
      <c r="AB63" s="59">
        <f t="shared" si="22"/>
        <v>1747227.2301220084</v>
      </c>
      <c r="AC63" s="59">
        <f t="shared" si="22"/>
        <v>1747227.2301220084</v>
      </c>
      <c r="AD63" s="59">
        <f t="shared" si="22"/>
        <v>1747227.2301220084</v>
      </c>
      <c r="AE63" s="59">
        <f t="shared" si="22"/>
        <v>1747227.2301220084</v>
      </c>
      <c r="AF63" s="59">
        <f t="shared" si="22"/>
        <v>1747227.2301220084</v>
      </c>
      <c r="AG63" s="59">
        <f t="shared" si="22"/>
        <v>1747227.2301220084</v>
      </c>
      <c r="AH63" s="59">
        <f t="shared" si="22"/>
        <v>1747227.2301220084</v>
      </c>
      <c r="AI63" s="59">
        <f t="shared" si="22"/>
        <v>1747227.2301220084</v>
      </c>
      <c r="AJ63" s="59">
        <f t="shared" si="22"/>
        <v>1747227.2301220084</v>
      </c>
      <c r="AK63" s="59">
        <f t="shared" si="22"/>
        <v>1747227.2301220084</v>
      </c>
      <c r="AL63" s="59">
        <f t="shared" si="22"/>
        <v>1747227.2301220084</v>
      </c>
      <c r="AM63" s="59">
        <f t="shared" si="22"/>
        <v>1747227.2301220084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61"/>
      <c r="I64" s="61"/>
      <c r="J64" s="61"/>
      <c r="K64" s="61"/>
      <c r="L64" s="62">
        <v>0</v>
      </c>
      <c r="M64" s="1"/>
      <c r="N64" s="1"/>
      <c r="O64" s="62">
        <v>0</v>
      </c>
      <c r="P64" s="62">
        <f t="shared" ref="P64:AM64" si="23">O69</f>
        <v>-9918335.9719124604</v>
      </c>
      <c r="Q64" s="62">
        <f t="shared" si="23"/>
        <v>-2808051.739749046</v>
      </c>
      <c r="R64" s="62">
        <f t="shared" si="23"/>
        <v>-1339722.6907443772</v>
      </c>
      <c r="S64" s="62">
        <f t="shared" si="23"/>
        <v>274442.09741435479</v>
      </c>
      <c r="T64" s="62">
        <f t="shared" si="23"/>
        <v>-2578489.6732511939</v>
      </c>
      <c r="U64" s="62">
        <f t="shared" si="23"/>
        <v>-1087360.3168684603</v>
      </c>
      <c r="V64" s="62">
        <f t="shared" si="23"/>
        <v>551869.32535266061</v>
      </c>
      <c r="W64" s="62">
        <f t="shared" si="23"/>
        <v>1939097.5361327855</v>
      </c>
      <c r="X64" s="62">
        <f t="shared" si="23"/>
        <v>3285363.1030221684</v>
      </c>
      <c r="Y64" s="62">
        <f t="shared" si="23"/>
        <v>5358895.5008063614</v>
      </c>
      <c r="Z64" s="62">
        <f t="shared" si="23"/>
        <v>3042411.1084521026</v>
      </c>
      <c r="AA64" s="62">
        <f t="shared" si="23"/>
        <v>5091813.2993653649</v>
      </c>
      <c r="AB64" s="62">
        <f t="shared" si="23"/>
        <v>5460881.7415328175</v>
      </c>
      <c r="AC64" s="62">
        <f t="shared" si="23"/>
        <v>7750488.5736583509</v>
      </c>
      <c r="AD64" s="62">
        <f t="shared" si="23"/>
        <v>10267501.180369332</v>
      </c>
      <c r="AE64" s="62">
        <f t="shared" si="23"/>
        <v>8024184.2088047778</v>
      </c>
      <c r="AF64" s="62">
        <f t="shared" si="23"/>
        <v>10489401.760395095</v>
      </c>
      <c r="AG64" s="62">
        <f t="shared" si="23"/>
        <v>12763418.31481728</v>
      </c>
      <c r="AH64" s="62">
        <f t="shared" si="23"/>
        <v>15778319.534863848</v>
      </c>
      <c r="AI64" s="62">
        <f t="shared" si="23"/>
        <v>19092663.409266416</v>
      </c>
      <c r="AJ64" s="62">
        <f t="shared" si="23"/>
        <v>18109225.548717927</v>
      </c>
      <c r="AK64" s="62">
        <f t="shared" si="23"/>
        <v>21655077.068943813</v>
      </c>
      <c r="AL64" s="62">
        <f t="shared" si="23"/>
        <v>25138294.528111123</v>
      </c>
      <c r="AM64" s="62">
        <f t="shared" si="23"/>
        <v>29382279.393086657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24">SUM(O65:AV65)</f>
        <v>-33293479.120088503</v>
      </c>
      <c r="M65" s="1"/>
      <c r="N65" s="1"/>
      <c r="O65" s="54">
        <f t="shared" ref="O65:AM65" si="25">-O60</f>
        <v>-10500745.048619796</v>
      </c>
      <c r="P65" s="54">
        <f t="shared" si="25"/>
        <v>0</v>
      </c>
      <c r="Q65" s="54">
        <f t="shared" si="25"/>
        <v>0</v>
      </c>
      <c r="R65" s="54">
        <f t="shared" si="25"/>
        <v>0</v>
      </c>
      <c r="S65" s="54">
        <f t="shared" si="25"/>
        <v>-4627416.8325103205</v>
      </c>
      <c r="T65" s="54">
        <f t="shared" si="25"/>
        <v>0</v>
      </c>
      <c r="U65" s="54">
        <f t="shared" si="25"/>
        <v>0</v>
      </c>
      <c r="V65" s="54">
        <f t="shared" si="25"/>
        <v>-414811.16858991171</v>
      </c>
      <c r="W65" s="54">
        <f t="shared" si="25"/>
        <v>-593554.54468889139</v>
      </c>
      <c r="X65" s="54">
        <f t="shared" si="25"/>
        <v>0</v>
      </c>
      <c r="Y65" s="54">
        <f t="shared" si="25"/>
        <v>-4595961.8608947229</v>
      </c>
      <c r="Z65" s="54">
        <f t="shared" si="25"/>
        <v>0</v>
      </c>
      <c r="AA65" s="54">
        <f t="shared" si="25"/>
        <v>-1883882.1860244903</v>
      </c>
      <c r="AB65" s="54">
        <f t="shared" si="25"/>
        <v>0</v>
      </c>
      <c r="AC65" s="54">
        <f t="shared" si="25"/>
        <v>0</v>
      </c>
      <c r="AD65" s="54">
        <f t="shared" si="25"/>
        <v>-5010321.4954201402</v>
      </c>
      <c r="AE65" s="54">
        <f t="shared" si="25"/>
        <v>-78978.747551102293</v>
      </c>
      <c r="AF65" s="54">
        <f t="shared" si="25"/>
        <v>-515027.33120228339</v>
      </c>
      <c r="AG65" s="54">
        <f t="shared" si="25"/>
        <v>0</v>
      </c>
      <c r="AH65" s="54">
        <f t="shared" si="25"/>
        <v>0</v>
      </c>
      <c r="AI65" s="54">
        <f t="shared" si="25"/>
        <v>-4626965.2984458264</v>
      </c>
      <c r="AJ65" s="54">
        <f t="shared" si="25"/>
        <v>0</v>
      </c>
      <c r="AK65" s="54">
        <f t="shared" si="25"/>
        <v>-414811.16858991171</v>
      </c>
      <c r="AL65" s="54">
        <f t="shared" si="25"/>
        <v>0</v>
      </c>
      <c r="AM65" s="54">
        <f t="shared" si="25"/>
        <v>-31003.437551102299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24"/>
        <v>0</v>
      </c>
      <c r="M66" s="1"/>
      <c r="N66" s="1"/>
      <c r="O66" s="54">
        <f t="shared" ref="O66:AM66" si="26">O61</f>
        <v>0</v>
      </c>
      <c r="P66" s="54">
        <f t="shared" si="26"/>
        <v>0</v>
      </c>
      <c r="Q66" s="54">
        <f t="shared" si="26"/>
        <v>0</v>
      </c>
      <c r="R66" s="54">
        <f t="shared" si="26"/>
        <v>0</v>
      </c>
      <c r="S66" s="54">
        <f t="shared" si="26"/>
        <v>0</v>
      </c>
      <c r="T66" s="54">
        <f t="shared" si="26"/>
        <v>0</v>
      </c>
      <c r="U66" s="54">
        <f t="shared" si="26"/>
        <v>0</v>
      </c>
      <c r="V66" s="54">
        <f t="shared" si="26"/>
        <v>0</v>
      </c>
      <c r="W66" s="54">
        <f t="shared" si="26"/>
        <v>0</v>
      </c>
      <c r="X66" s="54">
        <f t="shared" si="26"/>
        <v>0</v>
      </c>
      <c r="Y66" s="54">
        <f t="shared" si="26"/>
        <v>0</v>
      </c>
      <c r="Z66" s="54">
        <f t="shared" si="26"/>
        <v>0</v>
      </c>
      <c r="AA66" s="54">
        <f t="shared" si="26"/>
        <v>0</v>
      </c>
      <c r="AB66" s="54">
        <f t="shared" si="26"/>
        <v>0</v>
      </c>
      <c r="AC66" s="54">
        <f t="shared" si="26"/>
        <v>0</v>
      </c>
      <c r="AD66" s="54">
        <f t="shared" si="26"/>
        <v>0</v>
      </c>
      <c r="AE66" s="54">
        <f t="shared" si="26"/>
        <v>0</v>
      </c>
      <c r="AF66" s="54">
        <f t="shared" si="26"/>
        <v>0</v>
      </c>
      <c r="AG66" s="54">
        <f t="shared" si="26"/>
        <v>0</v>
      </c>
      <c r="AH66" s="54">
        <f t="shared" si="26"/>
        <v>0</v>
      </c>
      <c r="AI66" s="54">
        <f t="shared" si="26"/>
        <v>0</v>
      </c>
      <c r="AJ66" s="54">
        <f t="shared" si="26"/>
        <v>0</v>
      </c>
      <c r="AK66" s="54">
        <f t="shared" si="26"/>
        <v>0</v>
      </c>
      <c r="AL66" s="54">
        <f t="shared" si="26"/>
        <v>0</v>
      </c>
      <c r="AM66" s="54">
        <f t="shared" si="26"/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24"/>
        <v>24794393.66944772</v>
      </c>
      <c r="M67" s="1"/>
      <c r="N67" s="1"/>
      <c r="O67" s="54">
        <f>$H67*O64</f>
        <v>0</v>
      </c>
      <c r="P67" s="54">
        <f>P62</f>
        <v>5363057.002041406</v>
      </c>
      <c r="Q67" s="54">
        <f t="shared" ref="Q67:AM67" si="27">$H67*Q64</f>
        <v>-278898.18111733958</v>
      </c>
      <c r="R67" s="54">
        <f t="shared" si="27"/>
        <v>-133062.44196327645</v>
      </c>
      <c r="S67" s="54">
        <f t="shared" si="27"/>
        <v>27257.831722762967</v>
      </c>
      <c r="T67" s="54">
        <f t="shared" si="27"/>
        <v>-256097.87373927451</v>
      </c>
      <c r="U67" s="54">
        <f t="shared" si="27"/>
        <v>-107997.58790088748</v>
      </c>
      <c r="V67" s="54">
        <f t="shared" si="27"/>
        <v>54812.149248028341</v>
      </c>
      <c r="W67" s="54">
        <f t="shared" si="27"/>
        <v>192592.88145626566</v>
      </c>
      <c r="X67" s="54">
        <f t="shared" si="27"/>
        <v>326305.16766218457</v>
      </c>
      <c r="Y67" s="54">
        <f t="shared" si="27"/>
        <v>532250.23841845558</v>
      </c>
      <c r="Z67" s="54">
        <f t="shared" si="27"/>
        <v>302174.96079125395</v>
      </c>
      <c r="AA67" s="54">
        <f t="shared" si="27"/>
        <v>505723.39806993492</v>
      </c>
      <c r="AB67" s="54">
        <f t="shared" si="27"/>
        <v>542379.60200352466</v>
      </c>
      <c r="AC67" s="54">
        <f t="shared" si="27"/>
        <v>769785.37658897217</v>
      </c>
      <c r="AD67" s="54">
        <f t="shared" si="27"/>
        <v>1019777.2937335768</v>
      </c>
      <c r="AE67" s="54">
        <f t="shared" si="27"/>
        <v>796969.06901940983</v>
      </c>
      <c r="AF67" s="54">
        <f t="shared" si="27"/>
        <v>1041816.6555024588</v>
      </c>
      <c r="AG67" s="54">
        <f t="shared" si="27"/>
        <v>1267673.9899245612</v>
      </c>
      <c r="AH67" s="54">
        <f t="shared" si="27"/>
        <v>1567116.6442805605</v>
      </c>
      <c r="AI67" s="54">
        <f t="shared" si="27"/>
        <v>1896300.2077753281</v>
      </c>
      <c r="AJ67" s="54">
        <f t="shared" si="27"/>
        <v>1798624.2901038774</v>
      </c>
      <c r="AK67" s="54">
        <f t="shared" si="27"/>
        <v>2150801.3976352126</v>
      </c>
      <c r="AL67" s="54">
        <f t="shared" si="27"/>
        <v>2496757.6348535279</v>
      </c>
      <c r="AM67" s="54">
        <f t="shared" si="27"/>
        <v>2918273.963337196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24"/>
        <v>42515862.599635519</v>
      </c>
      <c r="M68" s="1"/>
      <c r="N68" s="1"/>
      <c r="O68" s="54">
        <f t="shared" ref="O68:AM68" si="28">O63</f>
        <v>582409.07670733554</v>
      </c>
      <c r="P68" s="54">
        <f t="shared" si="28"/>
        <v>1747227.2301220084</v>
      </c>
      <c r="Q68" s="54">
        <f t="shared" si="28"/>
        <v>1747227.2301220084</v>
      </c>
      <c r="R68" s="54">
        <f t="shared" si="28"/>
        <v>1747227.2301220084</v>
      </c>
      <c r="S68" s="54">
        <f t="shared" si="28"/>
        <v>1747227.2301220084</v>
      </c>
      <c r="T68" s="54">
        <f t="shared" si="28"/>
        <v>1747227.2301220084</v>
      </c>
      <c r="U68" s="54">
        <f t="shared" si="28"/>
        <v>1747227.2301220084</v>
      </c>
      <c r="V68" s="54">
        <f t="shared" si="28"/>
        <v>1747227.2301220084</v>
      </c>
      <c r="W68" s="54">
        <f t="shared" si="28"/>
        <v>1747227.2301220084</v>
      </c>
      <c r="X68" s="54">
        <f t="shared" si="28"/>
        <v>1747227.2301220084</v>
      </c>
      <c r="Y68" s="54">
        <f t="shared" si="28"/>
        <v>1747227.2301220084</v>
      </c>
      <c r="Z68" s="54">
        <f t="shared" si="28"/>
        <v>1747227.2301220084</v>
      </c>
      <c r="AA68" s="54">
        <f t="shared" si="28"/>
        <v>1747227.2301220084</v>
      </c>
      <c r="AB68" s="54">
        <f t="shared" si="28"/>
        <v>1747227.2301220084</v>
      </c>
      <c r="AC68" s="54">
        <f t="shared" si="28"/>
        <v>1747227.2301220084</v>
      </c>
      <c r="AD68" s="54">
        <f t="shared" si="28"/>
        <v>1747227.2301220084</v>
      </c>
      <c r="AE68" s="54">
        <f t="shared" si="28"/>
        <v>1747227.2301220084</v>
      </c>
      <c r="AF68" s="54">
        <f t="shared" si="28"/>
        <v>1747227.2301220084</v>
      </c>
      <c r="AG68" s="54">
        <f t="shared" si="28"/>
        <v>1747227.2301220084</v>
      </c>
      <c r="AH68" s="54">
        <f t="shared" si="28"/>
        <v>1747227.2301220084</v>
      </c>
      <c r="AI68" s="54">
        <f t="shared" si="28"/>
        <v>1747227.2301220084</v>
      </c>
      <c r="AJ68" s="54">
        <f t="shared" si="28"/>
        <v>1747227.2301220084</v>
      </c>
      <c r="AK68" s="54">
        <f t="shared" si="28"/>
        <v>1747227.2301220084</v>
      </c>
      <c r="AL68" s="54">
        <f t="shared" si="28"/>
        <v>1747227.2301220084</v>
      </c>
      <c r="AM68" s="54">
        <f t="shared" si="28"/>
        <v>1747227.2301220084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34016777.148994736</v>
      </c>
      <c r="M69" s="1"/>
      <c r="N69" s="1"/>
      <c r="O69" s="67">
        <f t="shared" ref="O69:AM69" si="29">SUM(O64:O68)</f>
        <v>-9918335.9719124604</v>
      </c>
      <c r="P69" s="67">
        <f t="shared" si="29"/>
        <v>-2808051.739749046</v>
      </c>
      <c r="Q69" s="67">
        <f t="shared" si="29"/>
        <v>-1339722.6907443772</v>
      </c>
      <c r="R69" s="67">
        <f t="shared" si="29"/>
        <v>274442.09741435479</v>
      </c>
      <c r="S69" s="67">
        <f t="shared" si="29"/>
        <v>-2578489.6732511939</v>
      </c>
      <c r="T69" s="67">
        <f t="shared" si="29"/>
        <v>-1087360.3168684603</v>
      </c>
      <c r="U69" s="67">
        <f t="shared" si="29"/>
        <v>551869.32535266061</v>
      </c>
      <c r="V69" s="67">
        <f t="shared" si="29"/>
        <v>1939097.5361327855</v>
      </c>
      <c r="W69" s="67">
        <f t="shared" si="29"/>
        <v>3285363.1030221684</v>
      </c>
      <c r="X69" s="67">
        <f t="shared" si="29"/>
        <v>5358895.5008063614</v>
      </c>
      <c r="Y69" s="67">
        <f t="shared" si="29"/>
        <v>3042411.1084521026</v>
      </c>
      <c r="Z69" s="67">
        <f t="shared" si="29"/>
        <v>5091813.2993653649</v>
      </c>
      <c r="AA69" s="67">
        <f t="shared" si="29"/>
        <v>5460881.7415328175</v>
      </c>
      <c r="AB69" s="67">
        <f t="shared" si="29"/>
        <v>7750488.5736583509</v>
      </c>
      <c r="AC69" s="67">
        <f t="shared" si="29"/>
        <v>10267501.180369332</v>
      </c>
      <c r="AD69" s="67">
        <f t="shared" si="29"/>
        <v>8024184.2088047778</v>
      </c>
      <c r="AE69" s="67">
        <f t="shared" si="29"/>
        <v>10489401.760395095</v>
      </c>
      <c r="AF69" s="67">
        <f t="shared" si="29"/>
        <v>12763418.31481728</v>
      </c>
      <c r="AG69" s="67">
        <f t="shared" si="29"/>
        <v>15778319.534863848</v>
      </c>
      <c r="AH69" s="67">
        <f t="shared" si="29"/>
        <v>19092663.409266416</v>
      </c>
      <c r="AI69" s="67">
        <f t="shared" si="29"/>
        <v>18109225.548717927</v>
      </c>
      <c r="AJ69" s="67">
        <f t="shared" si="29"/>
        <v>21655077.068943813</v>
      </c>
      <c r="AK69" s="67">
        <f t="shared" si="29"/>
        <v>25138294.528111123</v>
      </c>
      <c r="AL69" s="67">
        <f t="shared" si="29"/>
        <v>29382279.393086657</v>
      </c>
      <c r="AM69" s="67">
        <f t="shared" si="29"/>
        <v>34016777.148994759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67310256.269083247</v>
      </c>
      <c r="M70" s="1"/>
      <c r="N70" s="1"/>
      <c r="O70" s="69">
        <f t="shared" ref="O70:AM70" si="30">MAX(O68+O67,0)</f>
        <v>582409.07670733554</v>
      </c>
      <c r="P70" s="69">
        <f t="shared" si="30"/>
        <v>7110284.2321634144</v>
      </c>
      <c r="Q70" s="69">
        <f t="shared" si="30"/>
        <v>1468329.0490046688</v>
      </c>
      <c r="R70" s="69">
        <f t="shared" si="30"/>
        <v>1614164.788158732</v>
      </c>
      <c r="S70" s="69">
        <f t="shared" si="30"/>
        <v>1774485.0618447713</v>
      </c>
      <c r="T70" s="69">
        <f t="shared" si="30"/>
        <v>1491129.3563827339</v>
      </c>
      <c r="U70" s="69">
        <f t="shared" si="30"/>
        <v>1639229.6422211209</v>
      </c>
      <c r="V70" s="69">
        <f t="shared" si="30"/>
        <v>1802039.3793700368</v>
      </c>
      <c r="W70" s="69">
        <f t="shared" si="30"/>
        <v>1939820.1115782741</v>
      </c>
      <c r="X70" s="69">
        <f t="shared" si="30"/>
        <v>2073532.397784193</v>
      </c>
      <c r="Y70" s="69">
        <f t="shared" si="30"/>
        <v>2279477.4685404641</v>
      </c>
      <c r="Z70" s="69">
        <f t="shared" si="30"/>
        <v>2049402.1909132623</v>
      </c>
      <c r="AA70" s="69">
        <f t="shared" si="30"/>
        <v>2252950.6281919433</v>
      </c>
      <c r="AB70" s="69">
        <f t="shared" si="30"/>
        <v>2289606.8321255329</v>
      </c>
      <c r="AC70" s="69">
        <f t="shared" si="30"/>
        <v>2517012.6067109806</v>
      </c>
      <c r="AD70" s="69">
        <f t="shared" si="30"/>
        <v>2767004.5238555851</v>
      </c>
      <c r="AE70" s="69">
        <f t="shared" si="30"/>
        <v>2544196.2991414182</v>
      </c>
      <c r="AF70" s="69">
        <f t="shared" si="30"/>
        <v>2789043.8856244674</v>
      </c>
      <c r="AG70" s="69">
        <f t="shared" si="30"/>
        <v>3014901.2200465696</v>
      </c>
      <c r="AH70" s="69">
        <f t="shared" si="30"/>
        <v>3314343.8744025687</v>
      </c>
      <c r="AI70" s="69">
        <f t="shared" si="30"/>
        <v>3643527.4378973367</v>
      </c>
      <c r="AJ70" s="69">
        <f t="shared" si="30"/>
        <v>3545851.5202258858</v>
      </c>
      <c r="AK70" s="69">
        <f t="shared" si="30"/>
        <v>3898028.627757221</v>
      </c>
      <c r="AL70" s="69">
        <f t="shared" si="30"/>
        <v>4243984.8649755362</v>
      </c>
      <c r="AM70" s="69">
        <f t="shared" si="30"/>
        <v>4665501.1934592044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v>446921.41683678381</v>
      </c>
      <c r="H75" s="71">
        <v>0</v>
      </c>
      <c r="I75" s="174">
        <f>G75*(1+H75)</f>
        <v>446921.41683678381</v>
      </c>
      <c r="J75" s="232">
        <f>I75*12</f>
        <v>5363057.002041406</v>
      </c>
      <c r="K75" s="61"/>
      <c r="L75" s="174">
        <f t="shared" ref="L75:L78" si="31">SUM(O75:AV75)</f>
        <v>130501053.71634081</v>
      </c>
      <c r="M75" s="1"/>
      <c r="N75" s="1"/>
      <c r="O75" s="222">
        <f t="shared" ref="O75:AM75" si="32">SUM(O76)</f>
        <v>1787685.6673471334</v>
      </c>
      <c r="P75" s="222">
        <f t="shared" si="32"/>
        <v>5363057.002041406</v>
      </c>
      <c r="Q75" s="62">
        <f t="shared" si="32"/>
        <v>5363057.002041406</v>
      </c>
      <c r="R75" s="62">
        <f t="shared" si="32"/>
        <v>5363057.002041406</v>
      </c>
      <c r="S75" s="62">
        <f t="shared" si="32"/>
        <v>5363057.002041406</v>
      </c>
      <c r="T75" s="62">
        <f t="shared" si="32"/>
        <v>5363057.002041406</v>
      </c>
      <c r="U75" s="62">
        <f t="shared" si="32"/>
        <v>5363057.002041406</v>
      </c>
      <c r="V75" s="62">
        <f t="shared" si="32"/>
        <v>5363057.002041406</v>
      </c>
      <c r="W75" s="62">
        <f t="shared" si="32"/>
        <v>5363057.002041406</v>
      </c>
      <c r="X75" s="62">
        <f t="shared" si="32"/>
        <v>5363057.002041406</v>
      </c>
      <c r="Y75" s="62">
        <f t="shared" si="32"/>
        <v>5363057.002041406</v>
      </c>
      <c r="Z75" s="62">
        <f t="shared" si="32"/>
        <v>5363057.002041406</v>
      </c>
      <c r="AA75" s="62">
        <f t="shared" si="32"/>
        <v>5363057.002041406</v>
      </c>
      <c r="AB75" s="62">
        <f t="shared" si="32"/>
        <v>5363057.002041406</v>
      </c>
      <c r="AC75" s="62">
        <f t="shared" si="32"/>
        <v>5363057.002041406</v>
      </c>
      <c r="AD75" s="62">
        <f t="shared" si="32"/>
        <v>5363057.002041406</v>
      </c>
      <c r="AE75" s="62">
        <f t="shared" si="32"/>
        <v>5363057.002041406</v>
      </c>
      <c r="AF75" s="62">
        <f t="shared" si="32"/>
        <v>5363057.002041406</v>
      </c>
      <c r="AG75" s="62">
        <f t="shared" si="32"/>
        <v>5363057.002041406</v>
      </c>
      <c r="AH75" s="62">
        <f t="shared" si="32"/>
        <v>5363057.002041406</v>
      </c>
      <c r="AI75" s="62">
        <f t="shared" si="32"/>
        <v>5363057.002041406</v>
      </c>
      <c r="AJ75" s="62">
        <f t="shared" si="32"/>
        <v>5363057.002041406</v>
      </c>
      <c r="AK75" s="62">
        <f t="shared" si="32"/>
        <v>5363057.002041406</v>
      </c>
      <c r="AL75" s="62">
        <f t="shared" si="32"/>
        <v>5363057.002041406</v>
      </c>
      <c r="AM75" s="62">
        <f t="shared" si="32"/>
        <v>5363057.002041406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446921.41683678381</v>
      </c>
      <c r="J76" s="51"/>
      <c r="K76" s="51"/>
      <c r="L76" s="227">
        <f t="shared" si="31"/>
        <v>130501053.71634081</v>
      </c>
      <c r="M76" s="1"/>
      <c r="N76" s="1"/>
      <c r="O76" s="52">
        <f t="shared" ref="O76:AM76" si="33">$I76*O78*12</f>
        <v>1787685.6673471334</v>
      </c>
      <c r="P76" s="52">
        <f t="shared" si="33"/>
        <v>5363057.002041406</v>
      </c>
      <c r="Q76" s="52">
        <f t="shared" si="33"/>
        <v>5363057.002041406</v>
      </c>
      <c r="R76" s="52">
        <f t="shared" si="33"/>
        <v>5363057.002041406</v>
      </c>
      <c r="S76" s="52">
        <f t="shared" si="33"/>
        <v>5363057.002041406</v>
      </c>
      <c r="T76" s="52">
        <f t="shared" si="33"/>
        <v>5363057.002041406</v>
      </c>
      <c r="U76" s="52">
        <f t="shared" si="33"/>
        <v>5363057.002041406</v>
      </c>
      <c r="V76" s="52">
        <f t="shared" si="33"/>
        <v>5363057.002041406</v>
      </c>
      <c r="W76" s="52">
        <f t="shared" si="33"/>
        <v>5363057.002041406</v>
      </c>
      <c r="X76" s="52">
        <f t="shared" si="33"/>
        <v>5363057.002041406</v>
      </c>
      <c r="Y76" s="52">
        <f t="shared" si="33"/>
        <v>5363057.002041406</v>
      </c>
      <c r="Z76" s="52">
        <f t="shared" si="33"/>
        <v>5363057.002041406</v>
      </c>
      <c r="AA76" s="52">
        <f t="shared" si="33"/>
        <v>5363057.002041406</v>
      </c>
      <c r="AB76" s="52">
        <f t="shared" si="33"/>
        <v>5363057.002041406</v>
      </c>
      <c r="AC76" s="52">
        <f t="shared" si="33"/>
        <v>5363057.002041406</v>
      </c>
      <c r="AD76" s="52">
        <f t="shared" si="33"/>
        <v>5363057.002041406</v>
      </c>
      <c r="AE76" s="52">
        <f t="shared" si="33"/>
        <v>5363057.002041406</v>
      </c>
      <c r="AF76" s="52">
        <f t="shared" si="33"/>
        <v>5363057.002041406</v>
      </c>
      <c r="AG76" s="52">
        <f t="shared" si="33"/>
        <v>5363057.002041406</v>
      </c>
      <c r="AH76" s="52">
        <f t="shared" si="33"/>
        <v>5363057.002041406</v>
      </c>
      <c r="AI76" s="52">
        <f t="shared" si="33"/>
        <v>5363057.002041406</v>
      </c>
      <c r="AJ76" s="52">
        <f t="shared" si="33"/>
        <v>5363057.002041406</v>
      </c>
      <c r="AK76" s="52">
        <f t="shared" si="33"/>
        <v>5363057.002041406</v>
      </c>
      <c r="AL76" s="52">
        <f t="shared" si="33"/>
        <v>5363057.002041406</v>
      </c>
      <c r="AM76" s="52">
        <f t="shared" si="33"/>
        <v>5363057.002041406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74"/>
      <c r="L77" s="75">
        <f t="shared" si="31"/>
        <v>24.333333333333332</v>
      </c>
      <c r="M77" s="1"/>
      <c r="N77" s="1"/>
      <c r="O77" s="75">
        <f t="shared" ref="O77:AM77" si="34">SUM(O78)</f>
        <v>0.33333333333333298</v>
      </c>
      <c r="P77" s="75">
        <f t="shared" si="34"/>
        <v>1</v>
      </c>
      <c r="Q77" s="75">
        <f t="shared" si="34"/>
        <v>1</v>
      </c>
      <c r="R77" s="75">
        <f t="shared" si="34"/>
        <v>1</v>
      </c>
      <c r="S77" s="75">
        <f t="shared" si="34"/>
        <v>1</v>
      </c>
      <c r="T77" s="75">
        <f t="shared" si="34"/>
        <v>1</v>
      </c>
      <c r="U77" s="75">
        <f t="shared" si="34"/>
        <v>1</v>
      </c>
      <c r="V77" s="75">
        <f t="shared" si="34"/>
        <v>1</v>
      </c>
      <c r="W77" s="75">
        <f t="shared" si="34"/>
        <v>1</v>
      </c>
      <c r="X77" s="75">
        <f t="shared" si="34"/>
        <v>1</v>
      </c>
      <c r="Y77" s="75">
        <f t="shared" si="34"/>
        <v>1</v>
      </c>
      <c r="Z77" s="75">
        <f t="shared" si="34"/>
        <v>1</v>
      </c>
      <c r="AA77" s="75">
        <f t="shared" si="34"/>
        <v>1</v>
      </c>
      <c r="AB77" s="75">
        <f t="shared" si="34"/>
        <v>1</v>
      </c>
      <c r="AC77" s="75">
        <f t="shared" si="34"/>
        <v>1</v>
      </c>
      <c r="AD77" s="75">
        <f t="shared" si="34"/>
        <v>1</v>
      </c>
      <c r="AE77" s="75">
        <f t="shared" si="34"/>
        <v>1</v>
      </c>
      <c r="AF77" s="75">
        <f t="shared" si="34"/>
        <v>1</v>
      </c>
      <c r="AG77" s="75">
        <f t="shared" si="34"/>
        <v>1</v>
      </c>
      <c r="AH77" s="75">
        <f t="shared" si="34"/>
        <v>1</v>
      </c>
      <c r="AI77" s="75">
        <f t="shared" si="34"/>
        <v>1</v>
      </c>
      <c r="AJ77" s="75">
        <f t="shared" si="34"/>
        <v>1</v>
      </c>
      <c r="AK77" s="75">
        <f t="shared" si="34"/>
        <v>1</v>
      </c>
      <c r="AL77" s="75">
        <f t="shared" si="34"/>
        <v>1</v>
      </c>
      <c r="AM77" s="75">
        <f t="shared" si="34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31"/>
        <v>24.333333333333332</v>
      </c>
      <c r="M78" s="1"/>
      <c r="N78" s="1"/>
      <c r="O78" s="170">
        <v>0.33333333333333298</v>
      </c>
      <c r="P78" s="78">
        <f t="shared" ref="P78:AM78" si="35">IF(AND( $G78&lt;=P$3,P$3&lt;=$H78),1,0)</f>
        <v>1</v>
      </c>
      <c r="Q78" s="78">
        <f t="shared" si="35"/>
        <v>1</v>
      </c>
      <c r="R78" s="78">
        <f t="shared" si="35"/>
        <v>1</v>
      </c>
      <c r="S78" s="78">
        <f t="shared" si="35"/>
        <v>1</v>
      </c>
      <c r="T78" s="78">
        <f t="shared" si="35"/>
        <v>1</v>
      </c>
      <c r="U78" s="78">
        <f t="shared" si="35"/>
        <v>1</v>
      </c>
      <c r="V78" s="78">
        <f t="shared" si="35"/>
        <v>1</v>
      </c>
      <c r="W78" s="78">
        <f t="shared" si="35"/>
        <v>1</v>
      </c>
      <c r="X78" s="78">
        <f t="shared" si="35"/>
        <v>1</v>
      </c>
      <c r="Y78" s="78">
        <f t="shared" si="35"/>
        <v>1</v>
      </c>
      <c r="Z78" s="78">
        <f t="shared" si="35"/>
        <v>1</v>
      </c>
      <c r="AA78" s="78">
        <f t="shared" si="35"/>
        <v>1</v>
      </c>
      <c r="AB78" s="78">
        <f t="shared" si="35"/>
        <v>1</v>
      </c>
      <c r="AC78" s="78">
        <f t="shared" si="35"/>
        <v>1</v>
      </c>
      <c r="AD78" s="78">
        <f t="shared" si="35"/>
        <v>1</v>
      </c>
      <c r="AE78" s="78">
        <f t="shared" si="35"/>
        <v>1</v>
      </c>
      <c r="AF78" s="78">
        <f t="shared" si="35"/>
        <v>1</v>
      </c>
      <c r="AG78" s="78">
        <f t="shared" si="35"/>
        <v>1</v>
      </c>
      <c r="AH78" s="78">
        <f t="shared" si="35"/>
        <v>1</v>
      </c>
      <c r="AI78" s="78">
        <f t="shared" si="35"/>
        <v>1</v>
      </c>
      <c r="AJ78" s="78">
        <f t="shared" si="35"/>
        <v>1</v>
      </c>
      <c r="AK78" s="78">
        <f t="shared" si="35"/>
        <v>1</v>
      </c>
      <c r="AL78" s="78">
        <f t="shared" si="35"/>
        <v>1</v>
      </c>
      <c r="AM78" s="78">
        <f t="shared" si="35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36">O$3</f>
        <v>1</v>
      </c>
      <c r="P82" s="80">
        <f t="shared" si="36"/>
        <v>2</v>
      </c>
      <c r="Q82" s="80">
        <f t="shared" si="36"/>
        <v>3</v>
      </c>
      <c r="R82" s="80">
        <f t="shared" si="36"/>
        <v>4</v>
      </c>
      <c r="S82" s="80">
        <f t="shared" si="36"/>
        <v>5</v>
      </c>
      <c r="T82" s="80">
        <f t="shared" si="36"/>
        <v>6</v>
      </c>
      <c r="U82" s="80">
        <f t="shared" si="36"/>
        <v>7</v>
      </c>
      <c r="V82" s="80">
        <f t="shared" si="36"/>
        <v>8</v>
      </c>
      <c r="W82" s="80">
        <f t="shared" si="36"/>
        <v>9</v>
      </c>
      <c r="X82" s="80">
        <f t="shared" si="36"/>
        <v>10</v>
      </c>
      <c r="Y82" s="80">
        <f t="shared" si="36"/>
        <v>11</v>
      </c>
      <c r="Z82" s="80">
        <f t="shared" si="36"/>
        <v>12</v>
      </c>
      <c r="AA82" s="80">
        <f t="shared" si="36"/>
        <v>13</v>
      </c>
      <c r="AB82" s="80">
        <f t="shared" si="36"/>
        <v>14</v>
      </c>
      <c r="AC82" s="80">
        <f t="shared" si="36"/>
        <v>15</v>
      </c>
      <c r="AD82" s="80">
        <f t="shared" si="36"/>
        <v>16</v>
      </c>
      <c r="AE82" s="80">
        <f t="shared" si="36"/>
        <v>17</v>
      </c>
      <c r="AF82" s="80">
        <f t="shared" si="36"/>
        <v>18</v>
      </c>
      <c r="AG82" s="80">
        <f t="shared" si="36"/>
        <v>19</v>
      </c>
      <c r="AH82" s="80">
        <f t="shared" si="36"/>
        <v>20</v>
      </c>
      <c r="AI82" s="80">
        <f t="shared" si="36"/>
        <v>21</v>
      </c>
      <c r="AJ82" s="80">
        <f t="shared" si="36"/>
        <v>22</v>
      </c>
      <c r="AK82" s="80">
        <f t="shared" si="36"/>
        <v>23</v>
      </c>
      <c r="AL82" s="80">
        <f t="shared" si="36"/>
        <v>24</v>
      </c>
      <c r="AM82" s="80">
        <f t="shared" si="36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37">O$2</f>
        <v>46023</v>
      </c>
      <c r="P83" s="84">
        <f t="shared" si="37"/>
        <v>46388</v>
      </c>
      <c r="Q83" s="84">
        <f t="shared" si="37"/>
        <v>46753</v>
      </c>
      <c r="R83" s="84">
        <f t="shared" si="37"/>
        <v>47119</v>
      </c>
      <c r="S83" s="84">
        <f t="shared" si="37"/>
        <v>47484</v>
      </c>
      <c r="T83" s="84">
        <f t="shared" si="37"/>
        <v>47849</v>
      </c>
      <c r="U83" s="84">
        <f t="shared" si="37"/>
        <v>48214</v>
      </c>
      <c r="V83" s="84">
        <f t="shared" si="37"/>
        <v>48580</v>
      </c>
      <c r="W83" s="84">
        <f t="shared" si="37"/>
        <v>48945</v>
      </c>
      <c r="X83" s="84">
        <f t="shared" si="37"/>
        <v>49310</v>
      </c>
      <c r="Y83" s="84">
        <f t="shared" si="37"/>
        <v>49675</v>
      </c>
      <c r="Z83" s="84">
        <f t="shared" si="37"/>
        <v>50041</v>
      </c>
      <c r="AA83" s="84">
        <f t="shared" si="37"/>
        <v>50406</v>
      </c>
      <c r="AB83" s="84">
        <f t="shared" si="37"/>
        <v>50771</v>
      </c>
      <c r="AC83" s="84">
        <f t="shared" si="37"/>
        <v>51136</v>
      </c>
      <c r="AD83" s="84">
        <f t="shared" si="37"/>
        <v>51502</v>
      </c>
      <c r="AE83" s="84">
        <f t="shared" si="37"/>
        <v>51867</v>
      </c>
      <c r="AF83" s="84">
        <f t="shared" si="37"/>
        <v>52232</v>
      </c>
      <c r="AG83" s="84">
        <f t="shared" si="37"/>
        <v>52597</v>
      </c>
      <c r="AH83" s="84">
        <f t="shared" si="37"/>
        <v>52963</v>
      </c>
      <c r="AI83" s="84">
        <f t="shared" si="37"/>
        <v>53328</v>
      </c>
      <c r="AJ83" s="84">
        <f t="shared" si="37"/>
        <v>53693</v>
      </c>
      <c r="AK83" s="84">
        <f t="shared" si="37"/>
        <v>54058</v>
      </c>
      <c r="AL83" s="84">
        <f t="shared" si="37"/>
        <v>54424</v>
      </c>
      <c r="AM83" s="84">
        <f t="shared" si="37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38">S84</f>
        <v>3.5000000000000003E-2</v>
      </c>
      <c r="U84" s="85">
        <f t="shared" si="38"/>
        <v>3.5000000000000003E-2</v>
      </c>
      <c r="V84" s="85">
        <f t="shared" si="38"/>
        <v>3.5000000000000003E-2</v>
      </c>
      <c r="W84" s="85">
        <f t="shared" si="38"/>
        <v>3.5000000000000003E-2</v>
      </c>
      <c r="X84" s="85">
        <f t="shared" si="38"/>
        <v>3.5000000000000003E-2</v>
      </c>
      <c r="Y84" s="85">
        <f t="shared" si="38"/>
        <v>3.5000000000000003E-2</v>
      </c>
      <c r="Z84" s="85">
        <f t="shared" si="38"/>
        <v>3.5000000000000003E-2</v>
      </c>
      <c r="AA84" s="85">
        <f t="shared" si="38"/>
        <v>3.5000000000000003E-2</v>
      </c>
      <c r="AB84" s="85">
        <f t="shared" si="38"/>
        <v>3.5000000000000003E-2</v>
      </c>
      <c r="AC84" s="85">
        <f t="shared" si="38"/>
        <v>3.5000000000000003E-2</v>
      </c>
      <c r="AD84" s="85">
        <f t="shared" si="38"/>
        <v>3.5000000000000003E-2</v>
      </c>
      <c r="AE84" s="85">
        <f t="shared" si="38"/>
        <v>3.5000000000000003E-2</v>
      </c>
      <c r="AF84" s="85">
        <f t="shared" si="38"/>
        <v>3.5000000000000003E-2</v>
      </c>
      <c r="AG84" s="85">
        <f t="shared" si="38"/>
        <v>3.5000000000000003E-2</v>
      </c>
      <c r="AH84" s="85">
        <f t="shared" si="38"/>
        <v>3.5000000000000003E-2</v>
      </c>
      <c r="AI84" s="85">
        <f t="shared" si="38"/>
        <v>3.5000000000000003E-2</v>
      </c>
      <c r="AJ84" s="85">
        <f t="shared" si="38"/>
        <v>3.5000000000000003E-2</v>
      </c>
      <c r="AK84" s="85">
        <f t="shared" si="38"/>
        <v>3.5000000000000003E-2</v>
      </c>
      <c r="AL84" s="85">
        <f t="shared" si="38"/>
        <v>3.5000000000000003E-2</v>
      </c>
      <c r="AM84" s="85">
        <f t="shared" si="38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39">O85*(1+O84)</f>
        <v>1.0390999999999999</v>
      </c>
      <c r="Q85" s="88">
        <f t="shared" si="39"/>
        <v>1.0784818899999999</v>
      </c>
      <c r="R85" s="88">
        <f t="shared" si="39"/>
        <v>1.1162287561499999</v>
      </c>
      <c r="S85" s="88">
        <f t="shared" si="39"/>
        <v>1.1552967626152499</v>
      </c>
      <c r="T85" s="88">
        <f t="shared" si="39"/>
        <v>1.1957321493067836</v>
      </c>
      <c r="U85" s="88">
        <f t="shared" si="39"/>
        <v>1.237582774532521</v>
      </c>
      <c r="V85" s="88">
        <f t="shared" si="39"/>
        <v>1.2808981716411592</v>
      </c>
      <c r="W85" s="88">
        <f t="shared" si="39"/>
        <v>1.3257296076485996</v>
      </c>
      <c r="X85" s="88">
        <f t="shared" si="39"/>
        <v>1.3721301439163005</v>
      </c>
      <c r="Y85" s="88">
        <f t="shared" si="39"/>
        <v>1.4201546989533709</v>
      </c>
      <c r="Z85" s="88">
        <f t="shared" si="39"/>
        <v>1.4698601134167388</v>
      </c>
      <c r="AA85" s="88">
        <f t="shared" si="39"/>
        <v>1.5213052173863246</v>
      </c>
      <c r="AB85" s="88">
        <f t="shared" si="39"/>
        <v>1.5745508999948459</v>
      </c>
      <c r="AC85" s="88">
        <f t="shared" si="39"/>
        <v>1.6296601814946654</v>
      </c>
      <c r="AD85" s="88">
        <f t="shared" si="39"/>
        <v>1.6866982878469785</v>
      </c>
      <c r="AE85" s="88">
        <f t="shared" si="39"/>
        <v>1.7457327279216226</v>
      </c>
      <c r="AF85" s="88">
        <f t="shared" si="39"/>
        <v>1.8068333733988793</v>
      </c>
      <c r="AG85" s="88">
        <f t="shared" si="39"/>
        <v>1.8700725414678399</v>
      </c>
      <c r="AH85" s="88">
        <f t="shared" si="39"/>
        <v>1.9355250804192141</v>
      </c>
      <c r="AI85" s="88">
        <f t="shared" si="39"/>
        <v>2.0032684582338867</v>
      </c>
      <c r="AJ85" s="88">
        <f t="shared" si="39"/>
        <v>2.0733828542720727</v>
      </c>
      <c r="AK85" s="88">
        <f t="shared" si="39"/>
        <v>2.145951254171595</v>
      </c>
      <c r="AL85" s="88">
        <f t="shared" si="39"/>
        <v>2.2210595480676005</v>
      </c>
      <c r="AM85" s="88">
        <f t="shared" si="39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40">R86</f>
        <v>0.05</v>
      </c>
      <c r="T86" s="85">
        <f t="shared" si="40"/>
        <v>0.05</v>
      </c>
      <c r="U86" s="85">
        <f t="shared" si="40"/>
        <v>0.05</v>
      </c>
      <c r="V86" s="85">
        <f t="shared" si="40"/>
        <v>0.05</v>
      </c>
      <c r="W86" s="85">
        <f t="shared" si="40"/>
        <v>0.05</v>
      </c>
      <c r="X86" s="85">
        <f t="shared" si="40"/>
        <v>0.05</v>
      </c>
      <c r="Y86" s="85">
        <f t="shared" si="40"/>
        <v>0.05</v>
      </c>
      <c r="Z86" s="85">
        <f t="shared" si="40"/>
        <v>0.05</v>
      </c>
      <c r="AA86" s="85">
        <f t="shared" si="40"/>
        <v>0.05</v>
      </c>
      <c r="AB86" s="85">
        <f t="shared" si="40"/>
        <v>0.05</v>
      </c>
      <c r="AC86" s="85">
        <f t="shared" si="40"/>
        <v>0.05</v>
      </c>
      <c r="AD86" s="85">
        <f t="shared" si="40"/>
        <v>0.05</v>
      </c>
      <c r="AE86" s="85">
        <f t="shared" si="40"/>
        <v>0.05</v>
      </c>
      <c r="AF86" s="85">
        <f t="shared" si="40"/>
        <v>0.05</v>
      </c>
      <c r="AG86" s="85">
        <f t="shared" si="40"/>
        <v>0.05</v>
      </c>
      <c r="AH86" s="85">
        <f t="shared" si="40"/>
        <v>0.05</v>
      </c>
      <c r="AI86" s="85">
        <f t="shared" si="40"/>
        <v>0.05</v>
      </c>
      <c r="AJ86" s="85">
        <f t="shared" si="40"/>
        <v>0.05</v>
      </c>
      <c r="AK86" s="85">
        <f t="shared" si="40"/>
        <v>0.05</v>
      </c>
      <c r="AL86" s="85">
        <f t="shared" si="40"/>
        <v>0.05</v>
      </c>
      <c r="AM86" s="85">
        <f t="shared" si="40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41">O87*(1+O86)</f>
        <v>1.0583</v>
      </c>
      <c r="Q87" s="88">
        <f t="shared" si="41"/>
        <v>1.1090984000000002</v>
      </c>
      <c r="R87" s="88">
        <f t="shared" si="41"/>
        <v>1.1566787213600001</v>
      </c>
      <c r="S87" s="88">
        <f t="shared" si="41"/>
        <v>1.2145126574280001</v>
      </c>
      <c r="T87" s="88">
        <f t="shared" si="41"/>
        <v>1.2752382902994002</v>
      </c>
      <c r="U87" s="88">
        <f t="shared" si="41"/>
        <v>1.3390002048143703</v>
      </c>
      <c r="V87" s="88">
        <f t="shared" si="41"/>
        <v>1.4059502150550889</v>
      </c>
      <c r="W87" s="88">
        <f t="shared" si="41"/>
        <v>1.4762477258078435</v>
      </c>
      <c r="X87" s="88">
        <f t="shared" si="41"/>
        <v>1.5500601120982358</v>
      </c>
      <c r="Y87" s="88">
        <f t="shared" si="41"/>
        <v>1.6275631177031478</v>
      </c>
      <c r="Z87" s="88">
        <f t="shared" si="41"/>
        <v>1.7089412735883052</v>
      </c>
      <c r="AA87" s="88">
        <f t="shared" si="41"/>
        <v>1.7943883372677205</v>
      </c>
      <c r="AB87" s="88">
        <f t="shared" si="41"/>
        <v>1.8841077541311066</v>
      </c>
      <c r="AC87" s="88">
        <f t="shared" si="41"/>
        <v>1.978313141837662</v>
      </c>
      <c r="AD87" s="88">
        <f t="shared" si="41"/>
        <v>2.077228798929545</v>
      </c>
      <c r="AE87" s="88">
        <f t="shared" si="41"/>
        <v>2.1810902388760223</v>
      </c>
      <c r="AF87" s="88">
        <f t="shared" si="41"/>
        <v>2.2901447508198234</v>
      </c>
      <c r="AG87" s="88">
        <f t="shared" si="41"/>
        <v>2.4046519883608148</v>
      </c>
      <c r="AH87" s="88">
        <f t="shared" si="41"/>
        <v>2.5248845877788555</v>
      </c>
      <c r="AI87" s="88">
        <f t="shared" si="41"/>
        <v>2.6511288171677982</v>
      </c>
      <c r="AJ87" s="88">
        <f t="shared" si="41"/>
        <v>2.7836852580261882</v>
      </c>
      <c r="AK87" s="88">
        <f t="shared" si="41"/>
        <v>2.9228695209274975</v>
      </c>
      <c r="AL87" s="88">
        <f t="shared" si="41"/>
        <v>3.0690129969738726</v>
      </c>
      <c r="AM87" s="88">
        <f t="shared" si="41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42">R88</f>
        <v>3.73E-2</v>
      </c>
      <c r="T88" s="85">
        <f t="shared" si="42"/>
        <v>3.73E-2</v>
      </c>
      <c r="U88" s="85">
        <f t="shared" si="42"/>
        <v>3.73E-2</v>
      </c>
      <c r="V88" s="85">
        <f t="shared" si="42"/>
        <v>3.73E-2</v>
      </c>
      <c r="W88" s="85">
        <f t="shared" si="42"/>
        <v>3.73E-2</v>
      </c>
      <c r="X88" s="85">
        <f t="shared" si="42"/>
        <v>3.73E-2</v>
      </c>
      <c r="Y88" s="85">
        <f t="shared" si="42"/>
        <v>3.73E-2</v>
      </c>
      <c r="Z88" s="85">
        <f t="shared" si="42"/>
        <v>3.73E-2</v>
      </c>
      <c r="AA88" s="85">
        <f t="shared" si="42"/>
        <v>3.73E-2</v>
      </c>
      <c r="AB88" s="85">
        <f t="shared" si="42"/>
        <v>3.73E-2</v>
      </c>
      <c r="AC88" s="85">
        <f t="shared" si="42"/>
        <v>3.73E-2</v>
      </c>
      <c r="AD88" s="85">
        <f t="shared" si="42"/>
        <v>3.73E-2</v>
      </c>
      <c r="AE88" s="85">
        <f t="shared" si="42"/>
        <v>3.73E-2</v>
      </c>
      <c r="AF88" s="85">
        <f t="shared" si="42"/>
        <v>3.73E-2</v>
      </c>
      <c r="AG88" s="85">
        <f t="shared" si="42"/>
        <v>3.73E-2</v>
      </c>
      <c r="AH88" s="85">
        <f t="shared" si="42"/>
        <v>3.73E-2</v>
      </c>
      <c r="AI88" s="85">
        <f t="shared" si="42"/>
        <v>3.73E-2</v>
      </c>
      <c r="AJ88" s="85">
        <f t="shared" si="42"/>
        <v>3.73E-2</v>
      </c>
      <c r="AK88" s="85">
        <f t="shared" si="42"/>
        <v>3.73E-2</v>
      </c>
      <c r="AL88" s="85">
        <f t="shared" si="42"/>
        <v>3.73E-2</v>
      </c>
      <c r="AM88" s="85">
        <f t="shared" si="42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43">O89*(1+O88)</f>
        <v>1.0318000000000001</v>
      </c>
      <c r="Q89" s="88">
        <f t="shared" si="43"/>
        <v>1.073072</v>
      </c>
      <c r="R89" s="88">
        <f t="shared" si="43"/>
        <v>1.113848736</v>
      </c>
      <c r="S89" s="88">
        <f t="shared" si="43"/>
        <v>1.1553952938528</v>
      </c>
      <c r="T89" s="88">
        <f t="shared" si="43"/>
        <v>1.1984915383135095</v>
      </c>
      <c r="U89" s="88">
        <f t="shared" si="43"/>
        <v>1.2431952726926037</v>
      </c>
      <c r="V89" s="88">
        <f t="shared" si="43"/>
        <v>1.2895664563640379</v>
      </c>
      <c r="W89" s="88">
        <f t="shared" si="43"/>
        <v>1.3376672851864166</v>
      </c>
      <c r="X89" s="88">
        <f t="shared" si="43"/>
        <v>1.3875622749238701</v>
      </c>
      <c r="Y89" s="88">
        <f t="shared" si="43"/>
        <v>1.4393183477785305</v>
      </c>
      <c r="Z89" s="88">
        <f t="shared" si="43"/>
        <v>1.4930049221506698</v>
      </c>
      <c r="AA89" s="88">
        <f t="shared" si="43"/>
        <v>1.5486940057468899</v>
      </c>
      <c r="AB89" s="88">
        <f t="shared" si="43"/>
        <v>1.606460292161249</v>
      </c>
      <c r="AC89" s="88">
        <f t="shared" si="43"/>
        <v>1.6663812610588637</v>
      </c>
      <c r="AD89" s="88">
        <f t="shared" si="43"/>
        <v>1.7285372820963596</v>
      </c>
      <c r="AE89" s="88">
        <f t="shared" si="43"/>
        <v>1.793011722718554</v>
      </c>
      <c r="AF89" s="88">
        <f t="shared" si="43"/>
        <v>1.8598910599759564</v>
      </c>
      <c r="AG89" s="88">
        <f t="shared" si="43"/>
        <v>1.9292649965130597</v>
      </c>
      <c r="AH89" s="88">
        <f t="shared" si="43"/>
        <v>2.0012265808829972</v>
      </c>
      <c r="AI89" s="88">
        <f t="shared" si="43"/>
        <v>2.0758723323499333</v>
      </c>
      <c r="AJ89" s="88">
        <f t="shared" si="43"/>
        <v>2.1533023703465859</v>
      </c>
      <c r="AK89" s="88">
        <f t="shared" si="43"/>
        <v>2.2336205487605136</v>
      </c>
      <c r="AL89" s="88">
        <f t="shared" si="43"/>
        <v>2.3169345952292812</v>
      </c>
      <c r="AM89" s="88">
        <f t="shared" si="43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44">R90</f>
        <v>9.5000000000000001E-2</v>
      </c>
      <c r="T90" s="85">
        <f t="shared" si="44"/>
        <v>9.5000000000000001E-2</v>
      </c>
      <c r="U90" s="85">
        <f t="shared" si="44"/>
        <v>9.5000000000000001E-2</v>
      </c>
      <c r="V90" s="85">
        <f t="shared" si="44"/>
        <v>9.5000000000000001E-2</v>
      </c>
      <c r="W90" s="85">
        <f t="shared" si="44"/>
        <v>9.5000000000000001E-2</v>
      </c>
      <c r="X90" s="85">
        <f t="shared" si="44"/>
        <v>9.5000000000000001E-2</v>
      </c>
      <c r="Y90" s="85">
        <f t="shared" si="44"/>
        <v>9.5000000000000001E-2</v>
      </c>
      <c r="Z90" s="85">
        <f t="shared" si="44"/>
        <v>9.5000000000000001E-2</v>
      </c>
      <c r="AA90" s="85">
        <f t="shared" si="44"/>
        <v>9.5000000000000001E-2</v>
      </c>
      <c r="AB90" s="85">
        <f t="shared" si="44"/>
        <v>9.5000000000000001E-2</v>
      </c>
      <c r="AC90" s="85">
        <f t="shared" si="44"/>
        <v>9.5000000000000001E-2</v>
      </c>
      <c r="AD90" s="85">
        <f t="shared" si="44"/>
        <v>9.5000000000000001E-2</v>
      </c>
      <c r="AE90" s="85">
        <f t="shared" si="44"/>
        <v>9.5000000000000001E-2</v>
      </c>
      <c r="AF90" s="85">
        <f t="shared" si="44"/>
        <v>9.5000000000000001E-2</v>
      </c>
      <c r="AG90" s="85">
        <f t="shared" si="44"/>
        <v>9.5000000000000001E-2</v>
      </c>
      <c r="AH90" s="85">
        <f t="shared" si="44"/>
        <v>9.5000000000000001E-2</v>
      </c>
      <c r="AI90" s="85">
        <f t="shared" si="44"/>
        <v>9.5000000000000001E-2</v>
      </c>
      <c r="AJ90" s="85">
        <f t="shared" si="44"/>
        <v>9.5000000000000001E-2</v>
      </c>
      <c r="AK90" s="85">
        <f t="shared" si="44"/>
        <v>9.5000000000000001E-2</v>
      </c>
      <c r="AL90" s="85">
        <f t="shared" si="44"/>
        <v>9.5000000000000001E-2</v>
      </c>
      <c r="AM90" s="85">
        <f t="shared" si="44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45">O91*(1+O90)</f>
        <v>1.1200000000000001</v>
      </c>
      <c r="Q91" s="88">
        <f t="shared" si="45"/>
        <v>1.2376</v>
      </c>
      <c r="R91" s="88">
        <f t="shared" si="45"/>
        <v>1.3613600000000001</v>
      </c>
      <c r="S91" s="88">
        <f t="shared" si="45"/>
        <v>1.4906892</v>
      </c>
      <c r="T91" s="88">
        <f t="shared" si="45"/>
        <v>1.632304674</v>
      </c>
      <c r="U91" s="88">
        <f t="shared" si="45"/>
        <v>1.7873736180299999</v>
      </c>
      <c r="V91" s="88">
        <f t="shared" si="45"/>
        <v>1.9571741117428498</v>
      </c>
      <c r="W91" s="88">
        <f t="shared" si="45"/>
        <v>2.1431056523584204</v>
      </c>
      <c r="X91" s="88">
        <f t="shared" si="45"/>
        <v>2.3467006893324704</v>
      </c>
      <c r="Y91" s="88">
        <f t="shared" si="45"/>
        <v>2.5696372548190549</v>
      </c>
      <c r="Z91" s="88">
        <f t="shared" si="45"/>
        <v>2.8137527940268652</v>
      </c>
      <c r="AA91" s="88">
        <f t="shared" si="45"/>
        <v>3.0810593094594174</v>
      </c>
      <c r="AB91" s="88">
        <f t="shared" si="45"/>
        <v>3.3737599438580621</v>
      </c>
      <c r="AC91" s="88">
        <f t="shared" si="45"/>
        <v>3.694267138524578</v>
      </c>
      <c r="AD91" s="88">
        <f t="shared" si="45"/>
        <v>4.0452225166844125</v>
      </c>
      <c r="AE91" s="88">
        <f t="shared" si="45"/>
        <v>4.4295186557694315</v>
      </c>
      <c r="AF91" s="88">
        <f t="shared" si="45"/>
        <v>4.8503229280675271</v>
      </c>
      <c r="AG91" s="88">
        <f t="shared" si="45"/>
        <v>5.3111036062339423</v>
      </c>
      <c r="AH91" s="88">
        <f t="shared" si="45"/>
        <v>5.8156584488261664</v>
      </c>
      <c r="AI91" s="88">
        <f t="shared" si="45"/>
        <v>6.3681460014646518</v>
      </c>
      <c r="AJ91" s="88">
        <f t="shared" si="45"/>
        <v>6.9731198716037932</v>
      </c>
      <c r="AK91" s="88">
        <f t="shared" si="45"/>
        <v>7.6355662594061533</v>
      </c>
      <c r="AL91" s="88">
        <f t="shared" si="45"/>
        <v>8.3609450540497381</v>
      </c>
      <c r="AM91" s="88">
        <f t="shared" si="45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46">O84</f>
        <v>3.9100000000000003E-2</v>
      </c>
      <c r="P92" s="85">
        <f t="shared" si="46"/>
        <v>3.7900000000000003E-2</v>
      </c>
      <c r="Q92" s="85">
        <f t="shared" si="46"/>
        <v>3.5000000000000003E-2</v>
      </c>
      <c r="R92" s="85">
        <f t="shared" si="46"/>
        <v>3.5000000000000003E-2</v>
      </c>
      <c r="S92" s="85">
        <f t="shared" si="46"/>
        <v>3.5000000000000003E-2</v>
      </c>
      <c r="T92" s="85">
        <f t="shared" si="46"/>
        <v>3.5000000000000003E-2</v>
      </c>
      <c r="U92" s="85">
        <f t="shared" si="46"/>
        <v>3.5000000000000003E-2</v>
      </c>
      <c r="V92" s="85">
        <f t="shared" si="46"/>
        <v>3.5000000000000003E-2</v>
      </c>
      <c r="W92" s="85">
        <f t="shared" si="46"/>
        <v>3.5000000000000003E-2</v>
      </c>
      <c r="X92" s="85">
        <f t="shared" si="46"/>
        <v>3.5000000000000003E-2</v>
      </c>
      <c r="Y92" s="85">
        <f t="shared" si="46"/>
        <v>3.5000000000000003E-2</v>
      </c>
      <c r="Z92" s="85">
        <f t="shared" si="46"/>
        <v>3.5000000000000003E-2</v>
      </c>
      <c r="AA92" s="85">
        <f t="shared" si="46"/>
        <v>3.5000000000000003E-2</v>
      </c>
      <c r="AB92" s="85">
        <f t="shared" si="46"/>
        <v>3.5000000000000003E-2</v>
      </c>
      <c r="AC92" s="85">
        <f t="shared" si="46"/>
        <v>3.5000000000000003E-2</v>
      </c>
      <c r="AD92" s="85">
        <f t="shared" si="46"/>
        <v>3.5000000000000003E-2</v>
      </c>
      <c r="AE92" s="85">
        <f t="shared" si="46"/>
        <v>3.5000000000000003E-2</v>
      </c>
      <c r="AF92" s="85">
        <f t="shared" si="46"/>
        <v>3.5000000000000003E-2</v>
      </c>
      <c r="AG92" s="85">
        <f t="shared" si="46"/>
        <v>3.5000000000000003E-2</v>
      </c>
      <c r="AH92" s="85">
        <f t="shared" si="46"/>
        <v>3.5000000000000003E-2</v>
      </c>
      <c r="AI92" s="85">
        <f t="shared" si="46"/>
        <v>3.5000000000000003E-2</v>
      </c>
      <c r="AJ92" s="85">
        <f t="shared" si="46"/>
        <v>3.5000000000000003E-2</v>
      </c>
      <c r="AK92" s="85">
        <f t="shared" si="46"/>
        <v>3.5000000000000003E-2</v>
      </c>
      <c r="AL92" s="85">
        <f t="shared" si="46"/>
        <v>3.5000000000000003E-2</v>
      </c>
      <c r="AM92" s="85">
        <f t="shared" si="46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47">O93*(1+O92)</f>
        <v>1.0390999999999999</v>
      </c>
      <c r="Q93" s="88">
        <f t="shared" si="47"/>
        <v>1.0784818899999999</v>
      </c>
      <c r="R93" s="88">
        <f t="shared" si="47"/>
        <v>1.1162287561499999</v>
      </c>
      <c r="S93" s="88">
        <f t="shared" si="47"/>
        <v>1.1552967626152499</v>
      </c>
      <c r="T93" s="88">
        <f t="shared" si="47"/>
        <v>1.1957321493067836</v>
      </c>
      <c r="U93" s="88">
        <f t="shared" si="47"/>
        <v>1.237582774532521</v>
      </c>
      <c r="V93" s="88">
        <f t="shared" si="47"/>
        <v>1.2808981716411592</v>
      </c>
      <c r="W93" s="88">
        <f t="shared" si="47"/>
        <v>1.3257296076485996</v>
      </c>
      <c r="X93" s="88">
        <f t="shared" si="47"/>
        <v>1.3721301439163005</v>
      </c>
      <c r="Y93" s="88">
        <f t="shared" si="47"/>
        <v>1.4201546989533709</v>
      </c>
      <c r="Z93" s="88">
        <f t="shared" si="47"/>
        <v>1.4698601134167388</v>
      </c>
      <c r="AA93" s="88">
        <f t="shared" si="47"/>
        <v>1.5213052173863246</v>
      </c>
      <c r="AB93" s="88">
        <f t="shared" si="47"/>
        <v>1.5745508999948459</v>
      </c>
      <c r="AC93" s="88">
        <f t="shared" si="47"/>
        <v>1.6296601814946654</v>
      </c>
      <c r="AD93" s="88">
        <f t="shared" si="47"/>
        <v>1.6866982878469785</v>
      </c>
      <c r="AE93" s="88">
        <f t="shared" si="47"/>
        <v>1.7457327279216226</v>
      </c>
      <c r="AF93" s="88">
        <f t="shared" si="47"/>
        <v>1.8068333733988793</v>
      </c>
      <c r="AG93" s="88">
        <f t="shared" si="47"/>
        <v>1.8700725414678399</v>
      </c>
      <c r="AH93" s="88">
        <f t="shared" si="47"/>
        <v>1.9355250804192141</v>
      </c>
      <c r="AI93" s="88">
        <f t="shared" si="47"/>
        <v>2.0032684582338867</v>
      </c>
      <c r="AJ93" s="88">
        <f t="shared" si="47"/>
        <v>2.0733828542720727</v>
      </c>
      <c r="AK93" s="88">
        <f t="shared" si="47"/>
        <v>2.145951254171595</v>
      </c>
      <c r="AL93" s="88">
        <f t="shared" si="47"/>
        <v>2.2210595480676005</v>
      </c>
      <c r="AM93" s="88">
        <f t="shared" si="47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48">O$3</f>
        <v>1</v>
      </c>
      <c r="P95" s="80">
        <f t="shared" si="48"/>
        <v>2</v>
      </c>
      <c r="Q95" s="80">
        <f t="shared" si="48"/>
        <v>3</v>
      </c>
      <c r="R95" s="80">
        <f t="shared" si="48"/>
        <v>4</v>
      </c>
      <c r="S95" s="80">
        <f t="shared" si="48"/>
        <v>5</v>
      </c>
      <c r="T95" s="80">
        <f t="shared" si="48"/>
        <v>6</v>
      </c>
      <c r="U95" s="80">
        <f t="shared" si="48"/>
        <v>7</v>
      </c>
      <c r="V95" s="80">
        <f t="shared" si="48"/>
        <v>8</v>
      </c>
      <c r="W95" s="80">
        <f t="shared" si="48"/>
        <v>9</v>
      </c>
      <c r="X95" s="80">
        <f t="shared" si="48"/>
        <v>10</v>
      </c>
      <c r="Y95" s="80">
        <f t="shared" si="48"/>
        <v>11</v>
      </c>
      <c r="Z95" s="80">
        <f t="shared" si="48"/>
        <v>12</v>
      </c>
      <c r="AA95" s="80">
        <f t="shared" si="48"/>
        <v>13</v>
      </c>
      <c r="AB95" s="80">
        <f t="shared" si="48"/>
        <v>14</v>
      </c>
      <c r="AC95" s="80">
        <f t="shared" si="48"/>
        <v>15</v>
      </c>
      <c r="AD95" s="80">
        <f t="shared" si="48"/>
        <v>16</v>
      </c>
      <c r="AE95" s="80">
        <f t="shared" si="48"/>
        <v>17</v>
      </c>
      <c r="AF95" s="80">
        <f t="shared" si="48"/>
        <v>18</v>
      </c>
      <c r="AG95" s="80">
        <f t="shared" si="48"/>
        <v>19</v>
      </c>
      <c r="AH95" s="80">
        <f t="shared" si="48"/>
        <v>20</v>
      </c>
      <c r="AI95" s="80">
        <f t="shared" si="48"/>
        <v>21</v>
      </c>
      <c r="AJ95" s="80">
        <f t="shared" si="48"/>
        <v>22</v>
      </c>
      <c r="AK95" s="80">
        <f t="shared" si="48"/>
        <v>23</v>
      </c>
      <c r="AL95" s="80">
        <f t="shared" si="48"/>
        <v>24</v>
      </c>
      <c r="AM95" s="80">
        <f t="shared" si="48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49">O$2</f>
        <v>46023</v>
      </c>
      <c r="P96" s="91">
        <f t="shared" si="49"/>
        <v>46388</v>
      </c>
      <c r="Q96" s="91">
        <f t="shared" si="49"/>
        <v>46753</v>
      </c>
      <c r="R96" s="91">
        <f t="shared" si="49"/>
        <v>47119</v>
      </c>
      <c r="S96" s="91">
        <f t="shared" si="49"/>
        <v>47484</v>
      </c>
      <c r="T96" s="91">
        <f t="shared" si="49"/>
        <v>47849</v>
      </c>
      <c r="U96" s="91">
        <f t="shared" si="49"/>
        <v>48214</v>
      </c>
      <c r="V96" s="91">
        <f t="shared" si="49"/>
        <v>48580</v>
      </c>
      <c r="W96" s="91">
        <f t="shared" si="49"/>
        <v>48945</v>
      </c>
      <c r="X96" s="91">
        <f t="shared" si="49"/>
        <v>49310</v>
      </c>
      <c r="Y96" s="91">
        <f t="shared" si="49"/>
        <v>49675</v>
      </c>
      <c r="Z96" s="91">
        <f t="shared" si="49"/>
        <v>50041</v>
      </c>
      <c r="AA96" s="91">
        <f t="shared" si="49"/>
        <v>50406</v>
      </c>
      <c r="AB96" s="91">
        <f t="shared" si="49"/>
        <v>50771</v>
      </c>
      <c r="AC96" s="91">
        <f t="shared" si="49"/>
        <v>51136</v>
      </c>
      <c r="AD96" s="91">
        <f t="shared" si="49"/>
        <v>51502</v>
      </c>
      <c r="AE96" s="91">
        <f t="shared" si="49"/>
        <v>51867</v>
      </c>
      <c r="AF96" s="91">
        <f t="shared" si="49"/>
        <v>52232</v>
      </c>
      <c r="AG96" s="91">
        <f t="shared" si="49"/>
        <v>52597</v>
      </c>
      <c r="AH96" s="91">
        <f t="shared" si="49"/>
        <v>52963</v>
      </c>
      <c r="AI96" s="91">
        <f t="shared" si="49"/>
        <v>53328</v>
      </c>
      <c r="AJ96" s="91">
        <f t="shared" si="49"/>
        <v>53693</v>
      </c>
      <c r="AK96" s="91">
        <f t="shared" si="49"/>
        <v>54058</v>
      </c>
      <c r="AL96" s="91">
        <f t="shared" si="49"/>
        <v>54424</v>
      </c>
      <c r="AM96" s="91">
        <f t="shared" si="49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50">SUM(K99:K101)</f>
        <v>54974510.557705179</v>
      </c>
      <c r="L98" s="69">
        <f t="shared" si="50"/>
        <v>146073063.9062416</v>
      </c>
      <c r="M98" s="1"/>
      <c r="N98" s="1"/>
      <c r="O98" s="69">
        <f>SUM(O99:O101)</f>
        <v>11706021.639259594</v>
      </c>
      <c r="P98" s="69">
        <f t="shared" ref="P98:AM98" si="51">SUM(P99:P100)</f>
        <v>3615829.7719193976</v>
      </c>
      <c r="Q98" s="69">
        <f t="shared" si="51"/>
        <v>3615829.7719193976</v>
      </c>
      <c r="R98" s="69">
        <f t="shared" si="51"/>
        <v>3615829.7719193976</v>
      </c>
      <c r="S98" s="69">
        <f t="shared" si="51"/>
        <v>8243246.6044297181</v>
      </c>
      <c r="T98" s="69">
        <f t="shared" si="51"/>
        <v>3615829.7719193976</v>
      </c>
      <c r="U98" s="69">
        <f t="shared" si="51"/>
        <v>3615829.7719193976</v>
      </c>
      <c r="V98" s="69">
        <f t="shared" si="51"/>
        <v>4030640.9405093095</v>
      </c>
      <c r="W98" s="69">
        <f t="shared" si="51"/>
        <v>4209384.3166082893</v>
      </c>
      <c r="X98" s="69">
        <f t="shared" si="51"/>
        <v>3615829.7719193976</v>
      </c>
      <c r="Y98" s="69">
        <f t="shared" si="51"/>
        <v>8211791.6328141205</v>
      </c>
      <c r="Z98" s="69">
        <f t="shared" si="51"/>
        <v>3615829.7719193976</v>
      </c>
      <c r="AA98" s="69">
        <f t="shared" si="51"/>
        <v>5499711.9579438884</v>
      </c>
      <c r="AB98" s="69">
        <f t="shared" si="51"/>
        <v>3615829.7719193976</v>
      </c>
      <c r="AC98" s="69">
        <f t="shared" si="51"/>
        <v>3615829.7719193976</v>
      </c>
      <c r="AD98" s="69">
        <f t="shared" si="51"/>
        <v>8626151.2673395388</v>
      </c>
      <c r="AE98" s="69">
        <f t="shared" si="51"/>
        <v>3694808.5194704998</v>
      </c>
      <c r="AF98" s="69">
        <f t="shared" si="51"/>
        <v>4130857.1031216811</v>
      </c>
      <c r="AG98" s="69">
        <f t="shared" si="51"/>
        <v>3615829.7719193976</v>
      </c>
      <c r="AH98" s="69">
        <f t="shared" si="51"/>
        <v>3615829.7719193976</v>
      </c>
      <c r="AI98" s="69">
        <f t="shared" si="51"/>
        <v>8242795.070365224</v>
      </c>
      <c r="AJ98" s="69">
        <f t="shared" si="51"/>
        <v>3615829.7719193976</v>
      </c>
      <c r="AK98" s="69">
        <f t="shared" si="51"/>
        <v>4030640.9405093095</v>
      </c>
      <c r="AL98" s="69">
        <f t="shared" si="51"/>
        <v>3615829.7719193976</v>
      </c>
      <c r="AM98" s="69">
        <f t="shared" si="51"/>
        <v>3646833.2094704998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>
        <f>1-H63</f>
        <v>0.67421058</v>
      </c>
      <c r="I99" s="95"/>
      <c r="J99" s="94"/>
      <c r="K99" s="97">
        <f>NPV(WACC!$D$35,O99:AV99)</f>
        <v>30800403.081680257</v>
      </c>
      <c r="L99" s="97">
        <f t="shared" ref="L99:L101" si="52">SUM(O99:AV99)</f>
        <v>87985191.116705373</v>
      </c>
      <c r="M99" s="1"/>
      <c r="N99" s="1"/>
      <c r="O99" s="97">
        <f t="shared" ref="O99:AM99" si="53">$H$99*O76</f>
        <v>1205276.590639798</v>
      </c>
      <c r="P99" s="97">
        <f t="shared" si="53"/>
        <v>3615829.7719193976</v>
      </c>
      <c r="Q99" s="97">
        <f t="shared" si="53"/>
        <v>3615829.7719193976</v>
      </c>
      <c r="R99" s="97">
        <f t="shared" si="53"/>
        <v>3615829.7719193976</v>
      </c>
      <c r="S99" s="97">
        <f t="shared" si="53"/>
        <v>3615829.7719193976</v>
      </c>
      <c r="T99" s="97">
        <f t="shared" si="53"/>
        <v>3615829.7719193976</v>
      </c>
      <c r="U99" s="97">
        <f t="shared" si="53"/>
        <v>3615829.7719193976</v>
      </c>
      <c r="V99" s="97">
        <f t="shared" si="53"/>
        <v>3615829.7719193976</v>
      </c>
      <c r="W99" s="97">
        <f t="shared" si="53"/>
        <v>3615829.7719193976</v>
      </c>
      <c r="X99" s="97">
        <f t="shared" si="53"/>
        <v>3615829.7719193976</v>
      </c>
      <c r="Y99" s="97">
        <f t="shared" si="53"/>
        <v>3615829.7719193976</v>
      </c>
      <c r="Z99" s="97">
        <f t="shared" si="53"/>
        <v>3615829.7719193976</v>
      </c>
      <c r="AA99" s="97">
        <f t="shared" si="53"/>
        <v>3615829.7719193976</v>
      </c>
      <c r="AB99" s="97">
        <f t="shared" si="53"/>
        <v>3615829.7719193976</v>
      </c>
      <c r="AC99" s="97">
        <f t="shared" si="53"/>
        <v>3615829.7719193976</v>
      </c>
      <c r="AD99" s="97">
        <f t="shared" si="53"/>
        <v>3615829.7719193976</v>
      </c>
      <c r="AE99" s="97">
        <f t="shared" si="53"/>
        <v>3615829.7719193976</v>
      </c>
      <c r="AF99" s="97">
        <f t="shared" si="53"/>
        <v>3615829.7719193976</v>
      </c>
      <c r="AG99" s="97">
        <f t="shared" si="53"/>
        <v>3615829.7719193976</v>
      </c>
      <c r="AH99" s="97">
        <f t="shared" si="53"/>
        <v>3615829.7719193976</v>
      </c>
      <c r="AI99" s="97">
        <f t="shared" si="53"/>
        <v>3615829.7719193976</v>
      </c>
      <c r="AJ99" s="97">
        <f t="shared" si="53"/>
        <v>3615829.7719193976</v>
      </c>
      <c r="AK99" s="97">
        <f t="shared" si="53"/>
        <v>3615829.7719193976</v>
      </c>
      <c r="AL99" s="97">
        <f t="shared" si="53"/>
        <v>3615829.7719193976</v>
      </c>
      <c r="AM99" s="97">
        <f t="shared" si="53"/>
        <v>3615829.7719193976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16947682.597047973</v>
      </c>
      <c r="L100" s="97">
        <f t="shared" si="52"/>
        <v>33293479.120088503</v>
      </c>
      <c r="M100" s="1"/>
      <c r="N100" s="1"/>
      <c r="O100" s="97">
        <f>O29</f>
        <v>10500745.048619796</v>
      </c>
      <c r="P100" s="97">
        <f t="shared" ref="P100:AM100" si="54">P29</f>
        <v>0</v>
      </c>
      <c r="Q100" s="97">
        <f t="shared" si="54"/>
        <v>0</v>
      </c>
      <c r="R100" s="97">
        <f t="shared" si="54"/>
        <v>0</v>
      </c>
      <c r="S100" s="97">
        <f t="shared" si="54"/>
        <v>4627416.8325103205</v>
      </c>
      <c r="T100" s="97">
        <f t="shared" si="54"/>
        <v>0</v>
      </c>
      <c r="U100" s="97">
        <f t="shared" si="54"/>
        <v>0</v>
      </c>
      <c r="V100" s="97">
        <f t="shared" si="54"/>
        <v>414811.16858991171</v>
      </c>
      <c r="W100" s="97">
        <f t="shared" si="54"/>
        <v>593554.54468889139</v>
      </c>
      <c r="X100" s="97">
        <f t="shared" si="54"/>
        <v>0</v>
      </c>
      <c r="Y100" s="97">
        <f t="shared" si="54"/>
        <v>4595961.8608947229</v>
      </c>
      <c r="Z100" s="97">
        <f t="shared" si="54"/>
        <v>0</v>
      </c>
      <c r="AA100" s="97">
        <f t="shared" si="54"/>
        <v>1883882.1860244903</v>
      </c>
      <c r="AB100" s="97">
        <f t="shared" si="54"/>
        <v>0</v>
      </c>
      <c r="AC100" s="97">
        <f t="shared" si="54"/>
        <v>0</v>
      </c>
      <c r="AD100" s="97">
        <f t="shared" si="54"/>
        <v>5010321.4954201402</v>
      </c>
      <c r="AE100" s="97">
        <f t="shared" si="54"/>
        <v>78978.747551102293</v>
      </c>
      <c r="AF100" s="97">
        <f t="shared" si="54"/>
        <v>515027.33120228339</v>
      </c>
      <c r="AG100" s="97">
        <f t="shared" si="54"/>
        <v>0</v>
      </c>
      <c r="AH100" s="97">
        <f t="shared" si="54"/>
        <v>0</v>
      </c>
      <c r="AI100" s="97">
        <f t="shared" si="54"/>
        <v>4626965.2984458264</v>
      </c>
      <c r="AJ100" s="97">
        <f t="shared" si="54"/>
        <v>0</v>
      </c>
      <c r="AK100" s="97">
        <f t="shared" si="54"/>
        <v>414811.16858991171</v>
      </c>
      <c r="AL100" s="97">
        <f t="shared" si="54"/>
        <v>0</v>
      </c>
      <c r="AM100" s="97">
        <f t="shared" si="54"/>
        <v>31003.437551102299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7226424.8789769448</v>
      </c>
      <c r="L101" s="97">
        <f t="shared" si="52"/>
        <v>24794393.66944772</v>
      </c>
      <c r="M101" s="1"/>
      <c r="N101" s="1"/>
      <c r="O101" s="97">
        <f t="shared" ref="O101:AM101" si="55">O67</f>
        <v>0</v>
      </c>
      <c r="P101" s="97">
        <f t="shared" si="55"/>
        <v>5363057.002041406</v>
      </c>
      <c r="Q101" s="97">
        <f t="shared" si="55"/>
        <v>-278898.18111733958</v>
      </c>
      <c r="R101" s="97">
        <f t="shared" si="55"/>
        <v>-133062.44196327645</v>
      </c>
      <c r="S101" s="97">
        <f t="shared" si="55"/>
        <v>27257.831722762967</v>
      </c>
      <c r="T101" s="97">
        <f t="shared" si="55"/>
        <v>-256097.87373927451</v>
      </c>
      <c r="U101" s="97">
        <f t="shared" si="55"/>
        <v>-107997.58790088748</v>
      </c>
      <c r="V101" s="97">
        <f t="shared" si="55"/>
        <v>54812.149248028341</v>
      </c>
      <c r="W101" s="97">
        <f t="shared" si="55"/>
        <v>192592.88145626566</v>
      </c>
      <c r="X101" s="97">
        <f t="shared" si="55"/>
        <v>326305.16766218457</v>
      </c>
      <c r="Y101" s="97">
        <f t="shared" si="55"/>
        <v>532250.23841845558</v>
      </c>
      <c r="Z101" s="97">
        <f t="shared" si="55"/>
        <v>302174.96079125395</v>
      </c>
      <c r="AA101" s="97">
        <f t="shared" si="55"/>
        <v>505723.39806993492</v>
      </c>
      <c r="AB101" s="97">
        <f t="shared" si="55"/>
        <v>542379.60200352466</v>
      </c>
      <c r="AC101" s="97">
        <f t="shared" si="55"/>
        <v>769785.37658897217</v>
      </c>
      <c r="AD101" s="97">
        <f t="shared" si="55"/>
        <v>1019777.2937335768</v>
      </c>
      <c r="AE101" s="97">
        <f t="shared" si="55"/>
        <v>796969.06901940983</v>
      </c>
      <c r="AF101" s="97">
        <f t="shared" si="55"/>
        <v>1041816.6555024588</v>
      </c>
      <c r="AG101" s="97">
        <f t="shared" si="55"/>
        <v>1267673.9899245612</v>
      </c>
      <c r="AH101" s="97">
        <f t="shared" si="55"/>
        <v>1567116.6442805605</v>
      </c>
      <c r="AI101" s="97">
        <f t="shared" si="55"/>
        <v>1896300.2077753281</v>
      </c>
      <c r="AJ101" s="97">
        <f t="shared" si="55"/>
        <v>1798624.2901038774</v>
      </c>
      <c r="AK101" s="97">
        <f t="shared" si="55"/>
        <v>2150801.3976352126</v>
      </c>
      <c r="AL101" s="97">
        <f t="shared" si="55"/>
        <v>2496757.6348535279</v>
      </c>
      <c r="AM101" s="97">
        <f t="shared" si="55"/>
        <v>2918273.963337196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-2581126.4695889745</v>
      </c>
      <c r="L102" s="99">
        <f t="shared" ref="L102" si="56">SUM(L103:L104)</f>
        <v>-7373309.5349732619</v>
      </c>
      <c r="M102" s="1"/>
      <c r="N102" s="1"/>
      <c r="O102" s="99">
        <f t="shared" ref="O102:AM102" si="57">SUM(O103:O104)</f>
        <v>-101004.24020511303</v>
      </c>
      <c r="P102" s="99">
        <f t="shared" si="57"/>
        <v>-303012.72061533947</v>
      </c>
      <c r="Q102" s="99">
        <f t="shared" si="57"/>
        <v>-303012.72061533947</v>
      </c>
      <c r="R102" s="99">
        <f t="shared" si="57"/>
        <v>-303012.72061533947</v>
      </c>
      <c r="S102" s="99">
        <f t="shared" si="57"/>
        <v>-303012.72061533947</v>
      </c>
      <c r="T102" s="99">
        <f t="shared" si="57"/>
        <v>-303012.72061533947</v>
      </c>
      <c r="U102" s="99">
        <f t="shared" si="57"/>
        <v>-303012.72061533947</v>
      </c>
      <c r="V102" s="99">
        <f t="shared" si="57"/>
        <v>-303012.72061533947</v>
      </c>
      <c r="W102" s="99">
        <f t="shared" si="57"/>
        <v>-303012.72061533947</v>
      </c>
      <c r="X102" s="99">
        <f t="shared" si="57"/>
        <v>-303012.72061533947</v>
      </c>
      <c r="Y102" s="99">
        <f t="shared" si="57"/>
        <v>-303012.72061533947</v>
      </c>
      <c r="Z102" s="99">
        <f t="shared" si="57"/>
        <v>-303012.72061533947</v>
      </c>
      <c r="AA102" s="99">
        <f t="shared" si="57"/>
        <v>-303012.72061533947</v>
      </c>
      <c r="AB102" s="99">
        <f t="shared" si="57"/>
        <v>-303012.72061533947</v>
      </c>
      <c r="AC102" s="99">
        <f t="shared" si="57"/>
        <v>-303012.72061533947</v>
      </c>
      <c r="AD102" s="99">
        <f t="shared" si="57"/>
        <v>-303012.72061533947</v>
      </c>
      <c r="AE102" s="99">
        <f t="shared" si="57"/>
        <v>-303012.72061533947</v>
      </c>
      <c r="AF102" s="99">
        <f t="shared" si="57"/>
        <v>-303012.72061533947</v>
      </c>
      <c r="AG102" s="99">
        <f t="shared" si="57"/>
        <v>-303012.72061533947</v>
      </c>
      <c r="AH102" s="99">
        <f t="shared" si="57"/>
        <v>-303012.72061533947</v>
      </c>
      <c r="AI102" s="99">
        <f t="shared" si="57"/>
        <v>-303012.72061533947</v>
      </c>
      <c r="AJ102" s="99">
        <f t="shared" si="57"/>
        <v>-303012.72061533947</v>
      </c>
      <c r="AK102" s="99">
        <f t="shared" si="57"/>
        <v>-303012.72061533947</v>
      </c>
      <c r="AL102" s="99">
        <f t="shared" si="57"/>
        <v>-303012.72061533947</v>
      </c>
      <c r="AM102" s="99">
        <f t="shared" si="57"/>
        <v>-303012.72061533947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-1667453.3830088058</v>
      </c>
      <c r="L103" s="54">
        <f t="shared" ref="L103:L104" si="58">SUM(O103:AV103)</f>
        <v>-4763288.4606464449</v>
      </c>
      <c r="M103" s="1"/>
      <c r="N103" s="1"/>
      <c r="O103" s="54">
        <f t="shared" ref="O103:AM104" si="59">-O205</f>
        <v>-65250.526858170364</v>
      </c>
      <c r="P103" s="54">
        <f t="shared" si="59"/>
        <v>-195751.58057451132</v>
      </c>
      <c r="Q103" s="54">
        <f t="shared" si="59"/>
        <v>-195751.58057451132</v>
      </c>
      <c r="R103" s="54">
        <f t="shared" si="59"/>
        <v>-195751.58057451132</v>
      </c>
      <c r="S103" s="54">
        <f t="shared" si="59"/>
        <v>-195751.58057451132</v>
      </c>
      <c r="T103" s="54">
        <f t="shared" si="59"/>
        <v>-195751.58057451132</v>
      </c>
      <c r="U103" s="54">
        <f t="shared" si="59"/>
        <v>-195751.58057451132</v>
      </c>
      <c r="V103" s="54">
        <f t="shared" si="59"/>
        <v>-195751.58057451132</v>
      </c>
      <c r="W103" s="54">
        <f t="shared" si="59"/>
        <v>-195751.58057451132</v>
      </c>
      <c r="X103" s="54">
        <f t="shared" si="59"/>
        <v>-195751.58057451132</v>
      </c>
      <c r="Y103" s="54">
        <f t="shared" si="59"/>
        <v>-195751.58057451132</v>
      </c>
      <c r="Z103" s="54">
        <f t="shared" si="59"/>
        <v>-195751.58057451132</v>
      </c>
      <c r="AA103" s="54">
        <f t="shared" si="59"/>
        <v>-195751.58057451132</v>
      </c>
      <c r="AB103" s="54">
        <f t="shared" si="59"/>
        <v>-195751.58057451132</v>
      </c>
      <c r="AC103" s="54">
        <f t="shared" si="59"/>
        <v>-195751.58057451132</v>
      </c>
      <c r="AD103" s="54">
        <f t="shared" si="59"/>
        <v>-195751.58057451132</v>
      </c>
      <c r="AE103" s="54">
        <f t="shared" si="59"/>
        <v>-195751.58057451132</v>
      </c>
      <c r="AF103" s="54">
        <f t="shared" si="59"/>
        <v>-195751.58057451132</v>
      </c>
      <c r="AG103" s="54">
        <f t="shared" si="59"/>
        <v>-195751.58057451132</v>
      </c>
      <c r="AH103" s="54">
        <f t="shared" si="59"/>
        <v>-195751.58057451132</v>
      </c>
      <c r="AI103" s="54">
        <f t="shared" si="59"/>
        <v>-195751.58057451132</v>
      </c>
      <c r="AJ103" s="54">
        <f t="shared" si="59"/>
        <v>-195751.58057451132</v>
      </c>
      <c r="AK103" s="54">
        <f t="shared" si="59"/>
        <v>-195751.58057451132</v>
      </c>
      <c r="AL103" s="54">
        <f t="shared" si="59"/>
        <v>-195751.58057451132</v>
      </c>
      <c r="AM103" s="54">
        <f t="shared" si="59"/>
        <v>-195751.58057451132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-913673.08658016776</v>
      </c>
      <c r="L104" s="102">
        <f t="shared" si="58"/>
        <v>-2610021.0743268169</v>
      </c>
      <c r="M104" s="1"/>
      <c r="N104" s="1"/>
      <c r="O104" s="102">
        <f t="shared" si="59"/>
        <v>-35753.71334694267</v>
      </c>
      <c r="P104" s="102">
        <f t="shared" si="59"/>
        <v>-107261.14004082812</v>
      </c>
      <c r="Q104" s="102">
        <f t="shared" si="59"/>
        <v>-107261.14004082812</v>
      </c>
      <c r="R104" s="102">
        <f t="shared" si="59"/>
        <v>-107261.14004082812</v>
      </c>
      <c r="S104" s="102">
        <f t="shared" si="59"/>
        <v>-107261.14004082812</v>
      </c>
      <c r="T104" s="102">
        <f t="shared" si="59"/>
        <v>-107261.14004082812</v>
      </c>
      <c r="U104" s="102">
        <f t="shared" si="59"/>
        <v>-107261.14004082812</v>
      </c>
      <c r="V104" s="102">
        <f t="shared" si="59"/>
        <v>-107261.14004082812</v>
      </c>
      <c r="W104" s="102">
        <f t="shared" si="59"/>
        <v>-107261.14004082812</v>
      </c>
      <c r="X104" s="102">
        <f t="shared" si="59"/>
        <v>-107261.14004082812</v>
      </c>
      <c r="Y104" s="102">
        <f t="shared" si="59"/>
        <v>-107261.14004082812</v>
      </c>
      <c r="Z104" s="102">
        <f t="shared" si="59"/>
        <v>-107261.14004082812</v>
      </c>
      <c r="AA104" s="102">
        <f t="shared" si="59"/>
        <v>-107261.14004082812</v>
      </c>
      <c r="AB104" s="102">
        <f t="shared" si="59"/>
        <v>-107261.14004082812</v>
      </c>
      <c r="AC104" s="102">
        <f t="shared" si="59"/>
        <v>-107261.14004082812</v>
      </c>
      <c r="AD104" s="102">
        <f t="shared" si="59"/>
        <v>-107261.14004082812</v>
      </c>
      <c r="AE104" s="102">
        <f t="shared" si="59"/>
        <v>-107261.14004082812</v>
      </c>
      <c r="AF104" s="102">
        <f t="shared" si="59"/>
        <v>-107261.14004082812</v>
      </c>
      <c r="AG104" s="102">
        <f t="shared" si="59"/>
        <v>-107261.14004082812</v>
      </c>
      <c r="AH104" s="102">
        <f t="shared" si="59"/>
        <v>-107261.14004082812</v>
      </c>
      <c r="AI104" s="102">
        <f t="shared" si="59"/>
        <v>-107261.14004082812</v>
      </c>
      <c r="AJ104" s="102">
        <f t="shared" si="59"/>
        <v>-107261.14004082812</v>
      </c>
      <c r="AK104" s="102">
        <f t="shared" si="59"/>
        <v>-107261.14004082812</v>
      </c>
      <c r="AL104" s="102">
        <f t="shared" si="59"/>
        <v>-107261.14004082812</v>
      </c>
      <c r="AM104" s="102">
        <f t="shared" si="59"/>
        <v>-107261.14004082812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60">K98+K102</f>
        <v>52393384.088116206</v>
      </c>
      <c r="L105" s="69">
        <f t="shared" si="60"/>
        <v>138699754.37126833</v>
      </c>
      <c r="M105" s="1"/>
      <c r="N105" s="1"/>
      <c r="O105" s="69">
        <f t="shared" ref="O105:AM105" si="61">O98+O102</f>
        <v>11605017.399054481</v>
      </c>
      <c r="P105" s="69">
        <f t="shared" si="61"/>
        <v>3312817.0513040582</v>
      </c>
      <c r="Q105" s="69">
        <f t="shared" si="61"/>
        <v>3312817.0513040582</v>
      </c>
      <c r="R105" s="69">
        <f t="shared" si="61"/>
        <v>3312817.0513040582</v>
      </c>
      <c r="S105" s="69">
        <f t="shared" si="61"/>
        <v>7940233.8838143786</v>
      </c>
      <c r="T105" s="69">
        <f t="shared" si="61"/>
        <v>3312817.0513040582</v>
      </c>
      <c r="U105" s="69">
        <f t="shared" si="61"/>
        <v>3312817.0513040582</v>
      </c>
      <c r="V105" s="69">
        <f t="shared" si="61"/>
        <v>3727628.2198939701</v>
      </c>
      <c r="W105" s="69">
        <f t="shared" si="61"/>
        <v>3906371.5959929498</v>
      </c>
      <c r="X105" s="69">
        <f t="shared" si="61"/>
        <v>3312817.0513040582</v>
      </c>
      <c r="Y105" s="69">
        <f t="shared" si="61"/>
        <v>7908778.912198781</v>
      </c>
      <c r="Z105" s="69">
        <f t="shared" si="61"/>
        <v>3312817.0513040582</v>
      </c>
      <c r="AA105" s="69">
        <f t="shared" si="61"/>
        <v>5196699.2373285489</v>
      </c>
      <c r="AB105" s="69">
        <f t="shared" si="61"/>
        <v>3312817.0513040582</v>
      </c>
      <c r="AC105" s="69">
        <f t="shared" si="61"/>
        <v>3312817.0513040582</v>
      </c>
      <c r="AD105" s="69">
        <f t="shared" si="61"/>
        <v>8323138.5467241993</v>
      </c>
      <c r="AE105" s="69">
        <f t="shared" si="61"/>
        <v>3391795.7988551604</v>
      </c>
      <c r="AF105" s="69">
        <f t="shared" si="61"/>
        <v>3827844.3825063417</v>
      </c>
      <c r="AG105" s="69">
        <f t="shared" si="61"/>
        <v>3312817.0513040582</v>
      </c>
      <c r="AH105" s="69">
        <f t="shared" si="61"/>
        <v>3312817.0513040582</v>
      </c>
      <c r="AI105" s="69">
        <f t="shared" si="61"/>
        <v>7939782.3497498846</v>
      </c>
      <c r="AJ105" s="69">
        <f t="shared" si="61"/>
        <v>3312817.0513040582</v>
      </c>
      <c r="AK105" s="69">
        <f t="shared" si="61"/>
        <v>3727628.2198939701</v>
      </c>
      <c r="AL105" s="69">
        <f t="shared" si="61"/>
        <v>3312817.0513040582</v>
      </c>
      <c r="AM105" s="69">
        <f t="shared" si="61"/>
        <v>3343820.4888551603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-21065026.932787452</v>
      </c>
      <c r="L106" s="97">
        <f t="shared" ref="L106:L107" si="62">SUM(O106:AV106)</f>
        <v>-58835225.636226192</v>
      </c>
      <c r="M106" s="1"/>
      <c r="N106" s="1"/>
      <c r="O106" s="97">
        <f t="shared" ref="O106:AM106" si="63">-SUM(O11)</f>
        <v>-1517216.4138084308</v>
      </c>
      <c r="P106" s="97">
        <f t="shared" si="63"/>
        <v>-2381185.6571947243</v>
      </c>
      <c r="Q106" s="97">
        <f t="shared" si="63"/>
        <v>-2437432.8809328228</v>
      </c>
      <c r="R106" s="97">
        <f t="shared" si="63"/>
        <v>-2379576.7400941118</v>
      </c>
      <c r="S106" s="97">
        <f t="shared" si="63"/>
        <v>-2391948.1038322099</v>
      </c>
      <c r="T106" s="97">
        <f t="shared" si="63"/>
        <v>-2421843.6829934991</v>
      </c>
      <c r="U106" s="97">
        <f t="shared" si="63"/>
        <v>-2390339.1867315979</v>
      </c>
      <c r="V106" s="97">
        <f t="shared" si="63"/>
        <v>-2420234.7658928866</v>
      </c>
      <c r="W106" s="97">
        <f t="shared" si="63"/>
        <v>-2388730.2696309853</v>
      </c>
      <c r="X106" s="97">
        <f t="shared" si="63"/>
        <v>-2374749.9887922746</v>
      </c>
      <c r="Y106" s="97">
        <f t="shared" si="63"/>
        <v>-2430997.2125303731</v>
      </c>
      <c r="Z106" s="97">
        <f t="shared" si="63"/>
        <v>-2373141.0716916621</v>
      </c>
      <c r="AA106" s="97">
        <f t="shared" si="63"/>
        <v>-2429388.2954297606</v>
      </c>
      <c r="AB106" s="97">
        <f t="shared" si="63"/>
        <v>-2371532.1545910495</v>
      </c>
      <c r="AC106" s="97">
        <f t="shared" si="63"/>
        <v>-2383903.5183291482</v>
      </c>
      <c r="AD106" s="97">
        <f t="shared" si="63"/>
        <v>-2413799.0974904369</v>
      </c>
      <c r="AE106" s="97">
        <f t="shared" si="63"/>
        <v>-2382294.6012285356</v>
      </c>
      <c r="AF106" s="97">
        <f t="shared" si="63"/>
        <v>-2412190.1803898248</v>
      </c>
      <c r="AG106" s="97">
        <f t="shared" si="63"/>
        <v>-2380685.6841279231</v>
      </c>
      <c r="AH106" s="97">
        <f t="shared" si="63"/>
        <v>-2366705.4032892124</v>
      </c>
      <c r="AI106" s="97">
        <f t="shared" si="63"/>
        <v>-2422952.6270273109</v>
      </c>
      <c r="AJ106" s="97">
        <f t="shared" si="63"/>
        <v>-2365096.4861885998</v>
      </c>
      <c r="AK106" s="97">
        <f t="shared" si="63"/>
        <v>-2421343.7099266988</v>
      </c>
      <c r="AL106" s="97">
        <f t="shared" si="63"/>
        <v>-2363487.5690879873</v>
      </c>
      <c r="AM106" s="97">
        <f t="shared" si="63"/>
        <v>-2214450.3349941219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-16947682.597047973</v>
      </c>
      <c r="L107" s="102">
        <f t="shared" si="62"/>
        <v>-33293479.120088503</v>
      </c>
      <c r="M107" s="1"/>
      <c r="N107" s="1"/>
      <c r="O107" s="102">
        <f>-O29</f>
        <v>-10500745.048619796</v>
      </c>
      <c r="P107" s="102">
        <f t="shared" ref="P107:AM107" si="64">-P29</f>
        <v>0</v>
      </c>
      <c r="Q107" s="102">
        <f t="shared" si="64"/>
        <v>0</v>
      </c>
      <c r="R107" s="102">
        <f t="shared" si="64"/>
        <v>0</v>
      </c>
      <c r="S107" s="102">
        <f t="shared" si="64"/>
        <v>-4627416.8325103205</v>
      </c>
      <c r="T107" s="102">
        <f t="shared" si="64"/>
        <v>0</v>
      </c>
      <c r="U107" s="102">
        <f t="shared" si="64"/>
        <v>0</v>
      </c>
      <c r="V107" s="102">
        <f t="shared" si="64"/>
        <v>-414811.16858991171</v>
      </c>
      <c r="W107" s="102">
        <f t="shared" si="64"/>
        <v>-593554.54468889139</v>
      </c>
      <c r="X107" s="102">
        <f t="shared" si="64"/>
        <v>0</v>
      </c>
      <c r="Y107" s="102">
        <f t="shared" si="64"/>
        <v>-4595961.8608947229</v>
      </c>
      <c r="Z107" s="102">
        <f t="shared" si="64"/>
        <v>0</v>
      </c>
      <c r="AA107" s="102">
        <f t="shared" si="64"/>
        <v>-1883882.1860244903</v>
      </c>
      <c r="AB107" s="102">
        <f t="shared" si="64"/>
        <v>0</v>
      </c>
      <c r="AC107" s="102">
        <f t="shared" si="64"/>
        <v>0</v>
      </c>
      <c r="AD107" s="102">
        <f t="shared" si="64"/>
        <v>-5010321.4954201402</v>
      </c>
      <c r="AE107" s="102">
        <f t="shared" si="64"/>
        <v>-78978.747551102293</v>
      </c>
      <c r="AF107" s="102">
        <f t="shared" si="64"/>
        <v>-515027.33120228339</v>
      </c>
      <c r="AG107" s="102">
        <f t="shared" si="64"/>
        <v>0</v>
      </c>
      <c r="AH107" s="102">
        <f t="shared" si="64"/>
        <v>0</v>
      </c>
      <c r="AI107" s="102">
        <f t="shared" si="64"/>
        <v>-4626965.2984458264</v>
      </c>
      <c r="AJ107" s="102">
        <f t="shared" si="64"/>
        <v>0</v>
      </c>
      <c r="AK107" s="102">
        <f t="shared" si="64"/>
        <v>-414811.16858991171</v>
      </c>
      <c r="AL107" s="102">
        <f t="shared" si="64"/>
        <v>0</v>
      </c>
      <c r="AM107" s="102">
        <f t="shared" si="64"/>
        <v>-31003.437551102299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65">K105+SUM(K106:K107)</f>
        <v>14380674.558280781</v>
      </c>
      <c r="L108" s="75">
        <f t="shared" si="65"/>
        <v>46571049.614953637</v>
      </c>
      <c r="M108" s="1"/>
      <c r="N108" s="1"/>
      <c r="O108" s="75">
        <f t="shared" ref="O108:AM108" si="66">O105+SUM(O106:O107)</f>
        <v>-412944.06337374635</v>
      </c>
      <c r="P108" s="75">
        <f t="shared" si="66"/>
        <v>931631.39410933387</v>
      </c>
      <c r="Q108" s="75">
        <f t="shared" si="66"/>
        <v>875384.17037123535</v>
      </c>
      <c r="R108" s="75">
        <f t="shared" si="66"/>
        <v>933240.31120994641</v>
      </c>
      <c r="S108" s="75">
        <f t="shared" si="66"/>
        <v>920868.94747184869</v>
      </c>
      <c r="T108" s="75">
        <f t="shared" si="66"/>
        <v>890973.36831055908</v>
      </c>
      <c r="U108" s="75">
        <f t="shared" si="66"/>
        <v>922477.8645724603</v>
      </c>
      <c r="V108" s="75">
        <f t="shared" si="66"/>
        <v>892582.28541117162</v>
      </c>
      <c r="W108" s="75">
        <f t="shared" si="66"/>
        <v>924086.78167307284</v>
      </c>
      <c r="X108" s="75">
        <f t="shared" si="66"/>
        <v>938067.06251178356</v>
      </c>
      <c r="Y108" s="75">
        <f t="shared" si="66"/>
        <v>881819.83877368551</v>
      </c>
      <c r="Z108" s="75">
        <f t="shared" si="66"/>
        <v>939675.9796123961</v>
      </c>
      <c r="AA108" s="75">
        <f t="shared" si="66"/>
        <v>883428.75587429758</v>
      </c>
      <c r="AB108" s="75">
        <f t="shared" si="66"/>
        <v>941284.89671300864</v>
      </c>
      <c r="AC108" s="75">
        <f t="shared" si="66"/>
        <v>928913.53297490999</v>
      </c>
      <c r="AD108" s="75">
        <f t="shared" si="66"/>
        <v>899017.95381362271</v>
      </c>
      <c r="AE108" s="75">
        <f t="shared" si="66"/>
        <v>930522.45007552253</v>
      </c>
      <c r="AF108" s="75">
        <f t="shared" si="66"/>
        <v>900626.87091423338</v>
      </c>
      <c r="AG108" s="75">
        <f t="shared" si="66"/>
        <v>932131.36717613507</v>
      </c>
      <c r="AH108" s="75">
        <f t="shared" si="66"/>
        <v>946111.64801484579</v>
      </c>
      <c r="AI108" s="75">
        <f t="shared" si="66"/>
        <v>889864.42427674774</v>
      </c>
      <c r="AJ108" s="75">
        <f t="shared" si="66"/>
        <v>947720.56511545833</v>
      </c>
      <c r="AK108" s="75">
        <f t="shared" si="66"/>
        <v>891473.34137735935</v>
      </c>
      <c r="AL108" s="75">
        <f t="shared" si="66"/>
        <v>949329.48221607087</v>
      </c>
      <c r="AM108" s="75">
        <f t="shared" si="66"/>
        <v>1098366.7163099363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>
        <f t="shared" ref="K109:L109" si="67">IFERROR(K108/K$105,0)</f>
        <v>0.27447500879300113</v>
      </c>
      <c r="L109" s="105">
        <f t="shared" si="67"/>
        <v>0.33576879660719022</v>
      </c>
      <c r="M109" s="1"/>
      <c r="N109" s="1"/>
      <c r="O109" s="105">
        <f t="shared" ref="O109:AM109" si="68">IFERROR(O108/O$105,0)</f>
        <v>-3.5583235179586288E-2</v>
      </c>
      <c r="P109" s="105">
        <f t="shared" si="68"/>
        <v>0.28122029670868975</v>
      </c>
      <c r="Q109" s="105">
        <f t="shared" si="68"/>
        <v>0.26424162783955996</v>
      </c>
      <c r="R109" s="105">
        <f t="shared" si="68"/>
        <v>0.28170596104683338</v>
      </c>
      <c r="S109" s="105">
        <f t="shared" si="68"/>
        <v>0.11597504065327052</v>
      </c>
      <c r="T109" s="105">
        <f t="shared" si="68"/>
        <v>0.26894735040072199</v>
      </c>
      <c r="U109" s="105">
        <f t="shared" si="68"/>
        <v>0.27845723150010226</v>
      </c>
      <c r="V109" s="105">
        <f t="shared" si="68"/>
        <v>0.23945045824246941</v>
      </c>
      <c r="W109" s="105">
        <f t="shared" si="68"/>
        <v>0.23655885236851917</v>
      </c>
      <c r="X109" s="105">
        <f t="shared" si="68"/>
        <v>0.28316295406126413</v>
      </c>
      <c r="Y109" s="105">
        <f t="shared" si="68"/>
        <v>0.11149886076768885</v>
      </c>
      <c r="Z109" s="105">
        <f t="shared" si="68"/>
        <v>0.2836486183994078</v>
      </c>
      <c r="AA109" s="105">
        <f t="shared" si="68"/>
        <v>0.16999805367386223</v>
      </c>
      <c r="AB109" s="105">
        <f t="shared" si="68"/>
        <v>0.28413428273755142</v>
      </c>
      <c r="AC109" s="105">
        <f t="shared" si="68"/>
        <v>0.28039988885267669</v>
      </c>
      <c r="AD109" s="105">
        <f t="shared" si="68"/>
        <v>0.10801429638191665</v>
      </c>
      <c r="AE109" s="105">
        <f t="shared" si="68"/>
        <v>0.27434506829379401</v>
      </c>
      <c r="AF109" s="105">
        <f t="shared" si="68"/>
        <v>0.23528304207720527</v>
      </c>
      <c r="AG109" s="105">
        <f t="shared" si="68"/>
        <v>0.28137121752896394</v>
      </c>
      <c r="AH109" s="105">
        <f t="shared" si="68"/>
        <v>0.28559127575198218</v>
      </c>
      <c r="AI109" s="105">
        <f t="shared" si="68"/>
        <v>0.11207667730397923</v>
      </c>
      <c r="AJ109" s="105">
        <f t="shared" si="68"/>
        <v>0.2860769400901258</v>
      </c>
      <c r="AK109" s="105">
        <f t="shared" si="68"/>
        <v>0.23915296504615385</v>
      </c>
      <c r="AL109" s="105">
        <f t="shared" si="68"/>
        <v>0.28656260442826947</v>
      </c>
      <c r="AM109" s="105">
        <f t="shared" si="68"/>
        <v>0.32847657940094427</v>
      </c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69">SUM(O110:AV110)</f>
        <v>0</v>
      </c>
      <c r="M110" s="1"/>
      <c r="N110" s="1"/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22109676.126305081</v>
      </c>
      <c r="L111" s="102">
        <f t="shared" si="69"/>
        <v>67310256.269083247</v>
      </c>
      <c r="M111" s="1"/>
      <c r="N111" s="1"/>
      <c r="O111" s="102">
        <f t="shared" ref="O111:AM111" si="70">O70</f>
        <v>582409.07670733554</v>
      </c>
      <c r="P111" s="102">
        <f t="shared" si="70"/>
        <v>7110284.2321634144</v>
      </c>
      <c r="Q111" s="102">
        <f t="shared" si="70"/>
        <v>1468329.0490046688</v>
      </c>
      <c r="R111" s="102">
        <f t="shared" si="70"/>
        <v>1614164.788158732</v>
      </c>
      <c r="S111" s="102">
        <f t="shared" si="70"/>
        <v>1774485.0618447713</v>
      </c>
      <c r="T111" s="102">
        <f t="shared" si="70"/>
        <v>1491129.3563827339</v>
      </c>
      <c r="U111" s="102">
        <f t="shared" si="70"/>
        <v>1639229.6422211209</v>
      </c>
      <c r="V111" s="102">
        <f t="shared" si="70"/>
        <v>1802039.3793700368</v>
      </c>
      <c r="W111" s="102">
        <f t="shared" si="70"/>
        <v>1939820.1115782741</v>
      </c>
      <c r="X111" s="102">
        <f t="shared" si="70"/>
        <v>2073532.397784193</v>
      </c>
      <c r="Y111" s="102">
        <f t="shared" si="70"/>
        <v>2279477.4685404641</v>
      </c>
      <c r="Z111" s="102">
        <f t="shared" si="70"/>
        <v>2049402.1909132623</v>
      </c>
      <c r="AA111" s="102">
        <f t="shared" si="70"/>
        <v>2252950.6281919433</v>
      </c>
      <c r="AB111" s="102">
        <f t="shared" si="70"/>
        <v>2289606.8321255329</v>
      </c>
      <c r="AC111" s="102">
        <f t="shared" si="70"/>
        <v>2517012.6067109806</v>
      </c>
      <c r="AD111" s="102">
        <f t="shared" si="70"/>
        <v>2767004.5238555851</v>
      </c>
      <c r="AE111" s="102">
        <f t="shared" si="70"/>
        <v>2544196.2991414182</v>
      </c>
      <c r="AF111" s="102">
        <f t="shared" si="70"/>
        <v>2789043.8856244674</v>
      </c>
      <c r="AG111" s="102">
        <f t="shared" si="70"/>
        <v>3014901.2200465696</v>
      </c>
      <c r="AH111" s="102">
        <f t="shared" si="70"/>
        <v>3314343.8744025687</v>
      </c>
      <c r="AI111" s="102">
        <f t="shared" si="70"/>
        <v>3643527.4378973367</v>
      </c>
      <c r="AJ111" s="102">
        <f t="shared" si="70"/>
        <v>3545851.5202258858</v>
      </c>
      <c r="AK111" s="102">
        <f t="shared" si="70"/>
        <v>3898028.627757221</v>
      </c>
      <c r="AL111" s="102">
        <f t="shared" si="70"/>
        <v>4243984.8649755362</v>
      </c>
      <c r="AM111" s="102">
        <f t="shared" si="70"/>
        <v>4665501.1934592044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71">K108+K110+K111</f>
        <v>36490350.684585862</v>
      </c>
      <c r="L112" s="75">
        <f t="shared" si="71"/>
        <v>113881305.88403688</v>
      </c>
      <c r="M112" s="1"/>
      <c r="N112" s="1"/>
      <c r="O112" s="75">
        <f t="shared" ref="O112:AM112" si="72">O108+O110+O111</f>
        <v>169465.01333358919</v>
      </c>
      <c r="P112" s="75">
        <f t="shared" si="72"/>
        <v>8041915.6262727482</v>
      </c>
      <c r="Q112" s="75">
        <f t="shared" si="72"/>
        <v>2343713.2193759042</v>
      </c>
      <c r="R112" s="75">
        <f t="shared" si="72"/>
        <v>2547405.0993686784</v>
      </c>
      <c r="S112" s="75">
        <f t="shared" si="72"/>
        <v>2695354.00931662</v>
      </c>
      <c r="T112" s="75">
        <f t="shared" si="72"/>
        <v>2382102.7246932928</v>
      </c>
      <c r="U112" s="75">
        <f t="shared" si="72"/>
        <v>2561707.5067935809</v>
      </c>
      <c r="V112" s="75">
        <f t="shared" si="72"/>
        <v>2694621.6647812082</v>
      </c>
      <c r="W112" s="75">
        <f t="shared" si="72"/>
        <v>2863906.8932513469</v>
      </c>
      <c r="X112" s="75">
        <f t="shared" si="72"/>
        <v>3011599.4602959766</v>
      </c>
      <c r="Y112" s="75">
        <f t="shared" si="72"/>
        <v>3161297.3073141496</v>
      </c>
      <c r="Z112" s="75">
        <f t="shared" si="72"/>
        <v>2989078.1705256584</v>
      </c>
      <c r="AA112" s="75">
        <f t="shared" si="72"/>
        <v>3136379.3840662409</v>
      </c>
      <c r="AB112" s="75">
        <f t="shared" si="72"/>
        <v>3230891.7288385415</v>
      </c>
      <c r="AC112" s="75">
        <f t="shared" si="72"/>
        <v>3445926.1396858906</v>
      </c>
      <c r="AD112" s="75">
        <f t="shared" si="72"/>
        <v>3666022.4776692078</v>
      </c>
      <c r="AE112" s="75">
        <f t="shared" si="72"/>
        <v>3474718.7492169407</v>
      </c>
      <c r="AF112" s="75">
        <f t="shared" si="72"/>
        <v>3689670.7565387008</v>
      </c>
      <c r="AG112" s="75">
        <f t="shared" si="72"/>
        <v>3947032.5872227047</v>
      </c>
      <c r="AH112" s="75">
        <f t="shared" si="72"/>
        <v>4260455.5224174149</v>
      </c>
      <c r="AI112" s="75">
        <f t="shared" si="72"/>
        <v>4533391.8621740844</v>
      </c>
      <c r="AJ112" s="75">
        <f t="shared" si="72"/>
        <v>4493572.0853413437</v>
      </c>
      <c r="AK112" s="75">
        <f t="shared" si="72"/>
        <v>4789501.9691345803</v>
      </c>
      <c r="AL112" s="75">
        <f t="shared" si="72"/>
        <v>5193314.3471916076</v>
      </c>
      <c r="AM112" s="75">
        <f t="shared" si="72"/>
        <v>5763867.9097691402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>
        <f t="shared" ref="K113:L113" si="73">IFERROR(K112/K$105,0)</f>
        <v>0.69646867289991587</v>
      </c>
      <c r="L113" s="105">
        <f t="shared" si="73"/>
        <v>0.82106350079901369</v>
      </c>
      <c r="M113" s="1"/>
      <c r="N113" s="1"/>
      <c r="O113" s="105">
        <f t="shared" ref="O113:AM113" si="74">IFERROR(O112/O$105,0)</f>
        <v>1.460273668761551E-2</v>
      </c>
      <c r="P113" s="105">
        <f t="shared" si="74"/>
        <v>2.4275157673156524</v>
      </c>
      <c r="Q113" s="105">
        <f t="shared" si="74"/>
        <v>0.70746835188297652</v>
      </c>
      <c r="R113" s="105">
        <f t="shared" si="74"/>
        <v>0.76895435513588573</v>
      </c>
      <c r="S113" s="105">
        <f t="shared" si="74"/>
        <v>0.33945524133878652</v>
      </c>
      <c r="T113" s="105">
        <f t="shared" si="74"/>
        <v>0.71905652736108716</v>
      </c>
      <c r="U113" s="105">
        <f t="shared" si="74"/>
        <v>0.77327164981392194</v>
      </c>
      <c r="V113" s="105">
        <f t="shared" si="74"/>
        <v>0.72287833062328699</v>
      </c>
      <c r="W113" s="105">
        <f t="shared" si="74"/>
        <v>0.73313734315216328</v>
      </c>
      <c r="X113" s="105">
        <f t="shared" si="74"/>
        <v>0.90907509037074352</v>
      </c>
      <c r="Y113" s="105">
        <f t="shared" si="74"/>
        <v>0.39972002535537471</v>
      </c>
      <c r="Z113" s="105">
        <f t="shared" si="74"/>
        <v>0.90227686112308458</v>
      </c>
      <c r="AA113" s="105">
        <f t="shared" si="74"/>
        <v>0.60353298138503575</v>
      </c>
      <c r="AB113" s="105">
        <f t="shared" si="74"/>
        <v>0.97527019415899607</v>
      </c>
      <c r="AC113" s="105">
        <f t="shared" si="74"/>
        <v>1.0401800299625465</v>
      </c>
      <c r="AD113" s="105">
        <f t="shared" si="74"/>
        <v>0.4404615466976784</v>
      </c>
      <c r="AE113" s="105">
        <f t="shared" si="74"/>
        <v>1.024448096312216</v>
      </c>
      <c r="AF113" s="105">
        <f t="shared" si="74"/>
        <v>0.96390301899442177</v>
      </c>
      <c r="AG113" s="105">
        <f t="shared" si="74"/>
        <v>1.1914429701661291</v>
      </c>
      <c r="AH113" s="105">
        <f t="shared" si="74"/>
        <v>1.286052159367004</v>
      </c>
      <c r="AI113" s="105">
        <f t="shared" si="74"/>
        <v>0.57097180533127501</v>
      </c>
      <c r="AJ113" s="105">
        <f t="shared" si="74"/>
        <v>1.3564202356337465</v>
      </c>
      <c r="AK113" s="105">
        <f t="shared" si="74"/>
        <v>1.2848657877342753</v>
      </c>
      <c r="AL113" s="105">
        <f t="shared" si="74"/>
        <v>1.5676429657192539</v>
      </c>
      <c r="AM113" s="105">
        <f t="shared" si="74"/>
        <v>1.7237372427676412</v>
      </c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75">K112+K114</f>
        <v>36490350.684585862</v>
      </c>
      <c r="L115" s="75">
        <f t="shared" si="75"/>
        <v>113881305.88403688</v>
      </c>
      <c r="M115" s="1"/>
      <c r="N115" s="1"/>
      <c r="O115" s="75">
        <f t="shared" ref="O115:AM115" si="76">O112+O114</f>
        <v>169465.01333358919</v>
      </c>
      <c r="P115" s="75">
        <f t="shared" si="76"/>
        <v>8041915.6262727482</v>
      </c>
      <c r="Q115" s="75">
        <f t="shared" si="76"/>
        <v>2343713.2193759042</v>
      </c>
      <c r="R115" s="75">
        <f t="shared" si="76"/>
        <v>2547405.0993686784</v>
      </c>
      <c r="S115" s="75">
        <f t="shared" si="76"/>
        <v>2695354.00931662</v>
      </c>
      <c r="T115" s="75">
        <f t="shared" si="76"/>
        <v>2382102.7246932928</v>
      </c>
      <c r="U115" s="75">
        <f t="shared" si="76"/>
        <v>2561707.5067935809</v>
      </c>
      <c r="V115" s="75">
        <f t="shared" si="76"/>
        <v>2694621.6647812082</v>
      </c>
      <c r="W115" s="75">
        <f t="shared" si="76"/>
        <v>2863906.8932513469</v>
      </c>
      <c r="X115" s="75">
        <f t="shared" si="76"/>
        <v>3011599.4602959766</v>
      </c>
      <c r="Y115" s="75">
        <f t="shared" si="76"/>
        <v>3161297.3073141496</v>
      </c>
      <c r="Z115" s="75">
        <f t="shared" si="76"/>
        <v>2989078.1705256584</v>
      </c>
      <c r="AA115" s="75">
        <f t="shared" si="76"/>
        <v>3136379.3840662409</v>
      </c>
      <c r="AB115" s="75">
        <f t="shared" si="76"/>
        <v>3230891.7288385415</v>
      </c>
      <c r="AC115" s="75">
        <f t="shared" si="76"/>
        <v>3445926.1396858906</v>
      </c>
      <c r="AD115" s="75">
        <f t="shared" si="76"/>
        <v>3666022.4776692078</v>
      </c>
      <c r="AE115" s="75">
        <f t="shared" si="76"/>
        <v>3474718.7492169407</v>
      </c>
      <c r="AF115" s="75">
        <f t="shared" si="76"/>
        <v>3689670.7565387008</v>
      </c>
      <c r="AG115" s="75">
        <f t="shared" si="76"/>
        <v>3947032.5872227047</v>
      </c>
      <c r="AH115" s="75">
        <f t="shared" si="76"/>
        <v>4260455.5224174149</v>
      </c>
      <c r="AI115" s="75">
        <f t="shared" si="76"/>
        <v>4533391.8621740844</v>
      </c>
      <c r="AJ115" s="75">
        <f t="shared" si="76"/>
        <v>4493572.0853413437</v>
      </c>
      <c r="AK115" s="75">
        <f t="shared" si="76"/>
        <v>4789501.9691345803</v>
      </c>
      <c r="AL115" s="75">
        <f t="shared" si="76"/>
        <v>5193314.3471916076</v>
      </c>
      <c r="AM115" s="75">
        <f t="shared" si="76"/>
        <v>5763867.9097691402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>
        <f t="shared" ref="K116:L116" si="77">IFERROR(K115/K$105,0)</f>
        <v>0.69646867289991587</v>
      </c>
      <c r="L116" s="105">
        <f t="shared" si="77"/>
        <v>0.82106350079901369</v>
      </c>
      <c r="M116" s="1"/>
      <c r="N116" s="1"/>
      <c r="O116" s="105">
        <f t="shared" ref="O116:AM116" si="78">IFERROR(O115/O$105,0)</f>
        <v>1.460273668761551E-2</v>
      </c>
      <c r="P116" s="105">
        <f t="shared" si="78"/>
        <v>2.4275157673156524</v>
      </c>
      <c r="Q116" s="105">
        <f t="shared" si="78"/>
        <v>0.70746835188297652</v>
      </c>
      <c r="R116" s="105">
        <f t="shared" si="78"/>
        <v>0.76895435513588573</v>
      </c>
      <c r="S116" s="105">
        <f t="shared" si="78"/>
        <v>0.33945524133878652</v>
      </c>
      <c r="T116" s="105">
        <f t="shared" si="78"/>
        <v>0.71905652736108716</v>
      </c>
      <c r="U116" s="105">
        <f t="shared" si="78"/>
        <v>0.77327164981392194</v>
      </c>
      <c r="V116" s="105">
        <f t="shared" si="78"/>
        <v>0.72287833062328699</v>
      </c>
      <c r="W116" s="105">
        <f t="shared" si="78"/>
        <v>0.73313734315216328</v>
      </c>
      <c r="X116" s="105">
        <f t="shared" si="78"/>
        <v>0.90907509037074352</v>
      </c>
      <c r="Y116" s="105">
        <f t="shared" si="78"/>
        <v>0.39972002535537471</v>
      </c>
      <c r="Z116" s="105">
        <f t="shared" si="78"/>
        <v>0.90227686112308458</v>
      </c>
      <c r="AA116" s="105">
        <f t="shared" si="78"/>
        <v>0.60353298138503575</v>
      </c>
      <c r="AB116" s="105">
        <f t="shared" si="78"/>
        <v>0.97527019415899607</v>
      </c>
      <c r="AC116" s="105">
        <f t="shared" si="78"/>
        <v>1.0401800299625465</v>
      </c>
      <c r="AD116" s="105">
        <f t="shared" si="78"/>
        <v>0.4404615466976784</v>
      </c>
      <c r="AE116" s="105">
        <f t="shared" si="78"/>
        <v>1.024448096312216</v>
      </c>
      <c r="AF116" s="105">
        <f t="shared" si="78"/>
        <v>0.96390301899442177</v>
      </c>
      <c r="AG116" s="105">
        <f t="shared" si="78"/>
        <v>1.1914429701661291</v>
      </c>
      <c r="AH116" s="105">
        <f t="shared" si="78"/>
        <v>1.286052159367004</v>
      </c>
      <c r="AI116" s="105">
        <f t="shared" si="78"/>
        <v>0.57097180533127501</v>
      </c>
      <c r="AJ116" s="105">
        <f t="shared" si="78"/>
        <v>1.3564202356337465</v>
      </c>
      <c r="AK116" s="105">
        <f t="shared" si="78"/>
        <v>1.2848657877342753</v>
      </c>
      <c r="AL116" s="105">
        <f t="shared" si="78"/>
        <v>1.5676429657192539</v>
      </c>
      <c r="AM116" s="105">
        <f t="shared" si="78"/>
        <v>1.7237372427676412</v>
      </c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-4751390.072623563</v>
      </c>
      <c r="L117" s="108">
        <f>SUM(O117:AV117)</f>
        <v>-13598514.644337883</v>
      </c>
      <c r="M117" s="1"/>
      <c r="N117" s="1"/>
      <c r="O117" s="108">
        <f t="shared" ref="O117:AM117" si="79">-O207</f>
        <v>-170500.20060736811</v>
      </c>
      <c r="P117" s="108">
        <f t="shared" si="79"/>
        <v>-559500.601822105</v>
      </c>
      <c r="Q117" s="108">
        <f t="shared" si="79"/>
        <v>-559500.601822105</v>
      </c>
      <c r="R117" s="108">
        <f t="shared" si="79"/>
        <v>-559500.601822105</v>
      </c>
      <c r="S117" s="108">
        <f t="shared" si="79"/>
        <v>-559500.601822105</v>
      </c>
      <c r="T117" s="108">
        <f t="shared" si="79"/>
        <v>-559500.601822105</v>
      </c>
      <c r="U117" s="108">
        <f t="shared" si="79"/>
        <v>-559500.601822105</v>
      </c>
      <c r="V117" s="108">
        <f t="shared" si="79"/>
        <v>-559500.601822105</v>
      </c>
      <c r="W117" s="108">
        <f t="shared" si="79"/>
        <v>-559500.601822105</v>
      </c>
      <c r="X117" s="108">
        <f t="shared" si="79"/>
        <v>-559500.601822105</v>
      </c>
      <c r="Y117" s="108">
        <f t="shared" si="79"/>
        <v>-559500.601822105</v>
      </c>
      <c r="Z117" s="108">
        <f t="shared" si="79"/>
        <v>-559500.601822105</v>
      </c>
      <c r="AA117" s="108">
        <f t="shared" si="79"/>
        <v>-559500.601822105</v>
      </c>
      <c r="AB117" s="108">
        <f t="shared" si="79"/>
        <v>-559500.601822105</v>
      </c>
      <c r="AC117" s="108">
        <f t="shared" si="79"/>
        <v>-559500.601822105</v>
      </c>
      <c r="AD117" s="108">
        <f t="shared" si="79"/>
        <v>-559500.601822105</v>
      </c>
      <c r="AE117" s="108">
        <f t="shared" si="79"/>
        <v>-559500.601822105</v>
      </c>
      <c r="AF117" s="108">
        <f t="shared" si="79"/>
        <v>-559500.601822105</v>
      </c>
      <c r="AG117" s="108">
        <f t="shared" si="79"/>
        <v>-559500.601822105</v>
      </c>
      <c r="AH117" s="108">
        <f t="shared" si="79"/>
        <v>-559500.601822105</v>
      </c>
      <c r="AI117" s="108">
        <f t="shared" si="79"/>
        <v>-559500.601822105</v>
      </c>
      <c r="AJ117" s="108">
        <f t="shared" si="79"/>
        <v>-559500.601822105</v>
      </c>
      <c r="AK117" s="108">
        <f t="shared" si="79"/>
        <v>-559500.601822105</v>
      </c>
      <c r="AL117" s="108">
        <f t="shared" si="79"/>
        <v>-559500.601822105</v>
      </c>
      <c r="AM117" s="108">
        <f t="shared" si="79"/>
        <v>-559500.601822105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80">K115+K117</f>
        <v>31738960.6119623</v>
      </c>
      <c r="L118" s="109">
        <f t="shared" si="80"/>
        <v>100282791.23969901</v>
      </c>
      <c r="M118" s="1"/>
      <c r="N118" s="1"/>
      <c r="O118" s="109">
        <f t="shared" ref="O118:AM118" si="81">O115+O117</f>
        <v>-1035.1872737789236</v>
      </c>
      <c r="P118" s="109">
        <f t="shared" si="81"/>
        <v>7482415.024450643</v>
      </c>
      <c r="Q118" s="109">
        <f t="shared" si="81"/>
        <v>1784212.6175537992</v>
      </c>
      <c r="R118" s="109">
        <f t="shared" si="81"/>
        <v>1987904.4975465734</v>
      </c>
      <c r="S118" s="109">
        <f t="shared" si="81"/>
        <v>2135853.4074945152</v>
      </c>
      <c r="T118" s="109">
        <f t="shared" si="81"/>
        <v>1822602.1228711877</v>
      </c>
      <c r="U118" s="109">
        <f t="shared" si="81"/>
        <v>2002206.9049714759</v>
      </c>
      <c r="V118" s="109">
        <f t="shared" si="81"/>
        <v>2135121.0629591029</v>
      </c>
      <c r="W118" s="109">
        <f t="shared" si="81"/>
        <v>2304406.2914292421</v>
      </c>
      <c r="X118" s="109">
        <f t="shared" si="81"/>
        <v>2452098.8584738718</v>
      </c>
      <c r="Y118" s="109">
        <f t="shared" si="81"/>
        <v>2601796.7054920448</v>
      </c>
      <c r="Z118" s="109">
        <f t="shared" si="81"/>
        <v>2429577.5687035536</v>
      </c>
      <c r="AA118" s="109">
        <f t="shared" si="81"/>
        <v>2576878.7822441356</v>
      </c>
      <c r="AB118" s="109">
        <f t="shared" si="81"/>
        <v>2671391.1270164363</v>
      </c>
      <c r="AC118" s="109">
        <f t="shared" si="81"/>
        <v>2886425.5378637854</v>
      </c>
      <c r="AD118" s="109">
        <f t="shared" si="81"/>
        <v>3106521.8758471031</v>
      </c>
      <c r="AE118" s="109">
        <f t="shared" si="81"/>
        <v>2915218.1473948359</v>
      </c>
      <c r="AF118" s="109">
        <f t="shared" si="81"/>
        <v>3130170.154716596</v>
      </c>
      <c r="AG118" s="109">
        <f t="shared" si="81"/>
        <v>3387531.9854005994</v>
      </c>
      <c r="AH118" s="109">
        <f t="shared" si="81"/>
        <v>3700954.9205953097</v>
      </c>
      <c r="AI118" s="109">
        <f t="shared" si="81"/>
        <v>3973891.2603519792</v>
      </c>
      <c r="AJ118" s="109">
        <f t="shared" si="81"/>
        <v>3934071.4835192384</v>
      </c>
      <c r="AK118" s="109">
        <f t="shared" si="81"/>
        <v>4230001.3673124751</v>
      </c>
      <c r="AL118" s="109">
        <f t="shared" si="81"/>
        <v>4633813.7453695023</v>
      </c>
      <c r="AM118" s="109">
        <f t="shared" si="81"/>
        <v>5204367.3079470349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>
        <f t="shared" ref="K119:L119" si="82">IFERROR(K118/K$105,0)</f>
        <v>0.60578183990908285</v>
      </c>
      <c r="L119" s="105">
        <f t="shared" si="82"/>
        <v>0.72302068373722073</v>
      </c>
      <c r="M119" s="1"/>
      <c r="N119" s="1"/>
      <c r="O119" s="105">
        <f t="shared" ref="O119:AM119" si="83">IFERROR(O118/O$105,0)</f>
        <v>-8.9201699418672611E-5</v>
      </c>
      <c r="P119" s="105">
        <f t="shared" si="83"/>
        <v>2.2586260902953463</v>
      </c>
      <c r="Q119" s="105">
        <f t="shared" si="83"/>
        <v>0.53857867486267053</v>
      </c>
      <c r="R119" s="105">
        <f t="shared" si="83"/>
        <v>0.60006467811557962</v>
      </c>
      <c r="S119" s="105">
        <f t="shared" si="83"/>
        <v>0.26899124619594716</v>
      </c>
      <c r="T119" s="105">
        <f t="shared" si="83"/>
        <v>0.55016685034078117</v>
      </c>
      <c r="U119" s="105">
        <f t="shared" si="83"/>
        <v>0.60438197279361583</v>
      </c>
      <c r="V119" s="105">
        <f t="shared" si="83"/>
        <v>0.57278272858977208</v>
      </c>
      <c r="W119" s="105">
        <f t="shared" si="83"/>
        <v>0.58990964755965347</v>
      </c>
      <c r="X119" s="105">
        <f t="shared" si="83"/>
        <v>0.74018541335043753</v>
      </c>
      <c r="Y119" s="105">
        <f t="shared" si="83"/>
        <v>0.3289757792418424</v>
      </c>
      <c r="Z119" s="105">
        <f t="shared" si="83"/>
        <v>0.7333871841027787</v>
      </c>
      <c r="AA119" s="105">
        <f t="shared" si="83"/>
        <v>0.49586837039443976</v>
      </c>
      <c r="AB119" s="105">
        <f t="shared" si="83"/>
        <v>0.80638051713868997</v>
      </c>
      <c r="AC119" s="105">
        <f t="shared" si="83"/>
        <v>0.87129035294224055</v>
      </c>
      <c r="AD119" s="105">
        <f t="shared" si="83"/>
        <v>0.37323923642599466</v>
      </c>
      <c r="AE119" s="105">
        <f t="shared" si="83"/>
        <v>0.85949105437857298</v>
      </c>
      <c r="AF119" s="105">
        <f t="shared" si="83"/>
        <v>0.81773704516876611</v>
      </c>
      <c r="AG119" s="105">
        <f t="shared" si="83"/>
        <v>1.022553293145823</v>
      </c>
      <c r="AH119" s="105">
        <f t="shared" si="83"/>
        <v>1.1171624823466979</v>
      </c>
      <c r="AI119" s="105">
        <f t="shared" si="83"/>
        <v>0.5005038029130815</v>
      </c>
      <c r="AJ119" s="105">
        <f t="shared" si="83"/>
        <v>1.1875305586134404</v>
      </c>
      <c r="AK119" s="105">
        <f t="shared" si="83"/>
        <v>1.1347701857007604</v>
      </c>
      <c r="AL119" s="105">
        <f t="shared" si="83"/>
        <v>1.3987532886989478</v>
      </c>
      <c r="AM119" s="105">
        <f t="shared" si="83"/>
        <v>1.5564134872948514</v>
      </c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84">SUM(K123)</f>
        <v>45683654.329008378</v>
      </c>
      <c r="L122" s="69">
        <f t="shared" si="84"/>
        <v>130501053.71634081</v>
      </c>
      <c r="M122" s="1"/>
      <c r="N122" s="1"/>
      <c r="O122" s="69">
        <f t="shared" ref="O122:AM122" si="85">SUM(O123)</f>
        <v>1787685.6673471334</v>
      </c>
      <c r="P122" s="69">
        <f t="shared" si="85"/>
        <v>5363057.002041406</v>
      </c>
      <c r="Q122" s="69">
        <f t="shared" si="85"/>
        <v>5363057.002041406</v>
      </c>
      <c r="R122" s="69">
        <f t="shared" si="85"/>
        <v>5363057.002041406</v>
      </c>
      <c r="S122" s="69">
        <f t="shared" si="85"/>
        <v>5363057.002041406</v>
      </c>
      <c r="T122" s="69">
        <f t="shared" si="85"/>
        <v>5363057.002041406</v>
      </c>
      <c r="U122" s="69">
        <f t="shared" si="85"/>
        <v>5363057.002041406</v>
      </c>
      <c r="V122" s="69">
        <f t="shared" si="85"/>
        <v>5363057.002041406</v>
      </c>
      <c r="W122" s="69">
        <f t="shared" si="85"/>
        <v>5363057.002041406</v>
      </c>
      <c r="X122" s="69">
        <f t="shared" si="85"/>
        <v>5363057.002041406</v>
      </c>
      <c r="Y122" s="69">
        <f t="shared" si="85"/>
        <v>5363057.002041406</v>
      </c>
      <c r="Z122" s="69">
        <f t="shared" si="85"/>
        <v>5363057.002041406</v>
      </c>
      <c r="AA122" s="69">
        <f t="shared" si="85"/>
        <v>5363057.002041406</v>
      </c>
      <c r="AB122" s="69">
        <f t="shared" si="85"/>
        <v>5363057.002041406</v>
      </c>
      <c r="AC122" s="69">
        <f t="shared" si="85"/>
        <v>5363057.002041406</v>
      </c>
      <c r="AD122" s="69">
        <f t="shared" si="85"/>
        <v>5363057.002041406</v>
      </c>
      <c r="AE122" s="69">
        <f t="shared" si="85"/>
        <v>5363057.002041406</v>
      </c>
      <c r="AF122" s="69">
        <f t="shared" si="85"/>
        <v>5363057.002041406</v>
      </c>
      <c r="AG122" s="69">
        <f t="shared" si="85"/>
        <v>5363057.002041406</v>
      </c>
      <c r="AH122" s="69">
        <f t="shared" si="85"/>
        <v>5363057.002041406</v>
      </c>
      <c r="AI122" s="69">
        <f t="shared" si="85"/>
        <v>5363057.002041406</v>
      </c>
      <c r="AJ122" s="69">
        <f t="shared" si="85"/>
        <v>5363057.002041406</v>
      </c>
      <c r="AK122" s="69">
        <f t="shared" si="85"/>
        <v>5363057.002041406</v>
      </c>
      <c r="AL122" s="69">
        <f t="shared" si="85"/>
        <v>5363057.002041406</v>
      </c>
      <c r="AM122" s="69">
        <f t="shared" si="85"/>
        <v>5363057.002041406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45683654.329008378</v>
      </c>
      <c r="L123" s="97">
        <f>SUM(O123:AV123)</f>
        <v>130501053.71634081</v>
      </c>
      <c r="M123" s="1"/>
      <c r="N123" s="1"/>
      <c r="O123" s="97">
        <f t="shared" ref="O123:AM123" si="86">O75</f>
        <v>1787685.6673471334</v>
      </c>
      <c r="P123" s="97">
        <f t="shared" si="86"/>
        <v>5363057.002041406</v>
      </c>
      <c r="Q123" s="97">
        <f t="shared" si="86"/>
        <v>5363057.002041406</v>
      </c>
      <c r="R123" s="97">
        <f t="shared" si="86"/>
        <v>5363057.002041406</v>
      </c>
      <c r="S123" s="97">
        <f t="shared" si="86"/>
        <v>5363057.002041406</v>
      </c>
      <c r="T123" s="97">
        <f t="shared" si="86"/>
        <v>5363057.002041406</v>
      </c>
      <c r="U123" s="97">
        <f t="shared" si="86"/>
        <v>5363057.002041406</v>
      </c>
      <c r="V123" s="97">
        <f t="shared" si="86"/>
        <v>5363057.002041406</v>
      </c>
      <c r="W123" s="97">
        <f t="shared" si="86"/>
        <v>5363057.002041406</v>
      </c>
      <c r="X123" s="97">
        <f t="shared" si="86"/>
        <v>5363057.002041406</v>
      </c>
      <c r="Y123" s="97">
        <f t="shared" si="86"/>
        <v>5363057.002041406</v>
      </c>
      <c r="Z123" s="97">
        <f t="shared" si="86"/>
        <v>5363057.002041406</v>
      </c>
      <c r="AA123" s="97">
        <f t="shared" si="86"/>
        <v>5363057.002041406</v>
      </c>
      <c r="AB123" s="97">
        <f t="shared" si="86"/>
        <v>5363057.002041406</v>
      </c>
      <c r="AC123" s="97">
        <f t="shared" si="86"/>
        <v>5363057.002041406</v>
      </c>
      <c r="AD123" s="97">
        <f t="shared" si="86"/>
        <v>5363057.002041406</v>
      </c>
      <c r="AE123" s="97">
        <f t="shared" si="86"/>
        <v>5363057.002041406</v>
      </c>
      <c r="AF123" s="97">
        <f t="shared" si="86"/>
        <v>5363057.002041406</v>
      </c>
      <c r="AG123" s="97">
        <f t="shared" si="86"/>
        <v>5363057.002041406</v>
      </c>
      <c r="AH123" s="97">
        <f t="shared" si="86"/>
        <v>5363057.002041406</v>
      </c>
      <c r="AI123" s="97">
        <f t="shared" si="86"/>
        <v>5363057.002041406</v>
      </c>
      <c r="AJ123" s="97">
        <f t="shared" si="86"/>
        <v>5363057.002041406</v>
      </c>
      <c r="AK123" s="97">
        <f t="shared" si="86"/>
        <v>5363057.002041406</v>
      </c>
      <c r="AL123" s="97">
        <f t="shared" si="86"/>
        <v>5363057.002041406</v>
      </c>
      <c r="AM123" s="97">
        <f t="shared" si="86"/>
        <v>5363057.002041406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87">SUM(K125:K126)</f>
        <v>-2581126.4695889736</v>
      </c>
      <c r="L124" s="99">
        <f t="shared" si="87"/>
        <v>-7373309.5349732619</v>
      </c>
      <c r="M124" s="111"/>
      <c r="N124" s="1"/>
      <c r="O124" s="99">
        <f t="shared" ref="O124:AM124" si="88">SUM(O125:O126)</f>
        <v>-101004.24020511303</v>
      </c>
      <c r="P124" s="99">
        <f t="shared" si="88"/>
        <v>-303012.72061533947</v>
      </c>
      <c r="Q124" s="99">
        <f t="shared" si="88"/>
        <v>-303012.72061533947</v>
      </c>
      <c r="R124" s="99">
        <f t="shared" si="88"/>
        <v>-303012.72061533947</v>
      </c>
      <c r="S124" s="99">
        <f t="shared" si="88"/>
        <v>-303012.72061533947</v>
      </c>
      <c r="T124" s="99">
        <f t="shared" si="88"/>
        <v>-303012.72061533947</v>
      </c>
      <c r="U124" s="99">
        <f t="shared" si="88"/>
        <v>-303012.72061533947</v>
      </c>
      <c r="V124" s="99">
        <f t="shared" si="88"/>
        <v>-303012.72061533947</v>
      </c>
      <c r="W124" s="99">
        <f t="shared" si="88"/>
        <v>-303012.72061533947</v>
      </c>
      <c r="X124" s="99">
        <f t="shared" si="88"/>
        <v>-303012.72061533947</v>
      </c>
      <c r="Y124" s="99">
        <f t="shared" si="88"/>
        <v>-303012.72061533947</v>
      </c>
      <c r="Z124" s="99">
        <f t="shared" si="88"/>
        <v>-303012.72061533947</v>
      </c>
      <c r="AA124" s="99">
        <f t="shared" si="88"/>
        <v>-303012.72061533947</v>
      </c>
      <c r="AB124" s="99">
        <f t="shared" si="88"/>
        <v>-303012.72061533947</v>
      </c>
      <c r="AC124" s="99">
        <f t="shared" si="88"/>
        <v>-303012.72061533947</v>
      </c>
      <c r="AD124" s="99">
        <f t="shared" si="88"/>
        <v>-303012.72061533947</v>
      </c>
      <c r="AE124" s="99">
        <f t="shared" si="88"/>
        <v>-303012.72061533947</v>
      </c>
      <c r="AF124" s="99">
        <f t="shared" si="88"/>
        <v>-303012.72061533947</v>
      </c>
      <c r="AG124" s="99">
        <f t="shared" si="88"/>
        <v>-303012.72061533947</v>
      </c>
      <c r="AH124" s="99">
        <f t="shared" si="88"/>
        <v>-303012.72061533947</v>
      </c>
      <c r="AI124" s="99">
        <f t="shared" si="88"/>
        <v>-303012.72061533947</v>
      </c>
      <c r="AJ124" s="99">
        <f t="shared" si="88"/>
        <v>-303012.72061533947</v>
      </c>
      <c r="AK124" s="99">
        <f t="shared" si="88"/>
        <v>-303012.72061533947</v>
      </c>
      <c r="AL124" s="99">
        <f t="shared" si="88"/>
        <v>-303012.72061533947</v>
      </c>
      <c r="AM124" s="99">
        <f t="shared" si="88"/>
        <v>-303012.72061533947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-1667453.3830088058</v>
      </c>
      <c r="L125" s="54">
        <f t="shared" ref="L125:L126" si="89">SUM(O125:AV125)</f>
        <v>-4763288.4606464449</v>
      </c>
      <c r="M125" s="1"/>
      <c r="N125" s="1"/>
      <c r="O125" s="54">
        <f t="shared" ref="O125:AM126" si="90">O103</f>
        <v>-65250.526858170364</v>
      </c>
      <c r="P125" s="54">
        <f t="shared" si="90"/>
        <v>-195751.58057451132</v>
      </c>
      <c r="Q125" s="54">
        <f t="shared" si="90"/>
        <v>-195751.58057451132</v>
      </c>
      <c r="R125" s="54">
        <f t="shared" si="90"/>
        <v>-195751.58057451132</v>
      </c>
      <c r="S125" s="54">
        <f t="shared" si="90"/>
        <v>-195751.58057451132</v>
      </c>
      <c r="T125" s="54">
        <f t="shared" si="90"/>
        <v>-195751.58057451132</v>
      </c>
      <c r="U125" s="54">
        <f t="shared" si="90"/>
        <v>-195751.58057451132</v>
      </c>
      <c r="V125" s="54">
        <f t="shared" si="90"/>
        <v>-195751.58057451132</v>
      </c>
      <c r="W125" s="54">
        <f t="shared" si="90"/>
        <v>-195751.58057451132</v>
      </c>
      <c r="X125" s="54">
        <f t="shared" si="90"/>
        <v>-195751.58057451132</v>
      </c>
      <c r="Y125" s="54">
        <f t="shared" si="90"/>
        <v>-195751.58057451132</v>
      </c>
      <c r="Z125" s="54">
        <f t="shared" si="90"/>
        <v>-195751.58057451132</v>
      </c>
      <c r="AA125" s="54">
        <f t="shared" si="90"/>
        <v>-195751.58057451132</v>
      </c>
      <c r="AB125" s="54">
        <f t="shared" si="90"/>
        <v>-195751.58057451132</v>
      </c>
      <c r="AC125" s="54">
        <f t="shared" si="90"/>
        <v>-195751.58057451132</v>
      </c>
      <c r="AD125" s="54">
        <f t="shared" si="90"/>
        <v>-195751.58057451132</v>
      </c>
      <c r="AE125" s="54">
        <f t="shared" si="90"/>
        <v>-195751.58057451132</v>
      </c>
      <c r="AF125" s="54">
        <f t="shared" si="90"/>
        <v>-195751.58057451132</v>
      </c>
      <c r="AG125" s="54">
        <f t="shared" si="90"/>
        <v>-195751.58057451132</v>
      </c>
      <c r="AH125" s="54">
        <f t="shared" si="90"/>
        <v>-195751.58057451132</v>
      </c>
      <c r="AI125" s="54">
        <f t="shared" si="90"/>
        <v>-195751.58057451132</v>
      </c>
      <c r="AJ125" s="54">
        <f t="shared" si="90"/>
        <v>-195751.58057451132</v>
      </c>
      <c r="AK125" s="54">
        <f t="shared" si="90"/>
        <v>-195751.58057451132</v>
      </c>
      <c r="AL125" s="54">
        <f t="shared" si="90"/>
        <v>-195751.58057451132</v>
      </c>
      <c r="AM125" s="54">
        <f t="shared" si="90"/>
        <v>-195751.58057451132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-913673.08658016776</v>
      </c>
      <c r="L126" s="102">
        <f t="shared" si="89"/>
        <v>-2610021.0743268169</v>
      </c>
      <c r="M126" s="1"/>
      <c r="N126" s="1"/>
      <c r="O126" s="54">
        <f t="shared" si="90"/>
        <v>-35753.71334694267</v>
      </c>
      <c r="P126" s="54">
        <f t="shared" si="90"/>
        <v>-107261.14004082812</v>
      </c>
      <c r="Q126" s="54">
        <f t="shared" si="90"/>
        <v>-107261.14004082812</v>
      </c>
      <c r="R126" s="54">
        <f t="shared" si="90"/>
        <v>-107261.14004082812</v>
      </c>
      <c r="S126" s="54">
        <f t="shared" si="90"/>
        <v>-107261.14004082812</v>
      </c>
      <c r="T126" s="54">
        <f t="shared" si="90"/>
        <v>-107261.14004082812</v>
      </c>
      <c r="U126" s="54">
        <f t="shared" si="90"/>
        <v>-107261.14004082812</v>
      </c>
      <c r="V126" s="54">
        <f t="shared" si="90"/>
        <v>-107261.14004082812</v>
      </c>
      <c r="W126" s="54">
        <f t="shared" si="90"/>
        <v>-107261.14004082812</v>
      </c>
      <c r="X126" s="54">
        <f t="shared" si="90"/>
        <v>-107261.14004082812</v>
      </c>
      <c r="Y126" s="54">
        <f t="shared" si="90"/>
        <v>-107261.14004082812</v>
      </c>
      <c r="Z126" s="54">
        <f t="shared" si="90"/>
        <v>-107261.14004082812</v>
      </c>
      <c r="AA126" s="54">
        <f t="shared" si="90"/>
        <v>-107261.14004082812</v>
      </c>
      <c r="AB126" s="54">
        <f t="shared" si="90"/>
        <v>-107261.14004082812</v>
      </c>
      <c r="AC126" s="54">
        <f t="shared" si="90"/>
        <v>-107261.14004082812</v>
      </c>
      <c r="AD126" s="54">
        <f t="shared" si="90"/>
        <v>-107261.14004082812</v>
      </c>
      <c r="AE126" s="54">
        <f t="shared" si="90"/>
        <v>-107261.14004082812</v>
      </c>
      <c r="AF126" s="54">
        <f t="shared" si="90"/>
        <v>-107261.14004082812</v>
      </c>
      <c r="AG126" s="54">
        <f t="shared" si="90"/>
        <v>-107261.14004082812</v>
      </c>
      <c r="AH126" s="54">
        <f t="shared" si="90"/>
        <v>-107261.14004082812</v>
      </c>
      <c r="AI126" s="54">
        <f t="shared" si="90"/>
        <v>-107261.14004082812</v>
      </c>
      <c r="AJ126" s="54">
        <f t="shared" si="90"/>
        <v>-107261.14004082812</v>
      </c>
      <c r="AK126" s="54">
        <f t="shared" si="90"/>
        <v>-107261.14004082812</v>
      </c>
      <c r="AL126" s="54">
        <f t="shared" si="90"/>
        <v>-107261.14004082812</v>
      </c>
      <c r="AM126" s="54">
        <f t="shared" si="90"/>
        <v>-107261.14004082812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91">K122+K124</f>
        <v>43102527.859419405</v>
      </c>
      <c r="L127" s="69">
        <f t="shared" si="91"/>
        <v>123127744.18136755</v>
      </c>
      <c r="M127" s="1"/>
      <c r="N127" s="1"/>
      <c r="O127" s="69">
        <f t="shared" ref="O127:AM127" si="92">O122+O124</f>
        <v>1686681.4271420203</v>
      </c>
      <c r="P127" s="69">
        <f t="shared" si="92"/>
        <v>5060044.2814260665</v>
      </c>
      <c r="Q127" s="69">
        <f t="shared" si="92"/>
        <v>5060044.2814260665</v>
      </c>
      <c r="R127" s="69">
        <f t="shared" si="92"/>
        <v>5060044.2814260665</v>
      </c>
      <c r="S127" s="69">
        <f t="shared" si="92"/>
        <v>5060044.2814260665</v>
      </c>
      <c r="T127" s="69">
        <f t="shared" si="92"/>
        <v>5060044.2814260665</v>
      </c>
      <c r="U127" s="69">
        <f t="shared" si="92"/>
        <v>5060044.2814260665</v>
      </c>
      <c r="V127" s="69">
        <f t="shared" si="92"/>
        <v>5060044.2814260665</v>
      </c>
      <c r="W127" s="69">
        <f t="shared" si="92"/>
        <v>5060044.2814260665</v>
      </c>
      <c r="X127" s="69">
        <f t="shared" si="92"/>
        <v>5060044.2814260665</v>
      </c>
      <c r="Y127" s="69">
        <f t="shared" si="92"/>
        <v>5060044.2814260665</v>
      </c>
      <c r="Z127" s="69">
        <f t="shared" si="92"/>
        <v>5060044.2814260665</v>
      </c>
      <c r="AA127" s="69">
        <f t="shared" si="92"/>
        <v>5060044.2814260665</v>
      </c>
      <c r="AB127" s="69">
        <f t="shared" si="92"/>
        <v>5060044.2814260665</v>
      </c>
      <c r="AC127" s="69">
        <f t="shared" si="92"/>
        <v>5060044.2814260665</v>
      </c>
      <c r="AD127" s="69">
        <f t="shared" si="92"/>
        <v>5060044.2814260665</v>
      </c>
      <c r="AE127" s="69">
        <f t="shared" si="92"/>
        <v>5060044.2814260665</v>
      </c>
      <c r="AF127" s="69">
        <f t="shared" si="92"/>
        <v>5060044.2814260665</v>
      </c>
      <c r="AG127" s="69">
        <f t="shared" si="92"/>
        <v>5060044.2814260665</v>
      </c>
      <c r="AH127" s="69">
        <f t="shared" si="92"/>
        <v>5060044.2814260665</v>
      </c>
      <c r="AI127" s="69">
        <f t="shared" si="92"/>
        <v>5060044.2814260665</v>
      </c>
      <c r="AJ127" s="69">
        <f t="shared" si="92"/>
        <v>5060044.2814260665</v>
      </c>
      <c r="AK127" s="69">
        <f t="shared" si="92"/>
        <v>5060044.2814260665</v>
      </c>
      <c r="AL127" s="69">
        <f t="shared" si="92"/>
        <v>5060044.2814260665</v>
      </c>
      <c r="AM127" s="69">
        <f t="shared" si="92"/>
        <v>5060044.2814260665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-21065026.932787452</v>
      </c>
      <c r="L128" s="97">
        <f>SUM(O128:AV128)</f>
        <v>-58835225.636226192</v>
      </c>
      <c r="M128" s="1"/>
      <c r="N128" s="1"/>
      <c r="O128" s="54">
        <f>-O11</f>
        <v>-1517216.4138084308</v>
      </c>
      <c r="P128" s="54">
        <f t="shared" ref="P128:AM128" si="93">-P11</f>
        <v>-2381185.6571947243</v>
      </c>
      <c r="Q128" s="54">
        <f t="shared" si="93"/>
        <v>-2437432.8809328228</v>
      </c>
      <c r="R128" s="54">
        <f t="shared" si="93"/>
        <v>-2379576.7400941118</v>
      </c>
      <c r="S128" s="54">
        <f t="shared" si="93"/>
        <v>-2391948.1038322099</v>
      </c>
      <c r="T128" s="54">
        <f t="shared" si="93"/>
        <v>-2421843.6829934991</v>
      </c>
      <c r="U128" s="54">
        <f t="shared" si="93"/>
        <v>-2390339.1867315979</v>
      </c>
      <c r="V128" s="54">
        <f t="shared" si="93"/>
        <v>-2420234.7658928866</v>
      </c>
      <c r="W128" s="54">
        <f t="shared" si="93"/>
        <v>-2388730.2696309853</v>
      </c>
      <c r="X128" s="54">
        <f t="shared" si="93"/>
        <v>-2374749.9887922746</v>
      </c>
      <c r="Y128" s="54">
        <f t="shared" si="93"/>
        <v>-2430997.2125303731</v>
      </c>
      <c r="Z128" s="54">
        <f t="shared" si="93"/>
        <v>-2373141.0716916621</v>
      </c>
      <c r="AA128" s="54">
        <f t="shared" si="93"/>
        <v>-2429388.2954297606</v>
      </c>
      <c r="AB128" s="54">
        <f t="shared" si="93"/>
        <v>-2371532.1545910495</v>
      </c>
      <c r="AC128" s="54">
        <f t="shared" si="93"/>
        <v>-2383903.5183291482</v>
      </c>
      <c r="AD128" s="54">
        <f t="shared" si="93"/>
        <v>-2413799.0974904369</v>
      </c>
      <c r="AE128" s="54">
        <f t="shared" si="93"/>
        <v>-2382294.6012285356</v>
      </c>
      <c r="AF128" s="54">
        <f t="shared" si="93"/>
        <v>-2412190.1803898248</v>
      </c>
      <c r="AG128" s="54">
        <f t="shared" si="93"/>
        <v>-2380685.6841279231</v>
      </c>
      <c r="AH128" s="54">
        <f t="shared" si="93"/>
        <v>-2366705.4032892124</v>
      </c>
      <c r="AI128" s="54">
        <f t="shared" si="93"/>
        <v>-2422952.6270273109</v>
      </c>
      <c r="AJ128" s="54">
        <f t="shared" si="93"/>
        <v>-2365096.4861885998</v>
      </c>
      <c r="AK128" s="54">
        <f t="shared" si="93"/>
        <v>-2421343.7099266988</v>
      </c>
      <c r="AL128" s="54">
        <f t="shared" si="93"/>
        <v>-2363487.5690879873</v>
      </c>
      <c r="AM128" s="54">
        <f t="shared" si="93"/>
        <v>-2214450.3349941219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94">K127+SUM(K128)</f>
        <v>22037500.926631954</v>
      </c>
      <c r="L129" s="75">
        <f t="shared" si="94"/>
        <v>64292518.545141354</v>
      </c>
      <c r="M129" s="1"/>
      <c r="N129" s="1"/>
      <c r="O129" s="75">
        <f t="shared" ref="O129:AM129" si="95">O127+SUM(O128)</f>
        <v>169465.01333358954</v>
      </c>
      <c r="P129" s="75">
        <f t="shared" si="95"/>
        <v>2678858.6242313422</v>
      </c>
      <c r="Q129" s="75">
        <f t="shared" si="95"/>
        <v>2622611.4004932437</v>
      </c>
      <c r="R129" s="75">
        <f t="shared" si="95"/>
        <v>2680467.5413319548</v>
      </c>
      <c r="S129" s="75">
        <f t="shared" si="95"/>
        <v>2668096.1775938566</v>
      </c>
      <c r="T129" s="75">
        <f t="shared" si="95"/>
        <v>2638200.5984325674</v>
      </c>
      <c r="U129" s="75">
        <f t="shared" si="95"/>
        <v>2669705.0946944687</v>
      </c>
      <c r="V129" s="75">
        <f t="shared" si="95"/>
        <v>2639809.51553318</v>
      </c>
      <c r="W129" s="75">
        <f t="shared" si="95"/>
        <v>2671314.0117950812</v>
      </c>
      <c r="X129" s="75">
        <f t="shared" si="95"/>
        <v>2685294.2926337919</v>
      </c>
      <c r="Y129" s="75">
        <f t="shared" si="95"/>
        <v>2629047.0688956934</v>
      </c>
      <c r="Z129" s="75">
        <f t="shared" si="95"/>
        <v>2686903.2097344045</v>
      </c>
      <c r="AA129" s="75">
        <f t="shared" si="95"/>
        <v>2630655.9859963059</v>
      </c>
      <c r="AB129" s="75">
        <f t="shared" si="95"/>
        <v>2688512.126835017</v>
      </c>
      <c r="AC129" s="75">
        <f t="shared" si="95"/>
        <v>2676140.7630969184</v>
      </c>
      <c r="AD129" s="75">
        <f t="shared" si="95"/>
        <v>2646245.1839356297</v>
      </c>
      <c r="AE129" s="75">
        <f t="shared" si="95"/>
        <v>2677749.6801975309</v>
      </c>
      <c r="AF129" s="75">
        <f t="shared" si="95"/>
        <v>2647854.1010362417</v>
      </c>
      <c r="AG129" s="75">
        <f t="shared" si="95"/>
        <v>2679358.5972981434</v>
      </c>
      <c r="AH129" s="75">
        <f t="shared" si="95"/>
        <v>2693338.8781368542</v>
      </c>
      <c r="AI129" s="75">
        <f t="shared" si="95"/>
        <v>2637091.6543987556</v>
      </c>
      <c r="AJ129" s="75">
        <f t="shared" si="95"/>
        <v>2694947.7952374667</v>
      </c>
      <c r="AK129" s="75">
        <f t="shared" si="95"/>
        <v>2638700.5714993677</v>
      </c>
      <c r="AL129" s="75">
        <f t="shared" si="95"/>
        <v>2696556.7123380792</v>
      </c>
      <c r="AM129" s="75">
        <f t="shared" si="95"/>
        <v>2845593.9464319446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>
        <f t="shared" ref="K130:L130" si="96">IFERROR(K129/K$105,0)</f>
        <v>0.42061610087198908</v>
      </c>
      <c r="L130" s="105">
        <f t="shared" si="96"/>
        <v>0.46353736411850166</v>
      </c>
      <c r="M130" s="1"/>
      <c r="N130" s="1"/>
      <c r="O130" s="105">
        <f t="shared" ref="O130:AM130" si="97">O129/O127</f>
        <v>0.10047244880186874</v>
      </c>
      <c r="P130" s="105">
        <f t="shared" si="97"/>
        <v>0.52941406739554508</v>
      </c>
      <c r="Q130" s="105">
        <f t="shared" si="97"/>
        <v>0.51829811255211311</v>
      </c>
      <c r="R130" s="105">
        <f t="shared" si="97"/>
        <v>0.52973203241939248</v>
      </c>
      <c r="S130" s="105">
        <f t="shared" si="97"/>
        <v>0.52728712027040014</v>
      </c>
      <c r="T130" s="105">
        <f t="shared" si="97"/>
        <v>0.52137895474880036</v>
      </c>
      <c r="U130" s="105">
        <f t="shared" si="97"/>
        <v>0.52760508529424743</v>
      </c>
      <c r="V130" s="105">
        <f t="shared" si="97"/>
        <v>0.52169691977264776</v>
      </c>
      <c r="W130" s="105">
        <f t="shared" si="97"/>
        <v>0.52792305031809483</v>
      </c>
      <c r="X130" s="105">
        <f t="shared" si="97"/>
        <v>0.53068592749093457</v>
      </c>
      <c r="Y130" s="105">
        <f t="shared" si="97"/>
        <v>0.5195699726475026</v>
      </c>
      <c r="Z130" s="105">
        <f t="shared" si="97"/>
        <v>0.53100389251478197</v>
      </c>
      <c r="AA130" s="105">
        <f t="shared" si="97"/>
        <v>0.51988793767135</v>
      </c>
      <c r="AB130" s="105">
        <f t="shared" si="97"/>
        <v>0.53132185753862937</v>
      </c>
      <c r="AC130" s="105">
        <f t="shared" si="97"/>
        <v>0.52887694538963692</v>
      </c>
      <c r="AD130" s="105">
        <f t="shared" si="97"/>
        <v>0.52296877986803736</v>
      </c>
      <c r="AE130" s="105">
        <f t="shared" si="97"/>
        <v>0.52919491041348432</v>
      </c>
      <c r="AF130" s="105">
        <f t="shared" si="97"/>
        <v>0.52328674489188465</v>
      </c>
      <c r="AG130" s="105">
        <f t="shared" si="97"/>
        <v>0.52951287543733172</v>
      </c>
      <c r="AH130" s="105">
        <f t="shared" si="97"/>
        <v>0.53227575261017157</v>
      </c>
      <c r="AI130" s="105">
        <f t="shared" si="97"/>
        <v>0.52115979776673949</v>
      </c>
      <c r="AJ130" s="105">
        <f t="shared" si="97"/>
        <v>0.53259371763401897</v>
      </c>
      <c r="AK130" s="105">
        <f t="shared" si="97"/>
        <v>0.52147776279058689</v>
      </c>
      <c r="AL130" s="105">
        <f t="shared" si="97"/>
        <v>0.53291168265786637</v>
      </c>
      <c r="AM130" s="105">
        <f t="shared" si="97"/>
        <v>0.56236542373300613</v>
      </c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7226424.8789769467</v>
      </c>
      <c r="L131" s="97">
        <f>SUM(O131:AV131)</f>
        <v>24794393.66944772</v>
      </c>
      <c r="M131" s="1"/>
      <c r="N131" s="1"/>
      <c r="O131" s="54">
        <f t="shared" ref="O131:AM131" si="98">O132-O129</f>
        <v>-3.4924596548080444E-10</v>
      </c>
      <c r="P131" s="54">
        <f t="shared" si="98"/>
        <v>5363057.002041406</v>
      </c>
      <c r="Q131" s="54">
        <f t="shared" si="98"/>
        <v>-278898.18111733953</v>
      </c>
      <c r="R131" s="54">
        <f t="shared" si="98"/>
        <v>-133062.44196327636</v>
      </c>
      <c r="S131" s="54">
        <f t="shared" si="98"/>
        <v>27257.831722763367</v>
      </c>
      <c r="T131" s="54">
        <f t="shared" si="98"/>
        <v>-256097.87373927468</v>
      </c>
      <c r="U131" s="54">
        <f t="shared" si="98"/>
        <v>-107997.58790088771</v>
      </c>
      <c r="V131" s="54">
        <f t="shared" si="98"/>
        <v>54812.149248028174</v>
      </c>
      <c r="W131" s="54">
        <f t="shared" si="98"/>
        <v>192592.88145626569</v>
      </c>
      <c r="X131" s="54">
        <f t="shared" si="98"/>
        <v>326305.16766218469</v>
      </c>
      <c r="Y131" s="54">
        <f t="shared" si="98"/>
        <v>532250.23841845617</v>
      </c>
      <c r="Z131" s="54">
        <f t="shared" si="98"/>
        <v>302174.96079125395</v>
      </c>
      <c r="AA131" s="54">
        <f t="shared" si="98"/>
        <v>505723.39806993492</v>
      </c>
      <c r="AB131" s="54">
        <f t="shared" si="98"/>
        <v>542379.60200352455</v>
      </c>
      <c r="AC131" s="54">
        <f t="shared" si="98"/>
        <v>769785.37658897229</v>
      </c>
      <c r="AD131" s="54">
        <f t="shared" si="98"/>
        <v>1019777.2937335782</v>
      </c>
      <c r="AE131" s="54">
        <f t="shared" si="98"/>
        <v>796969.06901940983</v>
      </c>
      <c r="AF131" s="54">
        <f t="shared" si="98"/>
        <v>1041816.655502459</v>
      </c>
      <c r="AG131" s="54">
        <f t="shared" si="98"/>
        <v>1267673.9899245612</v>
      </c>
      <c r="AH131" s="54">
        <f t="shared" si="98"/>
        <v>1567116.6442805608</v>
      </c>
      <c r="AI131" s="54">
        <f t="shared" si="98"/>
        <v>1896300.2077753288</v>
      </c>
      <c r="AJ131" s="54">
        <f t="shared" si="98"/>
        <v>1798624.290103877</v>
      </c>
      <c r="AK131" s="54">
        <f t="shared" si="98"/>
        <v>2150801.3976352126</v>
      </c>
      <c r="AL131" s="54">
        <f t="shared" si="98"/>
        <v>2496757.6348535283</v>
      </c>
      <c r="AM131" s="54">
        <f t="shared" si="98"/>
        <v>2918273.9633371956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 t="shared" ref="K132:L132" si="99">K115</f>
        <v>36490350.684585862</v>
      </c>
      <c r="L132" s="75">
        <f t="shared" si="99"/>
        <v>113881305.88403688</v>
      </c>
      <c r="M132" s="1"/>
      <c r="N132" s="1"/>
      <c r="O132" s="75">
        <f t="shared" ref="O132:AM132" si="100">O115</f>
        <v>169465.01333358919</v>
      </c>
      <c r="P132" s="75">
        <f t="shared" si="100"/>
        <v>8041915.6262727482</v>
      </c>
      <c r="Q132" s="75">
        <f t="shared" si="100"/>
        <v>2343713.2193759042</v>
      </c>
      <c r="R132" s="75">
        <f t="shared" si="100"/>
        <v>2547405.0993686784</v>
      </c>
      <c r="S132" s="75">
        <f t="shared" si="100"/>
        <v>2695354.00931662</v>
      </c>
      <c r="T132" s="75">
        <f t="shared" si="100"/>
        <v>2382102.7246932928</v>
      </c>
      <c r="U132" s="75">
        <f t="shared" si="100"/>
        <v>2561707.5067935809</v>
      </c>
      <c r="V132" s="75">
        <f t="shared" si="100"/>
        <v>2694621.6647812082</v>
      </c>
      <c r="W132" s="75">
        <f t="shared" si="100"/>
        <v>2863906.8932513469</v>
      </c>
      <c r="X132" s="75">
        <f t="shared" si="100"/>
        <v>3011599.4602959766</v>
      </c>
      <c r="Y132" s="75">
        <f t="shared" si="100"/>
        <v>3161297.3073141496</v>
      </c>
      <c r="Z132" s="75">
        <f t="shared" si="100"/>
        <v>2989078.1705256584</v>
      </c>
      <c r="AA132" s="75">
        <f t="shared" si="100"/>
        <v>3136379.3840662409</v>
      </c>
      <c r="AB132" s="75">
        <f t="shared" si="100"/>
        <v>3230891.7288385415</v>
      </c>
      <c r="AC132" s="75">
        <f t="shared" si="100"/>
        <v>3445926.1396858906</v>
      </c>
      <c r="AD132" s="75">
        <f t="shared" si="100"/>
        <v>3666022.4776692078</v>
      </c>
      <c r="AE132" s="75">
        <f t="shared" si="100"/>
        <v>3474718.7492169407</v>
      </c>
      <c r="AF132" s="75">
        <f t="shared" si="100"/>
        <v>3689670.7565387008</v>
      </c>
      <c r="AG132" s="75">
        <f t="shared" si="100"/>
        <v>3947032.5872227047</v>
      </c>
      <c r="AH132" s="75">
        <f t="shared" si="100"/>
        <v>4260455.5224174149</v>
      </c>
      <c r="AI132" s="75">
        <f t="shared" si="100"/>
        <v>4533391.8621740844</v>
      </c>
      <c r="AJ132" s="75">
        <f t="shared" si="100"/>
        <v>4493572.0853413437</v>
      </c>
      <c r="AK132" s="75">
        <f t="shared" si="100"/>
        <v>4789501.9691345803</v>
      </c>
      <c r="AL132" s="75">
        <f t="shared" si="100"/>
        <v>5193314.3471916076</v>
      </c>
      <c r="AM132" s="75">
        <f t="shared" si="100"/>
        <v>5763867.9097691402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>
        <f t="shared" ref="K133:L133" si="101">IFERROR(K132/K$105,0)</f>
        <v>0.69646867289991587</v>
      </c>
      <c r="L133" s="105">
        <f t="shared" si="101"/>
        <v>0.82106350079901369</v>
      </c>
      <c r="M133" s="1"/>
      <c r="N133" s="1"/>
      <c r="O133" s="105">
        <f t="shared" ref="O133:AM133" si="102">IFERROR(O132/O$105,0)</f>
        <v>1.460273668761551E-2</v>
      </c>
      <c r="P133" s="105">
        <f t="shared" si="102"/>
        <v>2.4275157673156524</v>
      </c>
      <c r="Q133" s="105">
        <f t="shared" si="102"/>
        <v>0.70746835188297652</v>
      </c>
      <c r="R133" s="105">
        <f t="shared" si="102"/>
        <v>0.76895435513588573</v>
      </c>
      <c r="S133" s="105">
        <f t="shared" si="102"/>
        <v>0.33945524133878652</v>
      </c>
      <c r="T133" s="105">
        <f t="shared" si="102"/>
        <v>0.71905652736108716</v>
      </c>
      <c r="U133" s="105">
        <f t="shared" si="102"/>
        <v>0.77327164981392194</v>
      </c>
      <c r="V133" s="105">
        <f t="shared" si="102"/>
        <v>0.72287833062328699</v>
      </c>
      <c r="W133" s="105">
        <f t="shared" si="102"/>
        <v>0.73313734315216328</v>
      </c>
      <c r="X133" s="105">
        <f t="shared" si="102"/>
        <v>0.90907509037074352</v>
      </c>
      <c r="Y133" s="105">
        <f t="shared" si="102"/>
        <v>0.39972002535537471</v>
      </c>
      <c r="Z133" s="105">
        <f t="shared" si="102"/>
        <v>0.90227686112308458</v>
      </c>
      <c r="AA133" s="105">
        <f t="shared" si="102"/>
        <v>0.60353298138503575</v>
      </c>
      <c r="AB133" s="105">
        <f t="shared" si="102"/>
        <v>0.97527019415899607</v>
      </c>
      <c r="AC133" s="105">
        <f t="shared" si="102"/>
        <v>1.0401800299625465</v>
      </c>
      <c r="AD133" s="105">
        <f t="shared" si="102"/>
        <v>0.4404615466976784</v>
      </c>
      <c r="AE133" s="105">
        <f t="shared" si="102"/>
        <v>1.024448096312216</v>
      </c>
      <c r="AF133" s="105">
        <f t="shared" si="102"/>
        <v>0.96390301899442177</v>
      </c>
      <c r="AG133" s="105">
        <f t="shared" si="102"/>
        <v>1.1914429701661291</v>
      </c>
      <c r="AH133" s="105">
        <f t="shared" si="102"/>
        <v>1.286052159367004</v>
      </c>
      <c r="AI133" s="105">
        <f t="shared" si="102"/>
        <v>0.57097180533127501</v>
      </c>
      <c r="AJ133" s="105">
        <f t="shared" si="102"/>
        <v>1.3564202356337465</v>
      </c>
      <c r="AK133" s="105">
        <f t="shared" si="102"/>
        <v>1.2848657877342753</v>
      </c>
      <c r="AL133" s="105">
        <f t="shared" si="102"/>
        <v>1.5676429657192539</v>
      </c>
      <c r="AM133" s="105">
        <f t="shared" si="102"/>
        <v>1.7237372427676412</v>
      </c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103">K132+K134</f>
        <v>36490350.684585862</v>
      </c>
      <c r="L135" s="75">
        <f t="shared" si="103"/>
        <v>113881305.88403688</v>
      </c>
      <c r="M135" s="1"/>
      <c r="N135" s="1"/>
      <c r="O135" s="75">
        <f t="shared" ref="O135:AM135" si="104">O132+O134</f>
        <v>169465.01333358919</v>
      </c>
      <c r="P135" s="75">
        <f t="shared" si="104"/>
        <v>8041915.6262727482</v>
      </c>
      <c r="Q135" s="75">
        <f t="shared" si="104"/>
        <v>2343713.2193759042</v>
      </c>
      <c r="R135" s="75">
        <f t="shared" si="104"/>
        <v>2547405.0993686784</v>
      </c>
      <c r="S135" s="75">
        <f t="shared" si="104"/>
        <v>2695354.00931662</v>
      </c>
      <c r="T135" s="75">
        <f t="shared" si="104"/>
        <v>2382102.7246932928</v>
      </c>
      <c r="U135" s="75">
        <f t="shared" si="104"/>
        <v>2561707.5067935809</v>
      </c>
      <c r="V135" s="75">
        <f t="shared" si="104"/>
        <v>2694621.6647812082</v>
      </c>
      <c r="W135" s="75">
        <f t="shared" si="104"/>
        <v>2863906.8932513469</v>
      </c>
      <c r="X135" s="75">
        <f t="shared" si="104"/>
        <v>3011599.4602959766</v>
      </c>
      <c r="Y135" s="75">
        <f t="shared" si="104"/>
        <v>3161297.3073141496</v>
      </c>
      <c r="Z135" s="75">
        <f t="shared" si="104"/>
        <v>2989078.1705256584</v>
      </c>
      <c r="AA135" s="75">
        <f t="shared" si="104"/>
        <v>3136379.3840662409</v>
      </c>
      <c r="AB135" s="75">
        <f t="shared" si="104"/>
        <v>3230891.7288385415</v>
      </c>
      <c r="AC135" s="75">
        <f t="shared" si="104"/>
        <v>3445926.1396858906</v>
      </c>
      <c r="AD135" s="75">
        <f t="shared" si="104"/>
        <v>3666022.4776692078</v>
      </c>
      <c r="AE135" s="75">
        <f t="shared" si="104"/>
        <v>3474718.7492169407</v>
      </c>
      <c r="AF135" s="75">
        <f t="shared" si="104"/>
        <v>3689670.7565387008</v>
      </c>
      <c r="AG135" s="75">
        <f t="shared" si="104"/>
        <v>3947032.5872227047</v>
      </c>
      <c r="AH135" s="75">
        <f t="shared" si="104"/>
        <v>4260455.5224174149</v>
      </c>
      <c r="AI135" s="75">
        <f t="shared" si="104"/>
        <v>4533391.8621740844</v>
      </c>
      <c r="AJ135" s="75">
        <f t="shared" si="104"/>
        <v>4493572.0853413437</v>
      </c>
      <c r="AK135" s="75">
        <f t="shared" si="104"/>
        <v>4789501.9691345803</v>
      </c>
      <c r="AL135" s="75">
        <f t="shared" si="104"/>
        <v>5193314.3471916076</v>
      </c>
      <c r="AM135" s="75">
        <f t="shared" si="104"/>
        <v>5763867.9097691402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>
        <f t="shared" ref="K136:L136" si="105">IFERROR(K135/K$105,0)</f>
        <v>0.69646867289991587</v>
      </c>
      <c r="L136" s="105">
        <f t="shared" si="105"/>
        <v>0.82106350079901369</v>
      </c>
      <c r="M136" s="1"/>
      <c r="N136" s="1"/>
      <c r="O136" s="105">
        <f t="shared" ref="O136:AM136" si="106">O135/O127</f>
        <v>0.10047244880186854</v>
      </c>
      <c r="P136" s="105">
        <f t="shared" si="106"/>
        <v>1.5892974802201345</v>
      </c>
      <c r="Q136" s="105">
        <f t="shared" si="106"/>
        <v>0.46318037729017231</v>
      </c>
      <c r="R136" s="105">
        <f t="shared" si="106"/>
        <v>0.50343533725968626</v>
      </c>
      <c r="S136" s="105">
        <f t="shared" si="106"/>
        <v>0.53267399639376112</v>
      </c>
      <c r="T136" s="105">
        <f t="shared" si="106"/>
        <v>0.47076716965448123</v>
      </c>
      <c r="U136" s="105">
        <f t="shared" si="106"/>
        <v>0.50626187525608335</v>
      </c>
      <c r="V136" s="105">
        <f t="shared" si="106"/>
        <v>0.53252926553871693</v>
      </c>
      <c r="W136" s="105">
        <f t="shared" si="106"/>
        <v>0.56598455151151672</v>
      </c>
      <c r="X136" s="105">
        <f t="shared" si="106"/>
        <v>0.59517255043610429</v>
      </c>
      <c r="Y136" s="105">
        <f t="shared" si="106"/>
        <v>0.62475684628261885</v>
      </c>
      <c r="Z136" s="105">
        <f t="shared" si="106"/>
        <v>0.59072174160563862</v>
      </c>
      <c r="AA136" s="105">
        <f t="shared" si="106"/>
        <v>0.61983239861733352</v>
      </c>
      <c r="AB136" s="105">
        <f t="shared" si="106"/>
        <v>0.63851056416604779</v>
      </c>
      <c r="AC136" s="105">
        <f t="shared" si="106"/>
        <v>0.68100711140708226</v>
      </c>
      <c r="AD136" s="105">
        <f t="shared" si="106"/>
        <v>0.72450403075050107</v>
      </c>
      <c r="AE136" s="105">
        <f t="shared" si="106"/>
        <v>0.68669730064845691</v>
      </c>
      <c r="AF136" s="105">
        <f t="shared" si="106"/>
        <v>0.72917756275027001</v>
      </c>
      <c r="AG136" s="105">
        <f t="shared" si="106"/>
        <v>0.78003913952118953</v>
      </c>
      <c r="AH136" s="105">
        <f t="shared" si="106"/>
        <v>0.84197988900142506</v>
      </c>
      <c r="AI136" s="105">
        <f t="shared" si="106"/>
        <v>0.89591940505636125</v>
      </c>
      <c r="AJ136" s="105">
        <f t="shared" si="106"/>
        <v>0.88804995281087251</v>
      </c>
      <c r="AK136" s="105">
        <f t="shared" si="106"/>
        <v>0.94653360776217565</v>
      </c>
      <c r="AL136" s="105">
        <f t="shared" si="106"/>
        <v>1.0263377271726131</v>
      </c>
      <c r="AM136" s="105">
        <f t="shared" si="106"/>
        <v>1.1390943614716185</v>
      </c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-4751390.072623563</v>
      </c>
      <c r="L137" s="108">
        <f>SUM(O137:AV137)</f>
        <v>-13598514.644337883</v>
      </c>
      <c r="M137" s="1"/>
      <c r="N137" s="1"/>
      <c r="O137" s="54">
        <f t="shared" ref="O137:AM137" si="107">O117</f>
        <v>-170500.20060736811</v>
      </c>
      <c r="P137" s="54">
        <f t="shared" si="107"/>
        <v>-559500.601822105</v>
      </c>
      <c r="Q137" s="54">
        <f t="shared" si="107"/>
        <v>-559500.601822105</v>
      </c>
      <c r="R137" s="54">
        <f t="shared" si="107"/>
        <v>-559500.601822105</v>
      </c>
      <c r="S137" s="54">
        <f t="shared" si="107"/>
        <v>-559500.601822105</v>
      </c>
      <c r="T137" s="54">
        <f t="shared" si="107"/>
        <v>-559500.601822105</v>
      </c>
      <c r="U137" s="54">
        <f t="shared" si="107"/>
        <v>-559500.601822105</v>
      </c>
      <c r="V137" s="54">
        <f t="shared" si="107"/>
        <v>-559500.601822105</v>
      </c>
      <c r="W137" s="54">
        <f t="shared" si="107"/>
        <v>-559500.601822105</v>
      </c>
      <c r="X137" s="54">
        <f t="shared" si="107"/>
        <v>-559500.601822105</v>
      </c>
      <c r="Y137" s="54">
        <f t="shared" si="107"/>
        <v>-559500.601822105</v>
      </c>
      <c r="Z137" s="54">
        <f t="shared" si="107"/>
        <v>-559500.601822105</v>
      </c>
      <c r="AA137" s="54">
        <f t="shared" si="107"/>
        <v>-559500.601822105</v>
      </c>
      <c r="AB137" s="54">
        <f t="shared" si="107"/>
        <v>-559500.601822105</v>
      </c>
      <c r="AC137" s="54">
        <f t="shared" si="107"/>
        <v>-559500.601822105</v>
      </c>
      <c r="AD137" s="54">
        <f t="shared" si="107"/>
        <v>-559500.601822105</v>
      </c>
      <c r="AE137" s="54">
        <f t="shared" si="107"/>
        <v>-559500.601822105</v>
      </c>
      <c r="AF137" s="54">
        <f t="shared" si="107"/>
        <v>-559500.601822105</v>
      </c>
      <c r="AG137" s="54">
        <f t="shared" si="107"/>
        <v>-559500.601822105</v>
      </c>
      <c r="AH137" s="54">
        <f t="shared" si="107"/>
        <v>-559500.601822105</v>
      </c>
      <c r="AI137" s="54">
        <f t="shared" si="107"/>
        <v>-559500.601822105</v>
      </c>
      <c r="AJ137" s="54">
        <f t="shared" si="107"/>
        <v>-559500.601822105</v>
      </c>
      <c r="AK137" s="54">
        <f t="shared" si="107"/>
        <v>-559500.601822105</v>
      </c>
      <c r="AL137" s="54">
        <f t="shared" si="107"/>
        <v>-559500.601822105</v>
      </c>
      <c r="AM137" s="54">
        <f t="shared" si="107"/>
        <v>-559500.601822105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108">K135+K137</f>
        <v>31738960.6119623</v>
      </c>
      <c r="L138" s="109">
        <f t="shared" si="108"/>
        <v>100282791.23969901</v>
      </c>
      <c r="M138" s="1"/>
      <c r="N138" s="1"/>
      <c r="O138" s="109">
        <f t="shared" ref="O138:AM138" si="109">O135+O137</f>
        <v>-1035.1872737789236</v>
      </c>
      <c r="P138" s="109">
        <f t="shared" si="109"/>
        <v>7482415.024450643</v>
      </c>
      <c r="Q138" s="109">
        <f t="shared" si="109"/>
        <v>1784212.6175537992</v>
      </c>
      <c r="R138" s="109">
        <f t="shared" si="109"/>
        <v>1987904.4975465734</v>
      </c>
      <c r="S138" s="109">
        <f t="shared" si="109"/>
        <v>2135853.4074945152</v>
      </c>
      <c r="T138" s="109">
        <f t="shared" si="109"/>
        <v>1822602.1228711877</v>
      </c>
      <c r="U138" s="109">
        <f t="shared" si="109"/>
        <v>2002206.9049714759</v>
      </c>
      <c r="V138" s="109">
        <f t="shared" si="109"/>
        <v>2135121.0629591029</v>
      </c>
      <c r="W138" s="109">
        <f t="shared" si="109"/>
        <v>2304406.2914292421</v>
      </c>
      <c r="X138" s="109">
        <f t="shared" si="109"/>
        <v>2452098.8584738718</v>
      </c>
      <c r="Y138" s="109">
        <f t="shared" si="109"/>
        <v>2601796.7054920448</v>
      </c>
      <c r="Z138" s="109">
        <f t="shared" si="109"/>
        <v>2429577.5687035536</v>
      </c>
      <c r="AA138" s="109">
        <f t="shared" si="109"/>
        <v>2576878.7822441356</v>
      </c>
      <c r="AB138" s="109">
        <f t="shared" si="109"/>
        <v>2671391.1270164363</v>
      </c>
      <c r="AC138" s="109">
        <f t="shared" si="109"/>
        <v>2886425.5378637854</v>
      </c>
      <c r="AD138" s="109">
        <f t="shared" si="109"/>
        <v>3106521.8758471031</v>
      </c>
      <c r="AE138" s="109">
        <f t="shared" si="109"/>
        <v>2915218.1473948359</v>
      </c>
      <c r="AF138" s="109">
        <f t="shared" si="109"/>
        <v>3130170.154716596</v>
      </c>
      <c r="AG138" s="109">
        <f t="shared" si="109"/>
        <v>3387531.9854005994</v>
      </c>
      <c r="AH138" s="109">
        <f t="shared" si="109"/>
        <v>3700954.9205953097</v>
      </c>
      <c r="AI138" s="109">
        <f t="shared" si="109"/>
        <v>3973891.2603519792</v>
      </c>
      <c r="AJ138" s="109">
        <f t="shared" si="109"/>
        <v>3934071.4835192384</v>
      </c>
      <c r="AK138" s="109">
        <f t="shared" si="109"/>
        <v>4230001.3673124751</v>
      </c>
      <c r="AL138" s="109">
        <f t="shared" si="109"/>
        <v>4633813.7453695023</v>
      </c>
      <c r="AM138" s="109">
        <f t="shared" si="109"/>
        <v>5204367.3079470349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>
        <f t="shared" ref="K139:L139" si="110">IFERROR(K138/K$105,0)</f>
        <v>0.60578183990908285</v>
      </c>
      <c r="L139" s="105">
        <f t="shared" si="110"/>
        <v>0.72302068373722073</v>
      </c>
      <c r="M139" s="1"/>
      <c r="N139" s="1"/>
      <c r="O139" s="105">
        <f t="shared" ref="O139:AM139" si="111">O138/O127</f>
        <v>-6.1374202449895107E-4</v>
      </c>
      <c r="P139" s="105">
        <f t="shared" si="111"/>
        <v>1.4787252064011349</v>
      </c>
      <c r="Q139" s="105">
        <f t="shared" si="111"/>
        <v>0.35260810347117288</v>
      </c>
      <c r="R139" s="105">
        <f t="shared" si="111"/>
        <v>0.39286306344068683</v>
      </c>
      <c r="S139" s="105">
        <f t="shared" si="111"/>
        <v>0.42210172257476175</v>
      </c>
      <c r="T139" s="105">
        <f t="shared" si="111"/>
        <v>0.36019489583548187</v>
      </c>
      <c r="U139" s="105">
        <f t="shared" si="111"/>
        <v>0.39568960143708393</v>
      </c>
      <c r="V139" s="105">
        <f t="shared" si="111"/>
        <v>0.42195699171971757</v>
      </c>
      <c r="W139" s="105">
        <f t="shared" si="111"/>
        <v>0.45541227769251735</v>
      </c>
      <c r="X139" s="105">
        <f t="shared" si="111"/>
        <v>0.48460027661710492</v>
      </c>
      <c r="Y139" s="105">
        <f t="shared" si="111"/>
        <v>0.51418457246361948</v>
      </c>
      <c r="Z139" s="105">
        <f t="shared" si="111"/>
        <v>0.48014946778663931</v>
      </c>
      <c r="AA139" s="105">
        <f t="shared" si="111"/>
        <v>0.50926012479833416</v>
      </c>
      <c r="AB139" s="105">
        <f t="shared" si="111"/>
        <v>0.52793829034704831</v>
      </c>
      <c r="AC139" s="105">
        <f t="shared" si="111"/>
        <v>0.57043483758808278</v>
      </c>
      <c r="AD139" s="105">
        <f t="shared" si="111"/>
        <v>0.6139317569315017</v>
      </c>
      <c r="AE139" s="105">
        <f t="shared" si="111"/>
        <v>0.57612502682945754</v>
      </c>
      <c r="AF139" s="105">
        <f t="shared" si="111"/>
        <v>0.61860528893127076</v>
      </c>
      <c r="AG139" s="105">
        <f t="shared" si="111"/>
        <v>0.66946686570219005</v>
      </c>
      <c r="AH139" s="105">
        <f t="shared" si="111"/>
        <v>0.73140761518242559</v>
      </c>
      <c r="AI139" s="105">
        <f t="shared" si="111"/>
        <v>0.78534713123736177</v>
      </c>
      <c r="AJ139" s="105">
        <f t="shared" si="111"/>
        <v>0.77747767899187303</v>
      </c>
      <c r="AK139" s="105">
        <f t="shared" si="111"/>
        <v>0.83596133394317618</v>
      </c>
      <c r="AL139" s="105">
        <f t="shared" si="111"/>
        <v>0.9157654533536137</v>
      </c>
      <c r="AM139" s="105">
        <f t="shared" si="111"/>
        <v>1.0285220876526191</v>
      </c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112">O$3</f>
        <v>1</v>
      </c>
      <c r="P141" s="80">
        <f t="shared" si="112"/>
        <v>2</v>
      </c>
      <c r="Q141" s="80">
        <f t="shared" si="112"/>
        <v>3</v>
      </c>
      <c r="R141" s="80">
        <f t="shared" si="112"/>
        <v>4</v>
      </c>
      <c r="S141" s="80">
        <f t="shared" si="112"/>
        <v>5</v>
      </c>
      <c r="T141" s="80">
        <f t="shared" si="112"/>
        <v>6</v>
      </c>
      <c r="U141" s="80">
        <f t="shared" si="112"/>
        <v>7</v>
      </c>
      <c r="V141" s="80">
        <f t="shared" si="112"/>
        <v>8</v>
      </c>
      <c r="W141" s="80">
        <f t="shared" si="112"/>
        <v>9</v>
      </c>
      <c r="X141" s="80">
        <f t="shared" si="112"/>
        <v>10</v>
      </c>
      <c r="Y141" s="80">
        <f t="shared" si="112"/>
        <v>11</v>
      </c>
      <c r="Z141" s="80">
        <f t="shared" si="112"/>
        <v>12</v>
      </c>
      <c r="AA141" s="80">
        <f t="shared" si="112"/>
        <v>13</v>
      </c>
      <c r="AB141" s="80">
        <f t="shared" si="112"/>
        <v>14</v>
      </c>
      <c r="AC141" s="80">
        <f t="shared" si="112"/>
        <v>15</v>
      </c>
      <c r="AD141" s="80">
        <f t="shared" si="112"/>
        <v>16</v>
      </c>
      <c r="AE141" s="80">
        <f t="shared" si="112"/>
        <v>17</v>
      </c>
      <c r="AF141" s="80">
        <f t="shared" si="112"/>
        <v>18</v>
      </c>
      <c r="AG141" s="80">
        <f t="shared" si="112"/>
        <v>19</v>
      </c>
      <c r="AH141" s="80">
        <f t="shared" si="112"/>
        <v>20</v>
      </c>
      <c r="AI141" s="80">
        <f t="shared" si="112"/>
        <v>21</v>
      </c>
      <c r="AJ141" s="80">
        <f t="shared" si="112"/>
        <v>22</v>
      </c>
      <c r="AK141" s="80">
        <f t="shared" si="112"/>
        <v>23</v>
      </c>
      <c r="AL141" s="80">
        <f t="shared" si="112"/>
        <v>24</v>
      </c>
      <c r="AM141" s="80">
        <f t="shared" si="112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113">O$2</f>
        <v>46023</v>
      </c>
      <c r="P142" s="84">
        <f t="shared" si="113"/>
        <v>46388</v>
      </c>
      <c r="Q142" s="84">
        <f t="shared" si="113"/>
        <v>46753</v>
      </c>
      <c r="R142" s="84">
        <f t="shared" si="113"/>
        <v>47119</v>
      </c>
      <c r="S142" s="84">
        <f t="shared" si="113"/>
        <v>47484</v>
      </c>
      <c r="T142" s="84">
        <f t="shared" si="113"/>
        <v>47849</v>
      </c>
      <c r="U142" s="84">
        <f t="shared" si="113"/>
        <v>48214</v>
      </c>
      <c r="V142" s="84">
        <f t="shared" si="113"/>
        <v>48580</v>
      </c>
      <c r="W142" s="84">
        <f t="shared" si="113"/>
        <v>48945</v>
      </c>
      <c r="X142" s="84">
        <f t="shared" si="113"/>
        <v>49310</v>
      </c>
      <c r="Y142" s="84">
        <f t="shared" si="113"/>
        <v>49675</v>
      </c>
      <c r="Z142" s="84">
        <f t="shared" si="113"/>
        <v>50041</v>
      </c>
      <c r="AA142" s="84">
        <f t="shared" si="113"/>
        <v>50406</v>
      </c>
      <c r="AB142" s="84">
        <f t="shared" si="113"/>
        <v>50771</v>
      </c>
      <c r="AC142" s="84">
        <f t="shared" si="113"/>
        <v>51136</v>
      </c>
      <c r="AD142" s="84">
        <f t="shared" si="113"/>
        <v>51502</v>
      </c>
      <c r="AE142" s="84">
        <f t="shared" si="113"/>
        <v>51867</v>
      </c>
      <c r="AF142" s="84">
        <f t="shared" si="113"/>
        <v>52232</v>
      </c>
      <c r="AG142" s="84">
        <f t="shared" si="113"/>
        <v>52597</v>
      </c>
      <c r="AH142" s="84">
        <f t="shared" si="113"/>
        <v>52963</v>
      </c>
      <c r="AI142" s="84">
        <f t="shared" si="113"/>
        <v>53328</v>
      </c>
      <c r="AJ142" s="84">
        <f t="shared" si="113"/>
        <v>53693</v>
      </c>
      <c r="AK142" s="84">
        <f t="shared" si="113"/>
        <v>54058</v>
      </c>
      <c r="AL142" s="84">
        <f t="shared" si="113"/>
        <v>54424</v>
      </c>
      <c r="AM142" s="84">
        <f t="shared" si="113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45683654.329008378</v>
      </c>
      <c r="L143" s="62">
        <f t="shared" ref="L143:L147" si="114">SUM(O143:AV143)</f>
        <v>130501053.71634081</v>
      </c>
      <c r="M143" s="1"/>
      <c r="N143" s="1"/>
      <c r="O143" s="112">
        <f t="shared" ref="O143:AM143" si="115">O75</f>
        <v>1787685.6673471334</v>
      </c>
      <c r="P143" s="112">
        <f t="shared" si="115"/>
        <v>5363057.002041406</v>
      </c>
      <c r="Q143" s="112">
        <f t="shared" si="115"/>
        <v>5363057.002041406</v>
      </c>
      <c r="R143" s="112">
        <f t="shared" si="115"/>
        <v>5363057.002041406</v>
      </c>
      <c r="S143" s="112">
        <f t="shared" si="115"/>
        <v>5363057.002041406</v>
      </c>
      <c r="T143" s="112">
        <f t="shared" si="115"/>
        <v>5363057.002041406</v>
      </c>
      <c r="U143" s="112">
        <f t="shared" si="115"/>
        <v>5363057.002041406</v>
      </c>
      <c r="V143" s="112">
        <f t="shared" si="115"/>
        <v>5363057.002041406</v>
      </c>
      <c r="W143" s="112">
        <f t="shared" si="115"/>
        <v>5363057.002041406</v>
      </c>
      <c r="X143" s="112">
        <f t="shared" si="115"/>
        <v>5363057.002041406</v>
      </c>
      <c r="Y143" s="112">
        <f t="shared" si="115"/>
        <v>5363057.002041406</v>
      </c>
      <c r="Z143" s="112">
        <f t="shared" si="115"/>
        <v>5363057.002041406</v>
      </c>
      <c r="AA143" s="112">
        <f t="shared" si="115"/>
        <v>5363057.002041406</v>
      </c>
      <c r="AB143" s="112">
        <f t="shared" si="115"/>
        <v>5363057.002041406</v>
      </c>
      <c r="AC143" s="112">
        <f t="shared" si="115"/>
        <v>5363057.002041406</v>
      </c>
      <c r="AD143" s="112">
        <f t="shared" si="115"/>
        <v>5363057.002041406</v>
      </c>
      <c r="AE143" s="112">
        <f t="shared" si="115"/>
        <v>5363057.002041406</v>
      </c>
      <c r="AF143" s="112">
        <f t="shared" si="115"/>
        <v>5363057.002041406</v>
      </c>
      <c r="AG143" s="112">
        <f t="shared" si="115"/>
        <v>5363057.002041406</v>
      </c>
      <c r="AH143" s="112">
        <f t="shared" si="115"/>
        <v>5363057.002041406</v>
      </c>
      <c r="AI143" s="112">
        <f t="shared" si="115"/>
        <v>5363057.002041406</v>
      </c>
      <c r="AJ143" s="112">
        <f t="shared" si="115"/>
        <v>5363057.002041406</v>
      </c>
      <c r="AK143" s="112">
        <f t="shared" si="115"/>
        <v>5363057.002041406</v>
      </c>
      <c r="AL143" s="112">
        <f t="shared" si="115"/>
        <v>5363057.002041406</v>
      </c>
      <c r="AM143" s="112">
        <f t="shared" si="115"/>
        <v>5363057.002041406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-2581126.4695889745</v>
      </c>
      <c r="L144" s="54">
        <f t="shared" si="114"/>
        <v>-7373309.53497326</v>
      </c>
      <c r="M144" s="1"/>
      <c r="N144" s="1"/>
      <c r="O144" s="97">
        <f t="shared" ref="O144:AM144" si="116">-MAX(O212,0)-O260</f>
        <v>-101004.24020511303</v>
      </c>
      <c r="P144" s="97">
        <f t="shared" si="116"/>
        <v>-303012.72061533947</v>
      </c>
      <c r="Q144" s="97">
        <f t="shared" si="116"/>
        <v>-303012.72061533947</v>
      </c>
      <c r="R144" s="97">
        <f t="shared" si="116"/>
        <v>-303012.72061533947</v>
      </c>
      <c r="S144" s="97">
        <f t="shared" si="116"/>
        <v>-303012.72061533947</v>
      </c>
      <c r="T144" s="97">
        <f t="shared" si="116"/>
        <v>-303012.72061533947</v>
      </c>
      <c r="U144" s="97">
        <f t="shared" si="116"/>
        <v>-303012.72061533947</v>
      </c>
      <c r="V144" s="97">
        <f t="shared" si="116"/>
        <v>-303012.72061533947</v>
      </c>
      <c r="W144" s="97">
        <f t="shared" si="116"/>
        <v>-303012.72061533947</v>
      </c>
      <c r="X144" s="97">
        <f t="shared" si="116"/>
        <v>-303012.72061533947</v>
      </c>
      <c r="Y144" s="97">
        <f t="shared" si="116"/>
        <v>-303012.72061533947</v>
      </c>
      <c r="Z144" s="97">
        <f t="shared" si="116"/>
        <v>-303012.72061533947</v>
      </c>
      <c r="AA144" s="97">
        <f t="shared" si="116"/>
        <v>-303012.72061533947</v>
      </c>
      <c r="AB144" s="97">
        <f t="shared" si="116"/>
        <v>-303012.72061533947</v>
      </c>
      <c r="AC144" s="97">
        <f t="shared" si="116"/>
        <v>-303012.72061533947</v>
      </c>
      <c r="AD144" s="97">
        <f t="shared" si="116"/>
        <v>-303012.72061533947</v>
      </c>
      <c r="AE144" s="97">
        <f t="shared" si="116"/>
        <v>-303012.72061533947</v>
      </c>
      <c r="AF144" s="97">
        <f t="shared" si="116"/>
        <v>-303012.72061533947</v>
      </c>
      <c r="AG144" s="97">
        <f t="shared" si="116"/>
        <v>-303012.72061533947</v>
      </c>
      <c r="AH144" s="97">
        <f t="shared" si="116"/>
        <v>-303012.72061533947</v>
      </c>
      <c r="AI144" s="97">
        <f t="shared" si="116"/>
        <v>-303012.72061533947</v>
      </c>
      <c r="AJ144" s="97">
        <f t="shared" si="116"/>
        <v>-303012.72061533947</v>
      </c>
      <c r="AK144" s="97">
        <f t="shared" si="116"/>
        <v>-303012.72061533947</v>
      </c>
      <c r="AL144" s="97">
        <f t="shared" si="116"/>
        <v>-303012.72061533947</v>
      </c>
      <c r="AM144" s="97">
        <f t="shared" si="116"/>
        <v>-303012.72061533947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-21065026.932787452</v>
      </c>
      <c r="L145" s="54">
        <f t="shared" si="114"/>
        <v>-58835225.636226192</v>
      </c>
      <c r="M145" s="1"/>
      <c r="N145" s="1"/>
      <c r="O145" s="97">
        <f t="shared" ref="O145:AM145" si="117">O106</f>
        <v>-1517216.4138084308</v>
      </c>
      <c r="P145" s="97">
        <f t="shared" si="117"/>
        <v>-2381185.6571947243</v>
      </c>
      <c r="Q145" s="97">
        <f t="shared" si="117"/>
        <v>-2437432.8809328228</v>
      </c>
      <c r="R145" s="97">
        <f t="shared" si="117"/>
        <v>-2379576.7400941118</v>
      </c>
      <c r="S145" s="97">
        <f t="shared" si="117"/>
        <v>-2391948.1038322099</v>
      </c>
      <c r="T145" s="97">
        <f t="shared" si="117"/>
        <v>-2421843.6829934991</v>
      </c>
      <c r="U145" s="97">
        <f t="shared" si="117"/>
        <v>-2390339.1867315979</v>
      </c>
      <c r="V145" s="97">
        <f t="shared" si="117"/>
        <v>-2420234.7658928866</v>
      </c>
      <c r="W145" s="97">
        <f t="shared" si="117"/>
        <v>-2388730.2696309853</v>
      </c>
      <c r="X145" s="97">
        <f t="shared" si="117"/>
        <v>-2374749.9887922746</v>
      </c>
      <c r="Y145" s="97">
        <f t="shared" si="117"/>
        <v>-2430997.2125303731</v>
      </c>
      <c r="Z145" s="97">
        <f t="shared" si="117"/>
        <v>-2373141.0716916621</v>
      </c>
      <c r="AA145" s="97">
        <f t="shared" si="117"/>
        <v>-2429388.2954297606</v>
      </c>
      <c r="AB145" s="97">
        <f t="shared" si="117"/>
        <v>-2371532.1545910495</v>
      </c>
      <c r="AC145" s="97">
        <f t="shared" si="117"/>
        <v>-2383903.5183291482</v>
      </c>
      <c r="AD145" s="97">
        <f t="shared" si="117"/>
        <v>-2413799.0974904369</v>
      </c>
      <c r="AE145" s="97">
        <f t="shared" si="117"/>
        <v>-2382294.6012285356</v>
      </c>
      <c r="AF145" s="97">
        <f t="shared" si="117"/>
        <v>-2412190.1803898248</v>
      </c>
      <c r="AG145" s="97">
        <f t="shared" si="117"/>
        <v>-2380685.6841279231</v>
      </c>
      <c r="AH145" s="97">
        <f t="shared" si="117"/>
        <v>-2366705.4032892124</v>
      </c>
      <c r="AI145" s="97">
        <f t="shared" si="117"/>
        <v>-2422952.6270273109</v>
      </c>
      <c r="AJ145" s="97">
        <f t="shared" si="117"/>
        <v>-2365096.4861885998</v>
      </c>
      <c r="AK145" s="97">
        <f t="shared" si="117"/>
        <v>-2421343.7099266988</v>
      </c>
      <c r="AL145" s="97">
        <f t="shared" si="117"/>
        <v>-2363487.5690879873</v>
      </c>
      <c r="AM145" s="97">
        <f t="shared" si="117"/>
        <v>-2214450.3349941219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-4751390.072623563</v>
      </c>
      <c r="L146" s="54">
        <f t="shared" si="114"/>
        <v>-13598514.644337883</v>
      </c>
      <c r="M146" s="1"/>
      <c r="N146" s="1"/>
      <c r="O146" s="54">
        <f t="shared" ref="O146:AM146" si="118">MIN(O117,0)</f>
        <v>-170500.20060736811</v>
      </c>
      <c r="P146" s="54">
        <f t="shared" si="118"/>
        <v>-559500.601822105</v>
      </c>
      <c r="Q146" s="54">
        <f t="shared" si="118"/>
        <v>-559500.601822105</v>
      </c>
      <c r="R146" s="54">
        <f t="shared" si="118"/>
        <v>-559500.601822105</v>
      </c>
      <c r="S146" s="54">
        <f t="shared" si="118"/>
        <v>-559500.601822105</v>
      </c>
      <c r="T146" s="54">
        <f t="shared" si="118"/>
        <v>-559500.601822105</v>
      </c>
      <c r="U146" s="54">
        <f t="shared" si="118"/>
        <v>-559500.601822105</v>
      </c>
      <c r="V146" s="54">
        <f t="shared" si="118"/>
        <v>-559500.601822105</v>
      </c>
      <c r="W146" s="54">
        <f t="shared" si="118"/>
        <v>-559500.601822105</v>
      </c>
      <c r="X146" s="54">
        <f t="shared" si="118"/>
        <v>-559500.601822105</v>
      </c>
      <c r="Y146" s="54">
        <f t="shared" si="118"/>
        <v>-559500.601822105</v>
      </c>
      <c r="Z146" s="54">
        <f t="shared" si="118"/>
        <v>-559500.601822105</v>
      </c>
      <c r="AA146" s="54">
        <f t="shared" si="118"/>
        <v>-559500.601822105</v>
      </c>
      <c r="AB146" s="54">
        <f t="shared" si="118"/>
        <v>-559500.601822105</v>
      </c>
      <c r="AC146" s="54">
        <f t="shared" si="118"/>
        <v>-559500.601822105</v>
      </c>
      <c r="AD146" s="54">
        <f t="shared" si="118"/>
        <v>-559500.601822105</v>
      </c>
      <c r="AE146" s="54">
        <f t="shared" si="118"/>
        <v>-559500.601822105</v>
      </c>
      <c r="AF146" s="54">
        <f t="shared" si="118"/>
        <v>-559500.601822105</v>
      </c>
      <c r="AG146" s="54">
        <f t="shared" si="118"/>
        <v>-559500.601822105</v>
      </c>
      <c r="AH146" s="54">
        <f t="shared" si="118"/>
        <v>-559500.601822105</v>
      </c>
      <c r="AI146" s="54">
        <f t="shared" si="118"/>
        <v>-559500.601822105</v>
      </c>
      <c r="AJ146" s="54">
        <f t="shared" si="118"/>
        <v>-559500.601822105</v>
      </c>
      <c r="AK146" s="54">
        <f t="shared" si="118"/>
        <v>-559500.601822105</v>
      </c>
      <c r="AL146" s="54">
        <f t="shared" si="118"/>
        <v>-559500.601822105</v>
      </c>
      <c r="AM146" s="54">
        <f t="shared" si="118"/>
        <v>-559500.601822105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114"/>
        <v>0</v>
      </c>
      <c r="M147" s="1"/>
      <c r="N147" s="1"/>
      <c r="O147" s="54">
        <f t="shared" ref="O147:AM147" si="119">O49</f>
        <v>0</v>
      </c>
      <c r="P147" s="54">
        <f t="shared" si="119"/>
        <v>0</v>
      </c>
      <c r="Q147" s="54">
        <f t="shared" si="119"/>
        <v>0</v>
      </c>
      <c r="R147" s="54">
        <f t="shared" si="119"/>
        <v>0</v>
      </c>
      <c r="S147" s="54">
        <f t="shared" si="119"/>
        <v>0</v>
      </c>
      <c r="T147" s="54">
        <f t="shared" si="119"/>
        <v>0</v>
      </c>
      <c r="U147" s="54">
        <f t="shared" si="119"/>
        <v>0</v>
      </c>
      <c r="V147" s="54">
        <f t="shared" si="119"/>
        <v>0</v>
      </c>
      <c r="W147" s="54">
        <f t="shared" si="119"/>
        <v>0</v>
      </c>
      <c r="X147" s="54">
        <f t="shared" si="119"/>
        <v>0</v>
      </c>
      <c r="Y147" s="54">
        <f t="shared" si="119"/>
        <v>0</v>
      </c>
      <c r="Z147" s="54">
        <f t="shared" si="119"/>
        <v>0</v>
      </c>
      <c r="AA147" s="54">
        <f t="shared" si="119"/>
        <v>0</v>
      </c>
      <c r="AB147" s="54">
        <f t="shared" si="119"/>
        <v>0</v>
      </c>
      <c r="AC147" s="54">
        <f t="shared" si="119"/>
        <v>0</v>
      </c>
      <c r="AD147" s="54">
        <f t="shared" si="119"/>
        <v>0</v>
      </c>
      <c r="AE147" s="54">
        <f t="shared" si="119"/>
        <v>0</v>
      </c>
      <c r="AF147" s="54">
        <f t="shared" si="119"/>
        <v>0</v>
      </c>
      <c r="AG147" s="54">
        <f t="shared" si="119"/>
        <v>0</v>
      </c>
      <c r="AH147" s="54">
        <f t="shared" si="119"/>
        <v>0</v>
      </c>
      <c r="AI147" s="54">
        <f t="shared" si="119"/>
        <v>0</v>
      </c>
      <c r="AJ147" s="54">
        <f t="shared" si="119"/>
        <v>0</v>
      </c>
      <c r="AK147" s="54">
        <f t="shared" si="119"/>
        <v>0</v>
      </c>
      <c r="AL147" s="54">
        <f t="shared" si="119"/>
        <v>0</v>
      </c>
      <c r="AM147" s="54">
        <f t="shared" si="119"/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120">SUM(K143:K147)</f>
        <v>17286110.854008391</v>
      </c>
      <c r="L148" s="115">
        <f t="shared" si="120"/>
        <v>50694003.900803469</v>
      </c>
      <c r="M148" s="1"/>
      <c r="N148" s="1"/>
      <c r="O148" s="334">
        <f t="shared" ref="O148:AM148" si="121">SUM(O143:O147)</f>
        <v>-1035.1872737785743</v>
      </c>
      <c r="P148" s="334">
        <f t="shared" si="121"/>
        <v>2119358.022409237</v>
      </c>
      <c r="Q148" s="116">
        <f t="shared" si="121"/>
        <v>2063110.7986711387</v>
      </c>
      <c r="R148" s="116">
        <f t="shared" si="121"/>
        <v>2120966.93950985</v>
      </c>
      <c r="S148" s="116">
        <f t="shared" si="121"/>
        <v>2108595.5757717518</v>
      </c>
      <c r="T148" s="116">
        <f t="shared" si="121"/>
        <v>2078699.9966104624</v>
      </c>
      <c r="U148" s="116">
        <f t="shared" si="121"/>
        <v>2110204.4928723639</v>
      </c>
      <c r="V148" s="116">
        <f t="shared" si="121"/>
        <v>2080308.913711075</v>
      </c>
      <c r="W148" s="116">
        <f t="shared" si="121"/>
        <v>2111813.409972976</v>
      </c>
      <c r="X148" s="116">
        <f t="shared" si="121"/>
        <v>2125793.6908116871</v>
      </c>
      <c r="Y148" s="116">
        <f t="shared" si="121"/>
        <v>2069546.4670735884</v>
      </c>
      <c r="Z148" s="116">
        <f t="shared" si="121"/>
        <v>2127402.6079122992</v>
      </c>
      <c r="AA148" s="116">
        <f t="shared" si="121"/>
        <v>2071155.3841742009</v>
      </c>
      <c r="AB148" s="116">
        <f t="shared" si="121"/>
        <v>2129011.5250129122</v>
      </c>
      <c r="AC148" s="116">
        <f t="shared" si="121"/>
        <v>2116640.1612748131</v>
      </c>
      <c r="AD148" s="116">
        <f t="shared" si="121"/>
        <v>2086744.5821135247</v>
      </c>
      <c r="AE148" s="116">
        <f t="shared" si="121"/>
        <v>2118249.0783754261</v>
      </c>
      <c r="AF148" s="116">
        <f t="shared" si="121"/>
        <v>2088353.4992141367</v>
      </c>
      <c r="AG148" s="116">
        <f t="shared" si="121"/>
        <v>2119857.9954760382</v>
      </c>
      <c r="AH148" s="116">
        <f t="shared" si="121"/>
        <v>2133838.2763147494</v>
      </c>
      <c r="AI148" s="116">
        <f t="shared" si="121"/>
        <v>2077591.0525766506</v>
      </c>
      <c r="AJ148" s="116">
        <f t="shared" si="121"/>
        <v>2135447.1934153615</v>
      </c>
      <c r="AK148" s="116">
        <f t="shared" si="121"/>
        <v>2079199.9696772627</v>
      </c>
      <c r="AL148" s="116">
        <f t="shared" si="121"/>
        <v>2137056.1105159745</v>
      </c>
      <c r="AM148" s="116">
        <f t="shared" si="121"/>
        <v>2286093.3446098398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>
        <f t="shared" ref="K149:L149" si="122">IFERROR(K148/(K143+K144),"nd")</f>
        <v>0.40104633562067921</v>
      </c>
      <c r="L149" s="118">
        <f t="shared" si="122"/>
        <v>0.41171877417108405</v>
      </c>
      <c r="M149" s="1"/>
      <c r="N149" s="1"/>
      <c r="O149" s="335">
        <f t="shared" ref="O149:AM149" si="123">IFERROR((O148-O146)/(O143+O144),"nd")</f>
        <v>0.10047244880186874</v>
      </c>
      <c r="P149" s="335">
        <f t="shared" si="123"/>
        <v>0.52941406739554508</v>
      </c>
      <c r="Q149" s="119">
        <f t="shared" si="123"/>
        <v>0.51829811255211311</v>
      </c>
      <c r="R149" s="119">
        <f t="shared" si="123"/>
        <v>0.5297320324193926</v>
      </c>
      <c r="S149" s="119">
        <f t="shared" si="123"/>
        <v>0.52728712027040014</v>
      </c>
      <c r="T149" s="119">
        <f t="shared" si="123"/>
        <v>0.52137895474880036</v>
      </c>
      <c r="U149" s="119">
        <f t="shared" si="123"/>
        <v>0.52760508529424754</v>
      </c>
      <c r="V149" s="119">
        <f t="shared" si="123"/>
        <v>0.52169691977264776</v>
      </c>
      <c r="W149" s="119">
        <f t="shared" si="123"/>
        <v>0.52792305031809483</v>
      </c>
      <c r="X149" s="119">
        <f t="shared" si="123"/>
        <v>0.53068592749093468</v>
      </c>
      <c r="Y149" s="119">
        <f t="shared" si="123"/>
        <v>0.5195699726475026</v>
      </c>
      <c r="Z149" s="119">
        <f t="shared" si="123"/>
        <v>0.53100389251478197</v>
      </c>
      <c r="AA149" s="119">
        <f t="shared" si="123"/>
        <v>0.51988793767135</v>
      </c>
      <c r="AB149" s="119">
        <f t="shared" si="123"/>
        <v>0.53132185753862948</v>
      </c>
      <c r="AC149" s="119">
        <f t="shared" si="123"/>
        <v>0.52887694538963692</v>
      </c>
      <c r="AD149" s="119">
        <f t="shared" si="123"/>
        <v>0.52296877986803736</v>
      </c>
      <c r="AE149" s="119">
        <f t="shared" si="123"/>
        <v>0.52919491041348443</v>
      </c>
      <c r="AF149" s="119">
        <f t="shared" si="123"/>
        <v>0.52328674489188465</v>
      </c>
      <c r="AG149" s="119">
        <f t="shared" si="123"/>
        <v>0.52951287543733172</v>
      </c>
      <c r="AH149" s="119">
        <f t="shared" si="123"/>
        <v>0.53227575261017157</v>
      </c>
      <c r="AI149" s="119">
        <f t="shared" si="123"/>
        <v>0.52115979776673949</v>
      </c>
      <c r="AJ149" s="119">
        <f t="shared" si="123"/>
        <v>0.53259371763401897</v>
      </c>
      <c r="AK149" s="119">
        <f t="shared" si="123"/>
        <v>0.52147776279058689</v>
      </c>
      <c r="AL149" s="119">
        <f t="shared" si="123"/>
        <v>0.53291168265786637</v>
      </c>
      <c r="AM149" s="119">
        <f t="shared" si="123"/>
        <v>0.56236542373300624</v>
      </c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124">SUM(K151:K152)</f>
        <v>-17286110.854008384</v>
      </c>
      <c r="L150" s="69">
        <f t="shared" si="124"/>
        <v>-33665520.37070173</v>
      </c>
      <c r="M150" s="1"/>
      <c r="N150" s="1"/>
      <c r="O150" s="69">
        <f t="shared" ref="O150:AM150" si="125">SUM(O151:O152)</f>
        <v>-10872786.299233023</v>
      </c>
      <c r="P150" s="69">
        <f t="shared" si="125"/>
        <v>0</v>
      </c>
      <c r="Q150" s="69">
        <f t="shared" si="125"/>
        <v>0</v>
      </c>
      <c r="R150" s="69">
        <f t="shared" si="125"/>
        <v>0</v>
      </c>
      <c r="S150" s="69">
        <f t="shared" si="125"/>
        <v>-4627416.8325103205</v>
      </c>
      <c r="T150" s="69">
        <f t="shared" si="125"/>
        <v>0</v>
      </c>
      <c r="U150" s="69">
        <f t="shared" si="125"/>
        <v>0</v>
      </c>
      <c r="V150" s="69">
        <f t="shared" si="125"/>
        <v>-414811.16858991171</v>
      </c>
      <c r="W150" s="69">
        <f t="shared" si="125"/>
        <v>-593554.54468889139</v>
      </c>
      <c r="X150" s="69">
        <f t="shared" si="125"/>
        <v>0</v>
      </c>
      <c r="Y150" s="69">
        <f t="shared" si="125"/>
        <v>-4595961.8608947229</v>
      </c>
      <c r="Z150" s="69">
        <f t="shared" si="125"/>
        <v>0</v>
      </c>
      <c r="AA150" s="69">
        <f t="shared" si="125"/>
        <v>-1883882.1860244903</v>
      </c>
      <c r="AB150" s="69">
        <f t="shared" si="125"/>
        <v>0</v>
      </c>
      <c r="AC150" s="69">
        <f t="shared" si="125"/>
        <v>0</v>
      </c>
      <c r="AD150" s="69">
        <f t="shared" si="125"/>
        <v>-5010321.4954201402</v>
      </c>
      <c r="AE150" s="69">
        <f t="shared" si="125"/>
        <v>-78978.747551102293</v>
      </c>
      <c r="AF150" s="69">
        <f t="shared" si="125"/>
        <v>-515027.33120228339</v>
      </c>
      <c r="AG150" s="69">
        <f t="shared" si="125"/>
        <v>0</v>
      </c>
      <c r="AH150" s="69">
        <f t="shared" si="125"/>
        <v>0</v>
      </c>
      <c r="AI150" s="69">
        <f t="shared" si="125"/>
        <v>-4626965.2984458264</v>
      </c>
      <c r="AJ150" s="69">
        <f t="shared" si="125"/>
        <v>0</v>
      </c>
      <c r="AK150" s="69">
        <f t="shared" si="125"/>
        <v>-414811.16858991171</v>
      </c>
      <c r="AL150" s="69">
        <f t="shared" si="125"/>
        <v>0</v>
      </c>
      <c r="AM150" s="69">
        <f t="shared" si="125"/>
        <v>-31003.437551102299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-16947682.597047973</v>
      </c>
      <c r="L151" s="97">
        <f t="shared" ref="L151:L152" si="126">SUM(O151:AV151)</f>
        <v>-33293479.120088503</v>
      </c>
      <c r="M151" s="1"/>
      <c r="N151" s="1"/>
      <c r="O151" s="97">
        <f>-O29</f>
        <v>-10500745.048619796</v>
      </c>
      <c r="P151" s="97">
        <f t="shared" ref="P151:AM151" si="127">-P29</f>
        <v>0</v>
      </c>
      <c r="Q151" s="97">
        <f t="shared" si="127"/>
        <v>0</v>
      </c>
      <c r="R151" s="97">
        <f t="shared" si="127"/>
        <v>0</v>
      </c>
      <c r="S151" s="97">
        <f t="shared" si="127"/>
        <v>-4627416.8325103205</v>
      </c>
      <c r="T151" s="97">
        <f t="shared" si="127"/>
        <v>0</v>
      </c>
      <c r="U151" s="97">
        <f t="shared" si="127"/>
        <v>0</v>
      </c>
      <c r="V151" s="97">
        <f t="shared" si="127"/>
        <v>-414811.16858991171</v>
      </c>
      <c r="W151" s="97">
        <f t="shared" si="127"/>
        <v>-593554.54468889139</v>
      </c>
      <c r="X151" s="97">
        <f t="shared" si="127"/>
        <v>0</v>
      </c>
      <c r="Y151" s="97">
        <f t="shared" si="127"/>
        <v>-4595961.8608947229</v>
      </c>
      <c r="Z151" s="97">
        <f t="shared" si="127"/>
        <v>0</v>
      </c>
      <c r="AA151" s="97">
        <f t="shared" si="127"/>
        <v>-1883882.1860244903</v>
      </c>
      <c r="AB151" s="97">
        <f t="shared" si="127"/>
        <v>0</v>
      </c>
      <c r="AC151" s="97">
        <f t="shared" si="127"/>
        <v>0</v>
      </c>
      <c r="AD151" s="97">
        <f t="shared" si="127"/>
        <v>-5010321.4954201402</v>
      </c>
      <c r="AE151" s="97">
        <f t="shared" si="127"/>
        <v>-78978.747551102293</v>
      </c>
      <c r="AF151" s="97">
        <f t="shared" si="127"/>
        <v>-515027.33120228339</v>
      </c>
      <c r="AG151" s="97">
        <f t="shared" si="127"/>
        <v>0</v>
      </c>
      <c r="AH151" s="97">
        <f t="shared" si="127"/>
        <v>0</v>
      </c>
      <c r="AI151" s="97">
        <f t="shared" si="127"/>
        <v>-4626965.2984458264</v>
      </c>
      <c r="AJ151" s="97">
        <f t="shared" si="127"/>
        <v>0</v>
      </c>
      <c r="AK151" s="97">
        <f t="shared" si="127"/>
        <v>-414811.16858991171</v>
      </c>
      <c r="AL151" s="97">
        <f t="shared" si="127"/>
        <v>0</v>
      </c>
      <c r="AM151" s="97">
        <f t="shared" si="127"/>
        <v>-31003.437551102299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-338428.25696040934</v>
      </c>
      <c r="L152" s="54">
        <f t="shared" si="126"/>
        <v>-372041.25061322754</v>
      </c>
      <c r="M152" s="1"/>
      <c r="N152" s="1"/>
      <c r="O152" s="97">
        <f t="shared" ref="O152:AM152" si="128">-O41</f>
        <v>-372041.25061322754</v>
      </c>
      <c r="P152" s="97">
        <f t="shared" si="128"/>
        <v>0</v>
      </c>
      <c r="Q152" s="97">
        <f t="shared" si="128"/>
        <v>0</v>
      </c>
      <c r="R152" s="97">
        <f t="shared" si="128"/>
        <v>0</v>
      </c>
      <c r="S152" s="97">
        <f t="shared" si="128"/>
        <v>0</v>
      </c>
      <c r="T152" s="97">
        <f t="shared" si="128"/>
        <v>0</v>
      </c>
      <c r="U152" s="97">
        <f t="shared" si="128"/>
        <v>0</v>
      </c>
      <c r="V152" s="97">
        <f t="shared" si="128"/>
        <v>0</v>
      </c>
      <c r="W152" s="97">
        <f t="shared" si="128"/>
        <v>0</v>
      </c>
      <c r="X152" s="97">
        <f t="shared" si="128"/>
        <v>0</v>
      </c>
      <c r="Y152" s="97">
        <f t="shared" si="128"/>
        <v>0</v>
      </c>
      <c r="Z152" s="97">
        <f t="shared" si="128"/>
        <v>0</v>
      </c>
      <c r="AA152" s="97">
        <f t="shared" si="128"/>
        <v>0</v>
      </c>
      <c r="AB152" s="97">
        <f t="shared" si="128"/>
        <v>0</v>
      </c>
      <c r="AC152" s="97">
        <f t="shared" si="128"/>
        <v>0</v>
      </c>
      <c r="AD152" s="97">
        <f t="shared" si="128"/>
        <v>0</v>
      </c>
      <c r="AE152" s="97">
        <f t="shared" si="128"/>
        <v>0</v>
      </c>
      <c r="AF152" s="97">
        <f t="shared" si="128"/>
        <v>0</v>
      </c>
      <c r="AG152" s="97">
        <f t="shared" si="128"/>
        <v>0</v>
      </c>
      <c r="AH152" s="97">
        <f t="shared" si="128"/>
        <v>0</v>
      </c>
      <c r="AI152" s="97">
        <f t="shared" si="128"/>
        <v>0</v>
      </c>
      <c r="AJ152" s="97">
        <f t="shared" si="128"/>
        <v>0</v>
      </c>
      <c r="AK152" s="97">
        <f t="shared" si="128"/>
        <v>0</v>
      </c>
      <c r="AL152" s="97">
        <f t="shared" si="128"/>
        <v>0</v>
      </c>
      <c r="AM152" s="97">
        <f t="shared" si="128"/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129">K148+K150</f>
        <v>0</v>
      </c>
      <c r="L153" s="115">
        <f t="shared" si="129"/>
        <v>17028483.530101739</v>
      </c>
      <c r="M153" s="1"/>
      <c r="N153" s="1"/>
      <c r="O153" s="116">
        <f t="shared" ref="O153:AM153" si="130">O148+O150</f>
        <v>-10873821.486506801</v>
      </c>
      <c r="P153" s="116">
        <f t="shared" si="130"/>
        <v>2119358.022409237</v>
      </c>
      <c r="Q153" s="116">
        <f t="shared" si="130"/>
        <v>2063110.7986711387</v>
      </c>
      <c r="R153" s="116">
        <f t="shared" si="130"/>
        <v>2120966.93950985</v>
      </c>
      <c r="S153" s="116">
        <f t="shared" si="130"/>
        <v>-2518821.2567385687</v>
      </c>
      <c r="T153" s="116">
        <f t="shared" si="130"/>
        <v>2078699.9966104624</v>
      </c>
      <c r="U153" s="116">
        <f t="shared" si="130"/>
        <v>2110204.4928723639</v>
      </c>
      <c r="V153" s="116">
        <f t="shared" si="130"/>
        <v>1665497.7451211633</v>
      </c>
      <c r="W153" s="116">
        <f t="shared" si="130"/>
        <v>1518258.8652840846</v>
      </c>
      <c r="X153" s="116">
        <f t="shared" si="130"/>
        <v>2125793.6908116871</v>
      </c>
      <c r="Y153" s="116">
        <f t="shared" si="130"/>
        <v>-2526415.3938211342</v>
      </c>
      <c r="Z153" s="116">
        <f t="shared" si="130"/>
        <v>2127402.6079122992</v>
      </c>
      <c r="AA153" s="116">
        <f t="shared" si="130"/>
        <v>187273.19814971066</v>
      </c>
      <c r="AB153" s="116">
        <f t="shared" si="130"/>
        <v>2129011.5250129122</v>
      </c>
      <c r="AC153" s="116">
        <f t="shared" si="130"/>
        <v>2116640.1612748131</v>
      </c>
      <c r="AD153" s="116">
        <f t="shared" si="130"/>
        <v>-2923576.9133066153</v>
      </c>
      <c r="AE153" s="116">
        <f t="shared" si="130"/>
        <v>2039270.3308243239</v>
      </c>
      <c r="AF153" s="116">
        <f t="shared" si="130"/>
        <v>1573326.1680118535</v>
      </c>
      <c r="AG153" s="116">
        <f t="shared" si="130"/>
        <v>2119857.9954760382</v>
      </c>
      <c r="AH153" s="116">
        <f t="shared" si="130"/>
        <v>2133838.2763147494</v>
      </c>
      <c r="AI153" s="116">
        <f t="shared" si="130"/>
        <v>-2549374.2458691755</v>
      </c>
      <c r="AJ153" s="116">
        <f t="shared" si="130"/>
        <v>2135447.1934153615</v>
      </c>
      <c r="AK153" s="116">
        <f t="shared" si="130"/>
        <v>1664388.8010873511</v>
      </c>
      <c r="AL153" s="116">
        <f t="shared" si="130"/>
        <v>2137056.1105159745</v>
      </c>
      <c r="AM153" s="116">
        <f t="shared" si="130"/>
        <v>2255089.9070587377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131">SUM($O153:O153)</f>
        <v>-10873821.486506801</v>
      </c>
      <c r="P154" s="125">
        <f t="shared" si="131"/>
        <v>-8754463.4640975632</v>
      </c>
      <c r="Q154" s="125">
        <f t="shared" si="131"/>
        <v>-6691352.6654264247</v>
      </c>
      <c r="R154" s="125">
        <f t="shared" si="131"/>
        <v>-4570385.7259165747</v>
      </c>
      <c r="S154" s="125">
        <f t="shared" si="131"/>
        <v>-7089206.9826551434</v>
      </c>
      <c r="T154" s="125">
        <f t="shared" si="131"/>
        <v>-5010506.9860446807</v>
      </c>
      <c r="U154" s="125">
        <f t="shared" si="131"/>
        <v>-2900302.4931723168</v>
      </c>
      <c r="V154" s="125">
        <f t="shared" si="131"/>
        <v>-1234804.7480511535</v>
      </c>
      <c r="W154" s="125">
        <f t="shared" si="131"/>
        <v>283454.11723293108</v>
      </c>
      <c r="X154" s="125">
        <f t="shared" si="131"/>
        <v>2409247.808044618</v>
      </c>
      <c r="Y154" s="125">
        <f t="shared" si="131"/>
        <v>-117167.58577651624</v>
      </c>
      <c r="Z154" s="125">
        <f t="shared" si="131"/>
        <v>2010235.022135783</v>
      </c>
      <c r="AA154" s="125">
        <f t="shared" si="131"/>
        <v>2197508.2202854939</v>
      </c>
      <c r="AB154" s="125">
        <f t="shared" si="131"/>
        <v>4326519.7452984061</v>
      </c>
      <c r="AC154" s="125">
        <f t="shared" si="131"/>
        <v>6443159.9065732192</v>
      </c>
      <c r="AD154" s="125">
        <f t="shared" si="131"/>
        <v>3519582.9932666039</v>
      </c>
      <c r="AE154" s="125">
        <f t="shared" si="131"/>
        <v>5558853.3240909278</v>
      </c>
      <c r="AF154" s="125">
        <f t="shared" si="131"/>
        <v>7132179.4921027813</v>
      </c>
      <c r="AG154" s="125">
        <f t="shared" si="131"/>
        <v>9252037.4875788204</v>
      </c>
      <c r="AH154" s="125">
        <f t="shared" si="131"/>
        <v>11385875.763893571</v>
      </c>
      <c r="AI154" s="125">
        <f t="shared" si="131"/>
        <v>8836501.5180243962</v>
      </c>
      <c r="AJ154" s="125">
        <f t="shared" si="131"/>
        <v>10971948.711439759</v>
      </c>
      <c r="AK154" s="125">
        <f t="shared" si="131"/>
        <v>12636337.51252711</v>
      </c>
      <c r="AL154" s="125">
        <f t="shared" si="131"/>
        <v>14773393.623043085</v>
      </c>
      <c r="AM154" s="125">
        <f t="shared" si="131"/>
        <v>17028483.530101821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9.9320884002751519E-2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3.7064121342868259E-9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-10873821.486506801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132">IF(O154&lt;0,1,0)</f>
        <v>1</v>
      </c>
      <c r="P160" s="131">
        <f t="shared" si="132"/>
        <v>1</v>
      </c>
      <c r="Q160" s="131">
        <f t="shared" si="132"/>
        <v>1</v>
      </c>
      <c r="R160" s="131">
        <f t="shared" si="132"/>
        <v>1</v>
      </c>
      <c r="S160" s="131">
        <f t="shared" si="132"/>
        <v>1</v>
      </c>
      <c r="T160" s="131">
        <f t="shared" si="132"/>
        <v>1</v>
      </c>
      <c r="U160" s="131">
        <f t="shared" si="132"/>
        <v>1</v>
      </c>
      <c r="V160" s="131">
        <f t="shared" si="132"/>
        <v>1</v>
      </c>
      <c r="W160" s="131">
        <f t="shared" si="132"/>
        <v>0</v>
      </c>
      <c r="X160" s="131">
        <f t="shared" si="132"/>
        <v>0</v>
      </c>
      <c r="Y160" s="131">
        <f t="shared" si="132"/>
        <v>1</v>
      </c>
      <c r="Z160" s="131">
        <f t="shared" si="132"/>
        <v>0</v>
      </c>
      <c r="AA160" s="131">
        <f t="shared" si="132"/>
        <v>0</v>
      </c>
      <c r="AB160" s="131">
        <f t="shared" si="132"/>
        <v>0</v>
      </c>
      <c r="AC160" s="131">
        <f t="shared" si="132"/>
        <v>0</v>
      </c>
      <c r="AD160" s="131">
        <f t="shared" si="132"/>
        <v>0</v>
      </c>
      <c r="AE160" s="131">
        <f t="shared" si="132"/>
        <v>0</v>
      </c>
      <c r="AF160" s="131">
        <f t="shared" si="132"/>
        <v>0</v>
      </c>
      <c r="AG160" s="131">
        <f t="shared" si="132"/>
        <v>0</v>
      </c>
      <c r="AH160" s="131">
        <f t="shared" si="132"/>
        <v>0</v>
      </c>
      <c r="AI160" s="131">
        <f t="shared" si="132"/>
        <v>0</v>
      </c>
      <c r="AJ160" s="131">
        <f t="shared" si="132"/>
        <v>0</v>
      </c>
      <c r="AK160" s="131">
        <f t="shared" si="132"/>
        <v>0</v>
      </c>
      <c r="AL160" s="131">
        <f t="shared" si="132"/>
        <v>0</v>
      </c>
      <c r="AM160" s="131">
        <f t="shared" si="132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133">SUM(O162:AM162)</f>
        <v>-1235242.3520484315</v>
      </c>
      <c r="M162" s="1"/>
      <c r="N162" s="1"/>
      <c r="O162" s="329">
        <f>SUM(O163:O167)</f>
        <v>5786254.5463459734</v>
      </c>
      <c r="P162" s="357">
        <f t="shared" ref="P162:AM162" si="134">SUM(P163:P167)</f>
        <v>-1302473.204573046</v>
      </c>
      <c r="Q162" s="357">
        <f t="shared" si="134"/>
        <v>-1249583.7159701211</v>
      </c>
      <c r="R162" s="357">
        <f t="shared" si="134"/>
        <v>-1196694.2273671965</v>
      </c>
      <c r="S162" s="357">
        <f t="shared" si="134"/>
        <v>-1143804.7387642716</v>
      </c>
      <c r="T162" s="357">
        <f t="shared" si="134"/>
        <v>-1090915.250161347</v>
      </c>
      <c r="U162" s="357">
        <f t="shared" si="134"/>
        <v>-1038025.7615584222</v>
      </c>
      <c r="V162" s="357">
        <f t="shared" si="134"/>
        <v>1.1863186955451965E-11</v>
      </c>
      <c r="W162" s="357">
        <f t="shared" si="134"/>
        <v>1.1863186955451965E-11</v>
      </c>
      <c r="X162" s="357">
        <f t="shared" si="134"/>
        <v>1.1863186955451965E-11</v>
      </c>
      <c r="Y162" s="357">
        <f t="shared" si="134"/>
        <v>1.1863186955451965E-11</v>
      </c>
      <c r="Z162" s="357">
        <f t="shared" si="134"/>
        <v>1.1863186955451965E-11</v>
      </c>
      <c r="AA162" s="357">
        <f t="shared" si="134"/>
        <v>1.1863186955451965E-11</v>
      </c>
      <c r="AB162" s="357">
        <f t="shared" si="134"/>
        <v>1.1863186955451965E-11</v>
      </c>
      <c r="AC162" s="357">
        <f t="shared" si="134"/>
        <v>1.1863186955451965E-11</v>
      </c>
      <c r="AD162" s="357">
        <f t="shared" si="134"/>
        <v>1.1863186955451965E-11</v>
      </c>
      <c r="AE162" s="357">
        <f t="shared" si="134"/>
        <v>1.1863186955451965E-11</v>
      </c>
      <c r="AF162" s="357">
        <f t="shared" si="134"/>
        <v>1.1863186955451965E-11</v>
      </c>
      <c r="AG162" s="357">
        <f t="shared" si="134"/>
        <v>1.1863186955451965E-11</v>
      </c>
      <c r="AH162" s="357">
        <f t="shared" si="134"/>
        <v>1.1863186955451965E-11</v>
      </c>
      <c r="AI162" s="357">
        <f t="shared" si="134"/>
        <v>1.1863186955451965E-11</v>
      </c>
      <c r="AJ162" s="357">
        <f t="shared" si="134"/>
        <v>1.1863186955451965E-11</v>
      </c>
      <c r="AK162" s="357">
        <f t="shared" si="134"/>
        <v>1.1863186955451965E-11</v>
      </c>
      <c r="AL162" s="357">
        <f t="shared" si="134"/>
        <v>1.1863186955451965E-11</v>
      </c>
      <c r="AM162" s="357">
        <f t="shared" si="134"/>
        <v>1.1863186955451965E-11</v>
      </c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customHeight="1" x14ac:dyDescent="0.3">
      <c r="A163" s="131"/>
      <c r="B163" s="352" t="s">
        <v>5175</v>
      </c>
      <c r="C163" s="352"/>
      <c r="D163" s="352"/>
      <c r="E163" s="352"/>
      <c r="F163" s="352"/>
      <c r="G163" s="350">
        <v>1</v>
      </c>
      <c r="H163" s="350">
        <v>1</v>
      </c>
      <c r="I163" s="350">
        <f>$L$30*WACC!$D$31</f>
        <v>6228154.5693505332</v>
      </c>
      <c r="J163" s="350"/>
      <c r="K163" s="350"/>
      <c r="L163" s="350">
        <f t="shared" si="133"/>
        <v>6228154.5693505332</v>
      </c>
      <c r="M163" s="1"/>
      <c r="N163" s="1"/>
      <c r="O163" s="350">
        <f>IF(AND($G163&lt;=O$3,O$3&lt;=$H163),$I163/($H163-$G163+1),0)</f>
        <v>6228154.5693505332</v>
      </c>
      <c r="P163" s="350">
        <f>IF(AND($G163&lt;=P$3,P$3&lt;=$H163),$I163/($H163-$G163+1),0)</f>
        <v>0</v>
      </c>
      <c r="Q163" s="350">
        <f t="shared" ref="Q163:AM163" si="135">IF(AND($G163&lt;=Q$3,Q$3&lt;=$H163),$I163/($H163-$G163+1),0)</f>
        <v>0</v>
      </c>
      <c r="R163" s="350">
        <f t="shared" si="135"/>
        <v>0</v>
      </c>
      <c r="S163" s="350">
        <f t="shared" si="135"/>
        <v>0</v>
      </c>
      <c r="T163" s="350">
        <f t="shared" si="135"/>
        <v>0</v>
      </c>
      <c r="U163" s="350">
        <f t="shared" si="135"/>
        <v>0</v>
      </c>
      <c r="V163" s="350">
        <f t="shared" si="135"/>
        <v>0</v>
      </c>
      <c r="W163" s="350">
        <f t="shared" si="135"/>
        <v>0</v>
      </c>
      <c r="X163" s="350">
        <f t="shared" si="135"/>
        <v>0</v>
      </c>
      <c r="Y163" s="350">
        <f t="shared" si="135"/>
        <v>0</v>
      </c>
      <c r="Z163" s="350">
        <f t="shared" si="135"/>
        <v>0</v>
      </c>
      <c r="AA163" s="350">
        <f t="shared" si="135"/>
        <v>0</v>
      </c>
      <c r="AB163" s="350">
        <f t="shared" si="135"/>
        <v>0</v>
      </c>
      <c r="AC163" s="350">
        <f t="shared" si="135"/>
        <v>0</v>
      </c>
      <c r="AD163" s="350">
        <f t="shared" si="135"/>
        <v>0</v>
      </c>
      <c r="AE163" s="350">
        <f t="shared" si="135"/>
        <v>0</v>
      </c>
      <c r="AF163" s="350">
        <f t="shared" si="135"/>
        <v>0</v>
      </c>
      <c r="AG163" s="350">
        <f t="shared" si="135"/>
        <v>0</v>
      </c>
      <c r="AH163" s="350">
        <f t="shared" si="135"/>
        <v>0</v>
      </c>
      <c r="AI163" s="350">
        <f t="shared" si="135"/>
        <v>0</v>
      </c>
      <c r="AJ163" s="350">
        <f t="shared" si="135"/>
        <v>0</v>
      </c>
      <c r="AK163" s="350">
        <f t="shared" si="135"/>
        <v>0</v>
      </c>
      <c r="AL163" s="350">
        <f t="shared" si="135"/>
        <v>0</v>
      </c>
      <c r="AM163" s="350">
        <f t="shared" si="135"/>
        <v>0</v>
      </c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customHeight="1" x14ac:dyDescent="0.3">
      <c r="A164" s="131"/>
      <c r="B164" s="353" t="s">
        <v>5176</v>
      </c>
      <c r="C164" s="353"/>
      <c r="D164" s="353"/>
      <c r="E164" s="353"/>
      <c r="F164" s="353"/>
      <c r="G164" s="351">
        <v>2</v>
      </c>
      <c r="H164" s="351">
        <v>7</v>
      </c>
      <c r="I164" s="351">
        <f>I163</f>
        <v>6228154.5693505332</v>
      </c>
      <c r="J164" s="351"/>
      <c r="K164" s="351"/>
      <c r="L164" s="351">
        <f t="shared" si="133"/>
        <v>-6228154.5693505332</v>
      </c>
      <c r="M164" s="1"/>
      <c r="N164" s="1"/>
      <c r="O164" s="351">
        <f>-IF(AND($G164&lt;=O$3,O$3&lt;=$H164),$I164/($H164-$G164+1),0)</f>
        <v>0</v>
      </c>
      <c r="P164" s="351">
        <f t="shared" ref="P164:AM164" si="136">-IF(AND($G164&lt;=P$3,P$3&lt;=$H164),$I164/($H164-$G164+1),0)</f>
        <v>-1038025.7615584222</v>
      </c>
      <c r="Q164" s="351">
        <f t="shared" si="136"/>
        <v>-1038025.7615584222</v>
      </c>
      <c r="R164" s="351">
        <f t="shared" si="136"/>
        <v>-1038025.7615584222</v>
      </c>
      <c r="S164" s="351">
        <f t="shared" si="136"/>
        <v>-1038025.7615584222</v>
      </c>
      <c r="T164" s="351">
        <f t="shared" si="136"/>
        <v>-1038025.7615584222</v>
      </c>
      <c r="U164" s="351">
        <f t="shared" si="136"/>
        <v>-1038025.7615584222</v>
      </c>
      <c r="V164" s="351">
        <f t="shared" si="136"/>
        <v>0</v>
      </c>
      <c r="W164" s="351">
        <f t="shared" si="136"/>
        <v>0</v>
      </c>
      <c r="X164" s="351">
        <f t="shared" si="136"/>
        <v>0</v>
      </c>
      <c r="Y164" s="351">
        <f t="shared" si="136"/>
        <v>0</v>
      </c>
      <c r="Z164" s="351">
        <f t="shared" si="136"/>
        <v>0</v>
      </c>
      <c r="AA164" s="351">
        <f t="shared" si="136"/>
        <v>0</v>
      </c>
      <c r="AB164" s="351">
        <f t="shared" si="136"/>
        <v>0</v>
      </c>
      <c r="AC164" s="351">
        <f t="shared" si="136"/>
        <v>0</v>
      </c>
      <c r="AD164" s="351">
        <f t="shared" si="136"/>
        <v>0</v>
      </c>
      <c r="AE164" s="351">
        <f t="shared" si="136"/>
        <v>0</v>
      </c>
      <c r="AF164" s="351">
        <f t="shared" si="136"/>
        <v>0</v>
      </c>
      <c r="AG164" s="351">
        <f t="shared" si="136"/>
        <v>0</v>
      </c>
      <c r="AH164" s="351">
        <f t="shared" si="136"/>
        <v>0</v>
      </c>
      <c r="AI164" s="351">
        <f t="shared" si="136"/>
        <v>0</v>
      </c>
      <c r="AJ164" s="351">
        <f t="shared" si="136"/>
        <v>0</v>
      </c>
      <c r="AK164" s="351">
        <f t="shared" si="136"/>
        <v>0</v>
      </c>
      <c r="AL164" s="351">
        <f t="shared" si="136"/>
        <v>0</v>
      </c>
      <c r="AM164" s="351">
        <f t="shared" si="136"/>
        <v>0</v>
      </c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customHeight="1" x14ac:dyDescent="0.3">
      <c r="A165" s="131"/>
      <c r="B165" s="353" t="s">
        <v>5177</v>
      </c>
      <c r="C165" s="353"/>
      <c r="D165" s="353"/>
      <c r="E165" s="353"/>
      <c r="F165" s="353"/>
      <c r="G165" s="354">
        <f>WACC!$D$23</f>
        <v>7.7200000000000005E-2</v>
      </c>
      <c r="H165" s="351"/>
      <c r="I165" s="351"/>
      <c r="J165" s="351"/>
      <c r="K165" s="351"/>
      <c r="L165" s="351">
        <f t="shared" si="133"/>
        <v>-1682847.3646385141</v>
      </c>
      <c r="M165" s="1"/>
      <c r="N165" s="1"/>
      <c r="O165" s="351">
        <f>-SUM($O163:O163,$O164:O164)*$G$165</f>
        <v>-480813.53275386122</v>
      </c>
      <c r="P165" s="351">
        <f>-SUM($O163:P163,$O164:P164)*$G$165</f>
        <v>-400677.94396155101</v>
      </c>
      <c r="Q165" s="351">
        <f>-SUM($O163:Q163,$O164:Q164)*$G$165</f>
        <v>-320542.35516924079</v>
      </c>
      <c r="R165" s="351">
        <f>-SUM($O163:R163,$O164:R164)*$G$165</f>
        <v>-240406.76637693061</v>
      </c>
      <c r="S165" s="351">
        <f>-SUM($O163:S163,$O164:S164)*$G$165</f>
        <v>-160271.1775846204</v>
      </c>
      <c r="T165" s="351">
        <f>-SUM($O163:T163,$O164:T164)*$G$165</f>
        <v>-80135.588792310184</v>
      </c>
      <c r="U165" s="351">
        <f>-SUM($O163:U163,$O164:U164)*$G$165</f>
        <v>0</v>
      </c>
      <c r="V165" s="351">
        <f>-SUM($O163:V163,$O164:V164)*$G$165</f>
        <v>1.7974525690078736E-11</v>
      </c>
      <c r="W165" s="351">
        <f>-SUM($O163:W163,$O164:W164)*$G$165</f>
        <v>1.7974525690078736E-11</v>
      </c>
      <c r="X165" s="351">
        <f>-SUM($O163:X163,$O164:X164)*$G$165</f>
        <v>1.7974525690078736E-11</v>
      </c>
      <c r="Y165" s="351">
        <f>-SUM($O163:Y163,$O164:Y164)*$G$165</f>
        <v>1.7974525690078736E-11</v>
      </c>
      <c r="Z165" s="351">
        <f>-SUM($O163:Z163,$O164:Z164)*$G$165</f>
        <v>1.7974525690078736E-11</v>
      </c>
      <c r="AA165" s="351">
        <f>-SUM($O163:AA163,$O164:AA164)*$G$165</f>
        <v>1.7974525690078736E-11</v>
      </c>
      <c r="AB165" s="351">
        <f>-SUM($O163:AB163,$O164:AB164)*$G$165</f>
        <v>1.7974525690078736E-11</v>
      </c>
      <c r="AC165" s="351">
        <f>-SUM($O163:AC163,$O164:AC164)*$G$165</f>
        <v>1.7974525690078736E-11</v>
      </c>
      <c r="AD165" s="351">
        <f>-SUM($O163:AD163,$O164:AD164)*$G$165</f>
        <v>1.7974525690078736E-11</v>
      </c>
      <c r="AE165" s="351">
        <f>-SUM($O163:AE163,$O164:AE164)*$G$165</f>
        <v>1.7974525690078736E-11</v>
      </c>
      <c r="AF165" s="351">
        <f>-SUM($O163:AF163,$O164:AF164)*$G$165</f>
        <v>1.7974525690078736E-11</v>
      </c>
      <c r="AG165" s="351">
        <f>-SUM($O163:AG163,$O164:AG164)*$G$165</f>
        <v>1.7974525690078736E-11</v>
      </c>
      <c r="AH165" s="351">
        <f>-SUM($O163:AH163,$O164:AH164)*$G$165</f>
        <v>1.7974525690078736E-11</v>
      </c>
      <c r="AI165" s="351">
        <f>-SUM($O163:AI163,$O164:AI164)*$G$165</f>
        <v>1.7974525690078736E-11</v>
      </c>
      <c r="AJ165" s="351">
        <f>-SUM($O163:AJ163,$O164:AJ164)*$G$165</f>
        <v>1.7974525690078736E-11</v>
      </c>
      <c r="AK165" s="351">
        <f>-SUM($O163:AK163,$O164:AK164)*$G$165</f>
        <v>1.7974525690078736E-11</v>
      </c>
      <c r="AL165" s="351">
        <f>-SUM($O163:AL163,$O164:AL164)*$G$165</f>
        <v>1.7974525690078736E-11</v>
      </c>
      <c r="AM165" s="351">
        <f>-SUM($O163:AM163,$O164:AM164)*$G$165</f>
        <v>1.7974525690078736E-11</v>
      </c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customHeight="1" x14ac:dyDescent="0.3">
      <c r="A166" s="131"/>
      <c r="B166" s="353" t="s">
        <v>5178</v>
      </c>
      <c r="C166" s="353"/>
      <c r="D166" s="353"/>
      <c r="E166" s="353"/>
      <c r="F166" s="353"/>
      <c r="G166" s="354">
        <f>WACC!$D$24</f>
        <v>0.34</v>
      </c>
      <c r="H166" s="351"/>
      <c r="I166" s="351"/>
      <c r="J166" s="351"/>
      <c r="K166" s="351"/>
      <c r="L166" s="351">
        <f t="shared" si="133"/>
        <v>572168.10397709487</v>
      </c>
      <c r="M166" s="1"/>
      <c r="N166" s="1"/>
      <c r="O166" s="351">
        <f>-O165*$G$166</f>
        <v>163476.60113631282</v>
      </c>
      <c r="P166" s="351">
        <f t="shared" ref="P166:AM166" si="137">-P165*$G$166</f>
        <v>136230.50094692735</v>
      </c>
      <c r="Q166" s="351">
        <f t="shared" si="137"/>
        <v>108984.40075754188</v>
      </c>
      <c r="R166" s="351">
        <f t="shared" si="137"/>
        <v>81738.30056815641</v>
      </c>
      <c r="S166" s="351">
        <f t="shared" si="137"/>
        <v>54492.20037877094</v>
      </c>
      <c r="T166" s="351">
        <f t="shared" si="137"/>
        <v>27246.100189385463</v>
      </c>
      <c r="U166" s="351">
        <f t="shared" si="137"/>
        <v>0</v>
      </c>
      <c r="V166" s="351">
        <f t="shared" si="137"/>
        <v>-6.1113387346267709E-12</v>
      </c>
      <c r="W166" s="351">
        <f t="shared" si="137"/>
        <v>-6.1113387346267709E-12</v>
      </c>
      <c r="X166" s="351">
        <f t="shared" si="137"/>
        <v>-6.1113387346267709E-12</v>
      </c>
      <c r="Y166" s="351">
        <f t="shared" si="137"/>
        <v>-6.1113387346267709E-12</v>
      </c>
      <c r="Z166" s="351">
        <f t="shared" si="137"/>
        <v>-6.1113387346267709E-12</v>
      </c>
      <c r="AA166" s="351">
        <f t="shared" si="137"/>
        <v>-6.1113387346267709E-12</v>
      </c>
      <c r="AB166" s="351">
        <f t="shared" si="137"/>
        <v>-6.1113387346267709E-12</v>
      </c>
      <c r="AC166" s="351">
        <f t="shared" si="137"/>
        <v>-6.1113387346267709E-12</v>
      </c>
      <c r="AD166" s="351">
        <f t="shared" si="137"/>
        <v>-6.1113387346267709E-12</v>
      </c>
      <c r="AE166" s="351">
        <f t="shared" si="137"/>
        <v>-6.1113387346267709E-12</v>
      </c>
      <c r="AF166" s="351">
        <f t="shared" si="137"/>
        <v>-6.1113387346267709E-12</v>
      </c>
      <c r="AG166" s="351">
        <f t="shared" si="137"/>
        <v>-6.1113387346267709E-12</v>
      </c>
      <c r="AH166" s="351">
        <f t="shared" si="137"/>
        <v>-6.1113387346267709E-12</v>
      </c>
      <c r="AI166" s="351">
        <f t="shared" si="137"/>
        <v>-6.1113387346267709E-12</v>
      </c>
      <c r="AJ166" s="351">
        <f t="shared" si="137"/>
        <v>-6.1113387346267709E-12</v>
      </c>
      <c r="AK166" s="351">
        <f t="shared" si="137"/>
        <v>-6.1113387346267709E-12</v>
      </c>
      <c r="AL166" s="351">
        <f t="shared" si="137"/>
        <v>-6.1113387346267709E-12</v>
      </c>
      <c r="AM166" s="351">
        <f t="shared" si="137"/>
        <v>-6.1113387346267709E-12</v>
      </c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customHeight="1" x14ac:dyDescent="0.3">
      <c r="A167" s="131"/>
      <c r="B167" s="183" t="s">
        <v>5179</v>
      </c>
      <c r="C167" s="183"/>
      <c r="D167" s="183"/>
      <c r="E167" s="183"/>
      <c r="F167" s="183"/>
      <c r="G167" s="195">
        <v>1</v>
      </c>
      <c r="H167" s="195">
        <v>1</v>
      </c>
      <c r="I167" s="195">
        <f>2%*I163</f>
        <v>124563.09138701066</v>
      </c>
      <c r="J167" s="195"/>
      <c r="K167" s="195"/>
      <c r="L167" s="195">
        <f t="shared" si="133"/>
        <v>-124563.09138701066</v>
      </c>
      <c r="M167" s="1"/>
      <c r="N167" s="1"/>
      <c r="O167" s="195">
        <f>IF(AND($G167&lt;=O$3,O$3&lt;=$H167),-$I167,0)</f>
        <v>-124563.09138701066</v>
      </c>
      <c r="P167" s="195">
        <f t="shared" ref="P167:AM167" si="138">IF(AND($G167&lt;=P$3,P$3&lt;=$H167),-$I167,0)</f>
        <v>0</v>
      </c>
      <c r="Q167" s="195">
        <f t="shared" si="138"/>
        <v>0</v>
      </c>
      <c r="R167" s="195">
        <f t="shared" si="138"/>
        <v>0</v>
      </c>
      <c r="S167" s="195">
        <f t="shared" si="138"/>
        <v>0</v>
      </c>
      <c r="T167" s="195">
        <f t="shared" si="138"/>
        <v>0</v>
      </c>
      <c r="U167" s="195">
        <f t="shared" si="138"/>
        <v>0</v>
      </c>
      <c r="V167" s="195">
        <f t="shared" si="138"/>
        <v>0</v>
      </c>
      <c r="W167" s="195">
        <f t="shared" si="138"/>
        <v>0</v>
      </c>
      <c r="X167" s="195">
        <f t="shared" si="138"/>
        <v>0</v>
      </c>
      <c r="Y167" s="195">
        <f t="shared" si="138"/>
        <v>0</v>
      </c>
      <c r="Z167" s="195">
        <f t="shared" si="138"/>
        <v>0</v>
      </c>
      <c r="AA167" s="195">
        <f t="shared" si="138"/>
        <v>0</v>
      </c>
      <c r="AB167" s="195">
        <f t="shared" si="138"/>
        <v>0</v>
      </c>
      <c r="AC167" s="195">
        <f t="shared" si="138"/>
        <v>0</v>
      </c>
      <c r="AD167" s="195">
        <f t="shared" si="138"/>
        <v>0</v>
      </c>
      <c r="AE167" s="195">
        <f t="shared" si="138"/>
        <v>0</v>
      </c>
      <c r="AF167" s="195">
        <f t="shared" si="138"/>
        <v>0</v>
      </c>
      <c r="AG167" s="195">
        <f t="shared" si="138"/>
        <v>0</v>
      </c>
      <c r="AH167" s="195">
        <f t="shared" si="138"/>
        <v>0</v>
      </c>
      <c r="AI167" s="195">
        <f t="shared" si="138"/>
        <v>0</v>
      </c>
      <c r="AJ167" s="195">
        <f t="shared" si="138"/>
        <v>0</v>
      </c>
      <c r="AK167" s="195">
        <f t="shared" si="138"/>
        <v>0</v>
      </c>
      <c r="AL167" s="195">
        <f t="shared" si="138"/>
        <v>0</v>
      </c>
      <c r="AM167" s="195">
        <f t="shared" si="138"/>
        <v>0</v>
      </c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f>L162+L153</f>
        <v>15793241.178053308</v>
      </c>
      <c r="M168" s="1"/>
      <c r="N168" s="1"/>
      <c r="O168" s="349">
        <f>O153+O162</f>
        <v>-5087566.9401608277</v>
      </c>
      <c r="P168" s="349">
        <f t="shared" ref="P168:AM168" si="139">P153+P162</f>
        <v>816884.81783619104</v>
      </c>
      <c r="Q168" s="349">
        <f t="shared" si="139"/>
        <v>813527.08270101761</v>
      </c>
      <c r="R168" s="349">
        <f t="shared" si="139"/>
        <v>924272.71214265353</v>
      </c>
      <c r="S168" s="349">
        <f t="shared" si="139"/>
        <v>-3662625.9955028403</v>
      </c>
      <c r="T168" s="349">
        <f t="shared" si="139"/>
        <v>987784.74644911545</v>
      </c>
      <c r="U168" s="349">
        <f t="shared" si="139"/>
        <v>1072178.7313139415</v>
      </c>
      <c r="V168" s="349">
        <f t="shared" si="139"/>
        <v>1665497.7451211633</v>
      </c>
      <c r="W168" s="349">
        <f t="shared" si="139"/>
        <v>1518258.8652840846</v>
      </c>
      <c r="X168" s="349">
        <f t="shared" si="139"/>
        <v>2125793.6908116871</v>
      </c>
      <c r="Y168" s="349">
        <f t="shared" si="139"/>
        <v>-2526415.3938211342</v>
      </c>
      <c r="Z168" s="349">
        <f t="shared" si="139"/>
        <v>2127402.6079122992</v>
      </c>
      <c r="AA168" s="349">
        <f t="shared" si="139"/>
        <v>187273.19814971066</v>
      </c>
      <c r="AB168" s="349">
        <f t="shared" si="139"/>
        <v>2129011.5250129122</v>
      </c>
      <c r="AC168" s="349">
        <f t="shared" si="139"/>
        <v>2116640.1612748131</v>
      </c>
      <c r="AD168" s="349">
        <f t="shared" si="139"/>
        <v>-2923576.9133066153</v>
      </c>
      <c r="AE168" s="349">
        <f t="shared" si="139"/>
        <v>2039270.3308243239</v>
      </c>
      <c r="AF168" s="349">
        <f t="shared" si="139"/>
        <v>1573326.1680118535</v>
      </c>
      <c r="AG168" s="349">
        <f t="shared" si="139"/>
        <v>2119857.9954760382</v>
      </c>
      <c r="AH168" s="349">
        <f t="shared" si="139"/>
        <v>2133838.2763147494</v>
      </c>
      <c r="AI168" s="349">
        <f t="shared" si="139"/>
        <v>-2549374.2458691755</v>
      </c>
      <c r="AJ168" s="349">
        <f t="shared" si="139"/>
        <v>2135447.1934153615</v>
      </c>
      <c r="AK168" s="349">
        <f t="shared" si="139"/>
        <v>1664388.8010873511</v>
      </c>
      <c r="AL168" s="349">
        <f t="shared" si="139"/>
        <v>2137056.1105159745</v>
      </c>
      <c r="AM168" s="349">
        <f t="shared" si="139"/>
        <v>2255089.9070587377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f>SUM($O168:O168)</f>
        <v>-5087566.9401608277</v>
      </c>
      <c r="P169" s="125">
        <f>SUM($O168:P168)</f>
        <v>-4270682.1223246362</v>
      </c>
      <c r="Q169" s="125">
        <f>SUM($O168:Q168)</f>
        <v>-3457155.0396236186</v>
      </c>
      <c r="R169" s="125">
        <f>SUM($O168:R168)</f>
        <v>-2532882.3274809653</v>
      </c>
      <c r="S169" s="125">
        <f>SUM($O168:S168)</f>
        <v>-6195508.3229838051</v>
      </c>
      <c r="T169" s="125">
        <f>SUM($O168:T168)</f>
        <v>-5207723.5765346894</v>
      </c>
      <c r="U169" s="125">
        <f>SUM($O168:U168)</f>
        <v>-4135544.8452207479</v>
      </c>
      <c r="V169" s="125">
        <f>SUM($O168:V168)</f>
        <v>-2470047.1000995846</v>
      </c>
      <c r="W169" s="125">
        <f>SUM($O168:W168)</f>
        <v>-951788.23481549998</v>
      </c>
      <c r="X169" s="125">
        <f>SUM($O168:X168)</f>
        <v>1174005.4559961872</v>
      </c>
      <c r="Y169" s="125">
        <f>SUM($O168:Y168)</f>
        <v>-1352409.9378249471</v>
      </c>
      <c r="Z169" s="125">
        <f>SUM($O168:Z168)</f>
        <v>774992.67008735216</v>
      </c>
      <c r="AA169" s="125">
        <f>SUM($O168:AA168)</f>
        <v>962265.86823706282</v>
      </c>
      <c r="AB169" s="125">
        <f>SUM($O168:AB168)</f>
        <v>3091277.3932499751</v>
      </c>
      <c r="AC169" s="125">
        <f>SUM($O168:AC168)</f>
        <v>5207917.5545247886</v>
      </c>
      <c r="AD169" s="125">
        <f>SUM($O168:AD168)</f>
        <v>2284340.6412181733</v>
      </c>
      <c r="AE169" s="125">
        <f>SUM($O168:AE168)</f>
        <v>4323610.9720424972</v>
      </c>
      <c r="AF169" s="125">
        <f>SUM($O168:AF168)</f>
        <v>5896937.1400543507</v>
      </c>
      <c r="AG169" s="125">
        <f>SUM($O168:AG168)</f>
        <v>8016795.1355303889</v>
      </c>
      <c r="AH169" s="125">
        <f>SUM($O168:AH168)</f>
        <v>10150633.411845138</v>
      </c>
      <c r="AI169" s="125">
        <f>SUM($O168:AI168)</f>
        <v>7601259.1659759628</v>
      </c>
      <c r="AJ169" s="125">
        <f>SUM($O168:AJ168)</f>
        <v>9736706.3593913242</v>
      </c>
      <c r="AK169" s="125">
        <f>SUM($O168:AK168)</f>
        <v>11401095.160478676</v>
      </c>
      <c r="AL169" s="125">
        <f>SUM($O168:AL168)</f>
        <v>13538151.27099465</v>
      </c>
      <c r="AM169" s="125">
        <f>SUM($O168:AM168)</f>
        <v>15793241.178053388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AVERAGE(O172:AM172)</f>
        <v>2.4851817507647951</v>
      </c>
      <c r="M172" s="1"/>
      <c r="N172" s="1"/>
      <c r="O172" s="343"/>
      <c r="P172" s="343">
        <f t="shared" ref="P172:R172" si="140">IF(ROUND(P165,6)=0,0,P148/-P165)</f>
        <v>5.2894302128409896</v>
      </c>
      <c r="Q172" s="343">
        <f t="shared" si="140"/>
        <v>6.4363125976966513</v>
      </c>
      <c r="R172" s="343">
        <f t="shared" si="140"/>
        <v>8.8224094998408393</v>
      </c>
      <c r="S172" s="343">
        <f>IF(ROUND(S165,6)=0,0,S148/-S165)</f>
        <v>13.156424052967665</v>
      </c>
      <c r="T172" s="343">
        <f t="shared" ref="T172:AM172" si="141">IF(ROUND(T165,6)=0,0,T148/-T165)</f>
        <v>25.939785655008933</v>
      </c>
      <c r="U172" s="343">
        <f t="shared" si="141"/>
        <v>0</v>
      </c>
      <c r="V172" s="343">
        <f t="shared" si="141"/>
        <v>0</v>
      </c>
      <c r="W172" s="343">
        <f t="shared" si="141"/>
        <v>0</v>
      </c>
      <c r="X172" s="343">
        <f t="shared" si="141"/>
        <v>0</v>
      </c>
      <c r="Y172" s="343">
        <f t="shared" si="141"/>
        <v>0</v>
      </c>
      <c r="Z172" s="343">
        <f t="shared" si="141"/>
        <v>0</v>
      </c>
      <c r="AA172" s="343">
        <f t="shared" si="141"/>
        <v>0</v>
      </c>
      <c r="AB172" s="343">
        <f t="shared" si="141"/>
        <v>0</v>
      </c>
      <c r="AC172" s="343">
        <f t="shared" si="141"/>
        <v>0</v>
      </c>
      <c r="AD172" s="343">
        <f t="shared" si="141"/>
        <v>0</v>
      </c>
      <c r="AE172" s="343">
        <f t="shared" si="141"/>
        <v>0</v>
      </c>
      <c r="AF172" s="343">
        <f t="shared" si="141"/>
        <v>0</v>
      </c>
      <c r="AG172" s="343">
        <f t="shared" si="141"/>
        <v>0</v>
      </c>
      <c r="AH172" s="343">
        <f t="shared" si="141"/>
        <v>0</v>
      </c>
      <c r="AI172" s="343">
        <f t="shared" si="141"/>
        <v>0</v>
      </c>
      <c r="AJ172" s="343">
        <f t="shared" si="141"/>
        <v>0</v>
      </c>
      <c r="AK172" s="343">
        <f t="shared" si="141"/>
        <v>0</v>
      </c>
      <c r="AL172" s="343">
        <f t="shared" si="141"/>
        <v>0</v>
      </c>
      <c r="AM172" s="343">
        <f t="shared" si="141"/>
        <v>0</v>
      </c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/>
      <c r="C173" s="183"/>
      <c r="D173" s="183"/>
      <c r="E173" s="183"/>
      <c r="F173" s="183"/>
      <c r="G173" s="195"/>
      <c r="H173" s="195"/>
      <c r="I173" s="195"/>
      <c r="J173" s="195"/>
      <c r="K173" s="195"/>
      <c r="L173" s="343"/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tr">
        <f>IF(SUM(O211,O222,O226,O230)&lt;SUM(O236,O248,O252,O256),"Presumido","Real")</f>
        <v>Presumido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 t="shared" ref="O205:AM205" si="142">IF(O$204="Presumido",O211,O236)</f>
        <v>65250.526858170364</v>
      </c>
      <c r="P205" s="97">
        <f t="shared" si="142"/>
        <v>195751.58057451132</v>
      </c>
      <c r="Q205" s="97">
        <f t="shared" si="142"/>
        <v>195751.58057451132</v>
      </c>
      <c r="R205" s="97">
        <f t="shared" si="142"/>
        <v>195751.58057451132</v>
      </c>
      <c r="S205" s="97">
        <f t="shared" si="142"/>
        <v>195751.58057451132</v>
      </c>
      <c r="T205" s="97">
        <f t="shared" si="142"/>
        <v>195751.58057451132</v>
      </c>
      <c r="U205" s="97">
        <f t="shared" si="142"/>
        <v>195751.58057451132</v>
      </c>
      <c r="V205" s="97">
        <f t="shared" si="142"/>
        <v>195751.58057451132</v>
      </c>
      <c r="W205" s="97">
        <f t="shared" si="142"/>
        <v>195751.58057451132</v>
      </c>
      <c r="X205" s="97">
        <f t="shared" si="142"/>
        <v>195751.58057451132</v>
      </c>
      <c r="Y205" s="97">
        <f t="shared" si="142"/>
        <v>195751.58057451132</v>
      </c>
      <c r="Z205" s="97">
        <f t="shared" si="142"/>
        <v>195751.58057451132</v>
      </c>
      <c r="AA205" s="97">
        <f t="shared" si="142"/>
        <v>195751.58057451132</v>
      </c>
      <c r="AB205" s="97">
        <f t="shared" si="142"/>
        <v>195751.58057451132</v>
      </c>
      <c r="AC205" s="97">
        <f t="shared" si="142"/>
        <v>195751.58057451132</v>
      </c>
      <c r="AD205" s="97">
        <f t="shared" si="142"/>
        <v>195751.58057451132</v>
      </c>
      <c r="AE205" s="97">
        <f t="shared" si="142"/>
        <v>195751.58057451132</v>
      </c>
      <c r="AF205" s="97">
        <f t="shared" si="142"/>
        <v>195751.58057451132</v>
      </c>
      <c r="AG205" s="97">
        <f t="shared" si="142"/>
        <v>195751.58057451132</v>
      </c>
      <c r="AH205" s="97">
        <f t="shared" si="142"/>
        <v>195751.58057451132</v>
      </c>
      <c r="AI205" s="97">
        <f t="shared" si="142"/>
        <v>195751.58057451132</v>
      </c>
      <c r="AJ205" s="97">
        <f t="shared" si="142"/>
        <v>195751.58057451132</v>
      </c>
      <c r="AK205" s="97">
        <f t="shared" si="142"/>
        <v>195751.58057451132</v>
      </c>
      <c r="AL205" s="97">
        <f t="shared" si="142"/>
        <v>195751.58057451132</v>
      </c>
      <c r="AM205" s="97">
        <f t="shared" si="142"/>
        <v>195751.58057451132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O260</f>
        <v>35753.71334694267</v>
      </c>
      <c r="P206" s="54">
        <f t="shared" ref="P206:AM206" si="143">P260</f>
        <v>107261.14004082812</v>
      </c>
      <c r="Q206" s="54">
        <f t="shared" si="143"/>
        <v>107261.14004082812</v>
      </c>
      <c r="R206" s="54">
        <f t="shared" si="143"/>
        <v>107261.14004082812</v>
      </c>
      <c r="S206" s="54">
        <f t="shared" si="143"/>
        <v>107261.14004082812</v>
      </c>
      <c r="T206" s="54">
        <f t="shared" si="143"/>
        <v>107261.14004082812</v>
      </c>
      <c r="U206" s="54">
        <f t="shared" si="143"/>
        <v>107261.14004082812</v>
      </c>
      <c r="V206" s="54">
        <f t="shared" si="143"/>
        <v>107261.14004082812</v>
      </c>
      <c r="W206" s="54">
        <f t="shared" si="143"/>
        <v>107261.14004082812</v>
      </c>
      <c r="X206" s="54">
        <f t="shared" si="143"/>
        <v>107261.14004082812</v>
      </c>
      <c r="Y206" s="54">
        <f t="shared" si="143"/>
        <v>107261.14004082812</v>
      </c>
      <c r="Z206" s="54">
        <f t="shared" si="143"/>
        <v>107261.14004082812</v>
      </c>
      <c r="AA206" s="54">
        <f t="shared" si="143"/>
        <v>107261.14004082812</v>
      </c>
      <c r="AB206" s="54">
        <f t="shared" si="143"/>
        <v>107261.14004082812</v>
      </c>
      <c r="AC206" s="54">
        <f t="shared" si="143"/>
        <v>107261.14004082812</v>
      </c>
      <c r="AD206" s="54">
        <f t="shared" si="143"/>
        <v>107261.14004082812</v>
      </c>
      <c r="AE206" s="54">
        <f t="shared" si="143"/>
        <v>107261.14004082812</v>
      </c>
      <c r="AF206" s="54">
        <f t="shared" si="143"/>
        <v>107261.14004082812</v>
      </c>
      <c r="AG206" s="54">
        <f t="shared" si="143"/>
        <v>107261.14004082812</v>
      </c>
      <c r="AH206" s="54">
        <f t="shared" si="143"/>
        <v>107261.14004082812</v>
      </c>
      <c r="AI206" s="54">
        <f t="shared" si="143"/>
        <v>107261.14004082812</v>
      </c>
      <c r="AJ206" s="54">
        <f t="shared" si="143"/>
        <v>107261.14004082812</v>
      </c>
      <c r="AK206" s="54">
        <f t="shared" si="143"/>
        <v>107261.14004082812</v>
      </c>
      <c r="AL206" s="54">
        <f t="shared" si="143"/>
        <v>107261.14004082812</v>
      </c>
      <c r="AM206" s="54">
        <f t="shared" si="143"/>
        <v>107261.14004082812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 t="shared" ref="O207:AM207" si="144">IF(O$204="Presumido",O222+O226+O230,O247+O251+O255)</f>
        <v>170500.20060736811</v>
      </c>
      <c r="P207" s="330">
        <f t="shared" si="144"/>
        <v>559500.601822105</v>
      </c>
      <c r="Q207" s="330">
        <f t="shared" si="144"/>
        <v>559500.601822105</v>
      </c>
      <c r="R207" s="330">
        <f t="shared" si="144"/>
        <v>559500.601822105</v>
      </c>
      <c r="S207" s="330">
        <f t="shared" si="144"/>
        <v>559500.601822105</v>
      </c>
      <c r="T207" s="330">
        <f t="shared" si="144"/>
        <v>559500.601822105</v>
      </c>
      <c r="U207" s="330">
        <f t="shared" si="144"/>
        <v>559500.601822105</v>
      </c>
      <c r="V207" s="330">
        <f t="shared" si="144"/>
        <v>559500.601822105</v>
      </c>
      <c r="W207" s="330">
        <f t="shared" si="144"/>
        <v>559500.601822105</v>
      </c>
      <c r="X207" s="330">
        <f t="shared" si="144"/>
        <v>559500.601822105</v>
      </c>
      <c r="Y207" s="330">
        <f t="shared" si="144"/>
        <v>559500.601822105</v>
      </c>
      <c r="Z207" s="330">
        <f t="shared" si="144"/>
        <v>559500.601822105</v>
      </c>
      <c r="AA207" s="330">
        <f t="shared" si="144"/>
        <v>559500.601822105</v>
      </c>
      <c r="AB207" s="330">
        <f t="shared" si="144"/>
        <v>559500.601822105</v>
      </c>
      <c r="AC207" s="330">
        <f t="shared" si="144"/>
        <v>559500.601822105</v>
      </c>
      <c r="AD207" s="330">
        <f t="shared" si="144"/>
        <v>559500.601822105</v>
      </c>
      <c r="AE207" s="330">
        <f t="shared" si="144"/>
        <v>559500.601822105</v>
      </c>
      <c r="AF207" s="330">
        <f t="shared" si="144"/>
        <v>559500.601822105</v>
      </c>
      <c r="AG207" s="330">
        <f t="shared" si="144"/>
        <v>559500.601822105</v>
      </c>
      <c r="AH207" s="330">
        <f t="shared" si="144"/>
        <v>559500.601822105</v>
      </c>
      <c r="AI207" s="330">
        <f t="shared" si="144"/>
        <v>559500.601822105</v>
      </c>
      <c r="AJ207" s="330">
        <f t="shared" si="144"/>
        <v>559500.601822105</v>
      </c>
      <c r="AK207" s="330">
        <f t="shared" si="144"/>
        <v>559500.601822105</v>
      </c>
      <c r="AL207" s="330">
        <f t="shared" si="144"/>
        <v>559500.601822105</v>
      </c>
      <c r="AM207" s="330">
        <f t="shared" si="144"/>
        <v>559500.601822105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f t="shared" ref="O209:AM209" si="145">O211+O222+O226+O230</f>
        <v>235750.72746553848</v>
      </c>
      <c r="P209" s="69">
        <f t="shared" si="145"/>
        <v>755252.18239661632</v>
      </c>
      <c r="Q209" s="69">
        <f t="shared" si="145"/>
        <v>755252.18239661632</v>
      </c>
      <c r="R209" s="69">
        <f t="shared" si="145"/>
        <v>755252.18239661632</v>
      </c>
      <c r="S209" s="69">
        <f t="shared" si="145"/>
        <v>755252.18239661632</v>
      </c>
      <c r="T209" s="69">
        <f t="shared" si="145"/>
        <v>755252.18239661632</v>
      </c>
      <c r="U209" s="69">
        <f t="shared" si="145"/>
        <v>755252.18239661632</v>
      </c>
      <c r="V209" s="69">
        <f t="shared" si="145"/>
        <v>755252.18239661632</v>
      </c>
      <c r="W209" s="69">
        <f t="shared" si="145"/>
        <v>755252.18239661632</v>
      </c>
      <c r="X209" s="69">
        <f t="shared" si="145"/>
        <v>755252.18239661632</v>
      </c>
      <c r="Y209" s="69">
        <f t="shared" si="145"/>
        <v>755252.18239661632</v>
      </c>
      <c r="Z209" s="69">
        <f t="shared" si="145"/>
        <v>755252.18239661632</v>
      </c>
      <c r="AA209" s="69">
        <f t="shared" si="145"/>
        <v>755252.18239661632</v>
      </c>
      <c r="AB209" s="69">
        <f t="shared" si="145"/>
        <v>755252.18239661632</v>
      </c>
      <c r="AC209" s="69">
        <f t="shared" si="145"/>
        <v>755252.18239661632</v>
      </c>
      <c r="AD209" s="69">
        <f t="shared" si="145"/>
        <v>755252.18239661632</v>
      </c>
      <c r="AE209" s="69">
        <f t="shared" si="145"/>
        <v>755252.18239661632</v>
      </c>
      <c r="AF209" s="69">
        <f t="shared" si="145"/>
        <v>755252.18239661632</v>
      </c>
      <c r="AG209" s="69">
        <f t="shared" si="145"/>
        <v>755252.18239661632</v>
      </c>
      <c r="AH209" s="69">
        <f t="shared" si="145"/>
        <v>755252.18239661632</v>
      </c>
      <c r="AI209" s="69">
        <f t="shared" si="145"/>
        <v>755252.18239661632</v>
      </c>
      <c r="AJ209" s="69">
        <f t="shared" si="145"/>
        <v>755252.18239661632</v>
      </c>
      <c r="AK209" s="69">
        <f t="shared" si="145"/>
        <v>755252.18239661632</v>
      </c>
      <c r="AL209" s="69">
        <f t="shared" si="145"/>
        <v>755252.18239661632</v>
      </c>
      <c r="AM209" s="69">
        <f t="shared" si="145"/>
        <v>755252.18239661632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9">
        <f t="shared" ref="O211:AM211" si="146">$I211*(O213-O214)</f>
        <v>65250.526858170364</v>
      </c>
      <c r="P211" s="109">
        <f t="shared" si="146"/>
        <v>195751.58057451132</v>
      </c>
      <c r="Q211" s="109">
        <f t="shared" si="146"/>
        <v>195751.58057451132</v>
      </c>
      <c r="R211" s="109">
        <f t="shared" si="146"/>
        <v>195751.58057451132</v>
      </c>
      <c r="S211" s="109">
        <f t="shared" si="146"/>
        <v>195751.58057451132</v>
      </c>
      <c r="T211" s="109">
        <f t="shared" si="146"/>
        <v>195751.58057451132</v>
      </c>
      <c r="U211" s="109">
        <f t="shared" si="146"/>
        <v>195751.58057451132</v>
      </c>
      <c r="V211" s="109">
        <f t="shared" si="146"/>
        <v>195751.58057451132</v>
      </c>
      <c r="W211" s="109">
        <f t="shared" si="146"/>
        <v>195751.58057451132</v>
      </c>
      <c r="X211" s="109">
        <f t="shared" si="146"/>
        <v>195751.58057451132</v>
      </c>
      <c r="Y211" s="109">
        <f t="shared" si="146"/>
        <v>195751.58057451132</v>
      </c>
      <c r="Z211" s="109">
        <f t="shared" si="146"/>
        <v>195751.58057451132</v>
      </c>
      <c r="AA211" s="109">
        <f t="shared" si="146"/>
        <v>195751.58057451132</v>
      </c>
      <c r="AB211" s="109">
        <f t="shared" si="146"/>
        <v>195751.58057451132</v>
      </c>
      <c r="AC211" s="109">
        <f t="shared" si="146"/>
        <v>195751.58057451132</v>
      </c>
      <c r="AD211" s="109">
        <f t="shared" si="146"/>
        <v>195751.58057451132</v>
      </c>
      <c r="AE211" s="109">
        <f t="shared" si="146"/>
        <v>195751.58057451132</v>
      </c>
      <c r="AF211" s="109">
        <f t="shared" si="146"/>
        <v>195751.58057451132</v>
      </c>
      <c r="AG211" s="109">
        <f t="shared" si="146"/>
        <v>195751.58057451132</v>
      </c>
      <c r="AH211" s="109">
        <f t="shared" si="146"/>
        <v>195751.58057451132</v>
      </c>
      <c r="AI211" s="109">
        <f t="shared" si="146"/>
        <v>195751.58057451132</v>
      </c>
      <c r="AJ211" s="109">
        <f t="shared" si="146"/>
        <v>195751.58057451132</v>
      </c>
      <c r="AK211" s="109">
        <f t="shared" si="146"/>
        <v>195751.58057451132</v>
      </c>
      <c r="AL211" s="109">
        <f t="shared" si="146"/>
        <v>195751.58057451132</v>
      </c>
      <c r="AM211" s="109">
        <f t="shared" si="146"/>
        <v>195751.58057451132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>$I211*(O213-O214)</f>
        <v>65250.526858170364</v>
      </c>
      <c r="P212" s="107">
        <f t="shared" ref="P212:AM212" si="147">$I211*(P213-P214)</f>
        <v>195751.58057451132</v>
      </c>
      <c r="Q212" s="107">
        <f t="shared" si="147"/>
        <v>195751.58057451132</v>
      </c>
      <c r="R212" s="107">
        <f t="shared" si="147"/>
        <v>195751.58057451132</v>
      </c>
      <c r="S212" s="107">
        <f t="shared" si="147"/>
        <v>195751.58057451132</v>
      </c>
      <c r="T212" s="107">
        <f t="shared" si="147"/>
        <v>195751.58057451132</v>
      </c>
      <c r="U212" s="107">
        <f t="shared" si="147"/>
        <v>195751.58057451132</v>
      </c>
      <c r="V212" s="107">
        <f t="shared" si="147"/>
        <v>195751.58057451132</v>
      </c>
      <c r="W212" s="107">
        <f t="shared" si="147"/>
        <v>195751.58057451132</v>
      </c>
      <c r="X212" s="107">
        <f t="shared" si="147"/>
        <v>195751.58057451132</v>
      </c>
      <c r="Y212" s="107">
        <f t="shared" si="147"/>
        <v>195751.58057451132</v>
      </c>
      <c r="Z212" s="107">
        <f t="shared" si="147"/>
        <v>195751.58057451132</v>
      </c>
      <c r="AA212" s="107">
        <f t="shared" si="147"/>
        <v>195751.58057451132</v>
      </c>
      <c r="AB212" s="107">
        <f t="shared" si="147"/>
        <v>195751.58057451132</v>
      </c>
      <c r="AC212" s="107">
        <f t="shared" si="147"/>
        <v>195751.58057451132</v>
      </c>
      <c r="AD212" s="107">
        <f t="shared" si="147"/>
        <v>195751.58057451132</v>
      </c>
      <c r="AE212" s="107">
        <f t="shared" si="147"/>
        <v>195751.58057451132</v>
      </c>
      <c r="AF212" s="107">
        <f t="shared" si="147"/>
        <v>195751.58057451132</v>
      </c>
      <c r="AG212" s="107">
        <f t="shared" si="147"/>
        <v>195751.58057451132</v>
      </c>
      <c r="AH212" s="107">
        <f t="shared" si="147"/>
        <v>195751.58057451132</v>
      </c>
      <c r="AI212" s="107">
        <f t="shared" si="147"/>
        <v>195751.58057451132</v>
      </c>
      <c r="AJ212" s="107">
        <f t="shared" si="147"/>
        <v>195751.58057451132</v>
      </c>
      <c r="AK212" s="107">
        <f t="shared" si="147"/>
        <v>195751.58057451132</v>
      </c>
      <c r="AL212" s="107">
        <f t="shared" si="147"/>
        <v>195751.58057451132</v>
      </c>
      <c r="AM212" s="107">
        <f t="shared" si="147"/>
        <v>195751.58057451132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148">O122*$I213</f>
        <v>1787685.6673471334</v>
      </c>
      <c r="P213" s="107">
        <f t="shared" si="148"/>
        <v>5363057.002041406</v>
      </c>
      <c r="Q213" s="107">
        <f t="shared" si="148"/>
        <v>5363057.002041406</v>
      </c>
      <c r="R213" s="107">
        <f t="shared" si="148"/>
        <v>5363057.002041406</v>
      </c>
      <c r="S213" s="107">
        <f t="shared" si="148"/>
        <v>5363057.002041406</v>
      </c>
      <c r="T213" s="107">
        <f t="shared" si="148"/>
        <v>5363057.002041406</v>
      </c>
      <c r="U213" s="107">
        <f t="shared" si="148"/>
        <v>5363057.002041406</v>
      </c>
      <c r="V213" s="107">
        <f t="shared" si="148"/>
        <v>5363057.002041406</v>
      </c>
      <c r="W213" s="107">
        <f t="shared" si="148"/>
        <v>5363057.002041406</v>
      </c>
      <c r="X213" s="107">
        <f t="shared" si="148"/>
        <v>5363057.002041406</v>
      </c>
      <c r="Y213" s="107">
        <f t="shared" si="148"/>
        <v>5363057.002041406</v>
      </c>
      <c r="Z213" s="107">
        <f t="shared" si="148"/>
        <v>5363057.002041406</v>
      </c>
      <c r="AA213" s="107">
        <f t="shared" si="148"/>
        <v>5363057.002041406</v>
      </c>
      <c r="AB213" s="107">
        <f t="shared" si="148"/>
        <v>5363057.002041406</v>
      </c>
      <c r="AC213" s="107">
        <f t="shared" si="148"/>
        <v>5363057.002041406</v>
      </c>
      <c r="AD213" s="107">
        <f t="shared" si="148"/>
        <v>5363057.002041406</v>
      </c>
      <c r="AE213" s="107">
        <f t="shared" si="148"/>
        <v>5363057.002041406</v>
      </c>
      <c r="AF213" s="107">
        <f t="shared" si="148"/>
        <v>5363057.002041406</v>
      </c>
      <c r="AG213" s="107">
        <f t="shared" si="148"/>
        <v>5363057.002041406</v>
      </c>
      <c r="AH213" s="107">
        <f t="shared" si="148"/>
        <v>5363057.002041406</v>
      </c>
      <c r="AI213" s="107">
        <f t="shared" si="148"/>
        <v>5363057.002041406</v>
      </c>
      <c r="AJ213" s="107">
        <f t="shared" si="148"/>
        <v>5363057.002041406</v>
      </c>
      <c r="AK213" s="107">
        <f t="shared" si="148"/>
        <v>5363057.002041406</v>
      </c>
      <c r="AL213" s="107">
        <f t="shared" si="148"/>
        <v>5363057.002041406</v>
      </c>
      <c r="AM213" s="107">
        <f t="shared" si="148"/>
        <v>5363057.002041406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149">$I$214*O14</f>
        <v>0</v>
      </c>
      <c r="P214" s="107">
        <f t="shared" si="149"/>
        <v>0</v>
      </c>
      <c r="Q214" s="107">
        <f t="shared" si="149"/>
        <v>0</v>
      </c>
      <c r="R214" s="107">
        <f t="shared" si="149"/>
        <v>0</v>
      </c>
      <c r="S214" s="107">
        <f t="shared" si="149"/>
        <v>0</v>
      </c>
      <c r="T214" s="107">
        <f t="shared" si="149"/>
        <v>0</v>
      </c>
      <c r="U214" s="107">
        <f t="shared" si="149"/>
        <v>0</v>
      </c>
      <c r="V214" s="107">
        <f t="shared" si="149"/>
        <v>0</v>
      </c>
      <c r="W214" s="107">
        <f t="shared" si="149"/>
        <v>0</v>
      </c>
      <c r="X214" s="107">
        <f t="shared" si="149"/>
        <v>0</v>
      </c>
      <c r="Y214" s="107">
        <f t="shared" si="149"/>
        <v>0</v>
      </c>
      <c r="Z214" s="107">
        <f t="shared" si="149"/>
        <v>0</v>
      </c>
      <c r="AA214" s="107">
        <f t="shared" si="149"/>
        <v>0</v>
      </c>
      <c r="AB214" s="107">
        <f t="shared" si="149"/>
        <v>0</v>
      </c>
      <c r="AC214" s="107">
        <f t="shared" si="149"/>
        <v>0</v>
      </c>
      <c r="AD214" s="107">
        <f t="shared" si="149"/>
        <v>0</v>
      </c>
      <c r="AE214" s="107">
        <f t="shared" si="149"/>
        <v>0</v>
      </c>
      <c r="AF214" s="107">
        <f t="shared" si="149"/>
        <v>0</v>
      </c>
      <c r="AG214" s="107">
        <f t="shared" si="149"/>
        <v>0</v>
      </c>
      <c r="AH214" s="107">
        <f t="shared" si="149"/>
        <v>0</v>
      </c>
      <c r="AI214" s="107">
        <f t="shared" si="149"/>
        <v>0</v>
      </c>
      <c r="AJ214" s="107">
        <f t="shared" si="149"/>
        <v>0</v>
      </c>
      <c r="AK214" s="107">
        <f t="shared" si="149"/>
        <v>0</v>
      </c>
      <c r="AL214" s="107">
        <f t="shared" si="149"/>
        <v>0</v>
      </c>
      <c r="AM214" s="107">
        <f t="shared" si="149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150">SUM(O220:AV220)</f>
        <v>41760337.189229071</v>
      </c>
      <c r="M220" s="1"/>
      <c r="N220" s="1"/>
      <c r="O220" s="142">
        <f t="shared" ref="O220:AM220" si="151">32%*O143</f>
        <v>572059.41355108272</v>
      </c>
      <c r="P220" s="142">
        <f t="shared" si="151"/>
        <v>1716178.2406532499</v>
      </c>
      <c r="Q220" s="142">
        <f t="shared" si="151"/>
        <v>1716178.2406532499</v>
      </c>
      <c r="R220" s="142">
        <f t="shared" si="151"/>
        <v>1716178.2406532499</v>
      </c>
      <c r="S220" s="142">
        <f t="shared" si="151"/>
        <v>1716178.2406532499</v>
      </c>
      <c r="T220" s="142">
        <f t="shared" si="151"/>
        <v>1716178.2406532499</v>
      </c>
      <c r="U220" s="142">
        <f t="shared" si="151"/>
        <v>1716178.2406532499</v>
      </c>
      <c r="V220" s="142">
        <f t="shared" si="151"/>
        <v>1716178.2406532499</v>
      </c>
      <c r="W220" s="142">
        <f t="shared" si="151"/>
        <v>1716178.2406532499</v>
      </c>
      <c r="X220" s="142">
        <f t="shared" si="151"/>
        <v>1716178.2406532499</v>
      </c>
      <c r="Y220" s="142">
        <f t="shared" si="151"/>
        <v>1716178.2406532499</v>
      </c>
      <c r="Z220" s="142">
        <f t="shared" si="151"/>
        <v>1716178.2406532499</v>
      </c>
      <c r="AA220" s="142">
        <f t="shared" si="151"/>
        <v>1716178.2406532499</v>
      </c>
      <c r="AB220" s="142">
        <f t="shared" si="151"/>
        <v>1716178.2406532499</v>
      </c>
      <c r="AC220" s="142">
        <f t="shared" si="151"/>
        <v>1716178.2406532499</v>
      </c>
      <c r="AD220" s="142">
        <f t="shared" si="151"/>
        <v>1716178.2406532499</v>
      </c>
      <c r="AE220" s="142">
        <f t="shared" si="151"/>
        <v>1716178.2406532499</v>
      </c>
      <c r="AF220" s="142">
        <f t="shared" si="151"/>
        <v>1716178.2406532499</v>
      </c>
      <c r="AG220" s="142">
        <f t="shared" si="151"/>
        <v>1716178.2406532499</v>
      </c>
      <c r="AH220" s="142">
        <f t="shared" si="151"/>
        <v>1716178.2406532499</v>
      </c>
      <c r="AI220" s="142">
        <f t="shared" si="151"/>
        <v>1716178.2406532499</v>
      </c>
      <c r="AJ220" s="142">
        <f t="shared" si="151"/>
        <v>1716178.2406532499</v>
      </c>
      <c r="AK220" s="142">
        <f t="shared" si="151"/>
        <v>1716178.2406532499</v>
      </c>
      <c r="AL220" s="142">
        <f t="shared" si="151"/>
        <v>1716178.2406532499</v>
      </c>
      <c r="AM220" s="142">
        <f t="shared" si="151"/>
        <v>1716178.2406532499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 t="shared" ref="O222:AM222" si="152">$I222*(O223-O224)</f>
        <v>85808.912032662411</v>
      </c>
      <c r="P222" s="109">
        <f t="shared" si="152"/>
        <v>257426.73609798748</v>
      </c>
      <c r="Q222" s="109">
        <f t="shared" si="152"/>
        <v>257426.73609798748</v>
      </c>
      <c r="R222" s="109">
        <f t="shared" si="152"/>
        <v>257426.73609798748</v>
      </c>
      <c r="S222" s="109">
        <f t="shared" si="152"/>
        <v>257426.73609798748</v>
      </c>
      <c r="T222" s="109">
        <f t="shared" si="152"/>
        <v>257426.73609798748</v>
      </c>
      <c r="U222" s="109">
        <f t="shared" si="152"/>
        <v>257426.73609798748</v>
      </c>
      <c r="V222" s="109">
        <f t="shared" si="152"/>
        <v>257426.73609798748</v>
      </c>
      <c r="W222" s="109">
        <f t="shared" si="152"/>
        <v>257426.73609798748</v>
      </c>
      <c r="X222" s="109">
        <f t="shared" si="152"/>
        <v>257426.73609798748</v>
      </c>
      <c r="Y222" s="109">
        <f t="shared" si="152"/>
        <v>257426.73609798748</v>
      </c>
      <c r="Z222" s="109">
        <f t="shared" si="152"/>
        <v>257426.73609798748</v>
      </c>
      <c r="AA222" s="109">
        <f t="shared" si="152"/>
        <v>257426.73609798748</v>
      </c>
      <c r="AB222" s="109">
        <f t="shared" si="152"/>
        <v>257426.73609798748</v>
      </c>
      <c r="AC222" s="109">
        <f t="shared" si="152"/>
        <v>257426.73609798748</v>
      </c>
      <c r="AD222" s="109">
        <f t="shared" si="152"/>
        <v>257426.73609798748</v>
      </c>
      <c r="AE222" s="109">
        <f t="shared" si="152"/>
        <v>257426.73609798748</v>
      </c>
      <c r="AF222" s="109">
        <f t="shared" si="152"/>
        <v>257426.73609798748</v>
      </c>
      <c r="AG222" s="109">
        <f t="shared" si="152"/>
        <v>257426.73609798748</v>
      </c>
      <c r="AH222" s="109">
        <f t="shared" si="152"/>
        <v>257426.73609798748</v>
      </c>
      <c r="AI222" s="109">
        <f t="shared" si="152"/>
        <v>257426.73609798748</v>
      </c>
      <c r="AJ222" s="109">
        <f t="shared" si="152"/>
        <v>257426.73609798748</v>
      </c>
      <c r="AK222" s="109">
        <f t="shared" si="152"/>
        <v>257426.73609798748</v>
      </c>
      <c r="AL222" s="109">
        <f t="shared" si="152"/>
        <v>257426.73609798748</v>
      </c>
      <c r="AM222" s="109">
        <f t="shared" si="152"/>
        <v>257426.73609798748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153">O220</f>
        <v>572059.41355108272</v>
      </c>
      <c r="P223" s="107">
        <f t="shared" si="153"/>
        <v>1716178.2406532499</v>
      </c>
      <c r="Q223" s="107">
        <f t="shared" si="153"/>
        <v>1716178.2406532499</v>
      </c>
      <c r="R223" s="107">
        <f t="shared" si="153"/>
        <v>1716178.2406532499</v>
      </c>
      <c r="S223" s="107">
        <f t="shared" si="153"/>
        <v>1716178.2406532499</v>
      </c>
      <c r="T223" s="107">
        <f t="shared" si="153"/>
        <v>1716178.2406532499</v>
      </c>
      <c r="U223" s="107">
        <f t="shared" si="153"/>
        <v>1716178.2406532499</v>
      </c>
      <c r="V223" s="107">
        <f t="shared" si="153"/>
        <v>1716178.2406532499</v>
      </c>
      <c r="W223" s="107">
        <f t="shared" si="153"/>
        <v>1716178.2406532499</v>
      </c>
      <c r="X223" s="107">
        <f t="shared" si="153"/>
        <v>1716178.2406532499</v>
      </c>
      <c r="Y223" s="107">
        <f t="shared" si="153"/>
        <v>1716178.2406532499</v>
      </c>
      <c r="Z223" s="107">
        <f t="shared" si="153"/>
        <v>1716178.2406532499</v>
      </c>
      <c r="AA223" s="107">
        <f t="shared" si="153"/>
        <v>1716178.2406532499</v>
      </c>
      <c r="AB223" s="107">
        <f t="shared" si="153"/>
        <v>1716178.2406532499</v>
      </c>
      <c r="AC223" s="107">
        <f t="shared" si="153"/>
        <v>1716178.2406532499</v>
      </c>
      <c r="AD223" s="107">
        <f t="shared" si="153"/>
        <v>1716178.2406532499</v>
      </c>
      <c r="AE223" s="107">
        <f t="shared" si="153"/>
        <v>1716178.2406532499</v>
      </c>
      <c r="AF223" s="107">
        <f t="shared" si="153"/>
        <v>1716178.2406532499</v>
      </c>
      <c r="AG223" s="107">
        <f t="shared" si="153"/>
        <v>1716178.2406532499</v>
      </c>
      <c r="AH223" s="107">
        <f t="shared" si="153"/>
        <v>1716178.2406532499</v>
      </c>
      <c r="AI223" s="107">
        <f t="shared" si="153"/>
        <v>1716178.2406532499</v>
      </c>
      <c r="AJ223" s="107">
        <f t="shared" si="153"/>
        <v>1716178.2406532499</v>
      </c>
      <c r="AK223" s="107">
        <f t="shared" si="153"/>
        <v>1716178.2406532499</v>
      </c>
      <c r="AL223" s="107">
        <f t="shared" si="153"/>
        <v>1716178.2406532499</v>
      </c>
      <c r="AM223" s="107">
        <f t="shared" si="153"/>
        <v>1716178.2406532499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154">$I224</f>
        <v>0</v>
      </c>
      <c r="P224" s="107">
        <f t="shared" si="154"/>
        <v>0</v>
      </c>
      <c r="Q224" s="107">
        <f t="shared" si="154"/>
        <v>0</v>
      </c>
      <c r="R224" s="107">
        <f t="shared" si="154"/>
        <v>0</v>
      </c>
      <c r="S224" s="107">
        <f t="shared" si="154"/>
        <v>0</v>
      </c>
      <c r="T224" s="107">
        <f t="shared" si="154"/>
        <v>0</v>
      </c>
      <c r="U224" s="107">
        <f t="shared" si="154"/>
        <v>0</v>
      </c>
      <c r="V224" s="107">
        <f t="shared" si="154"/>
        <v>0</v>
      </c>
      <c r="W224" s="107">
        <f t="shared" si="154"/>
        <v>0</v>
      </c>
      <c r="X224" s="107">
        <f t="shared" si="154"/>
        <v>0</v>
      </c>
      <c r="Y224" s="107">
        <f t="shared" si="154"/>
        <v>0</v>
      </c>
      <c r="Z224" s="107">
        <f t="shared" si="154"/>
        <v>0</v>
      </c>
      <c r="AA224" s="107">
        <f t="shared" si="154"/>
        <v>0</v>
      </c>
      <c r="AB224" s="107">
        <f t="shared" si="154"/>
        <v>0</v>
      </c>
      <c r="AC224" s="107">
        <f t="shared" si="154"/>
        <v>0</v>
      </c>
      <c r="AD224" s="107">
        <f t="shared" si="154"/>
        <v>0</v>
      </c>
      <c r="AE224" s="107">
        <f t="shared" si="154"/>
        <v>0</v>
      </c>
      <c r="AF224" s="107">
        <f t="shared" si="154"/>
        <v>0</v>
      </c>
      <c r="AG224" s="107">
        <f t="shared" si="154"/>
        <v>0</v>
      </c>
      <c r="AH224" s="107">
        <f t="shared" si="154"/>
        <v>0</v>
      </c>
      <c r="AI224" s="107">
        <f t="shared" si="154"/>
        <v>0</v>
      </c>
      <c r="AJ224" s="107">
        <f t="shared" si="154"/>
        <v>0</v>
      </c>
      <c r="AK224" s="107">
        <f t="shared" si="154"/>
        <v>0</v>
      </c>
      <c r="AL224" s="107">
        <f t="shared" si="154"/>
        <v>0</v>
      </c>
      <c r="AM224" s="107">
        <f t="shared" si="154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 t="shared" ref="O226:AM226" si="155">MAX($I226*(O227-O228),0)</f>
        <v>33205.941355108276</v>
      </c>
      <c r="P226" s="109">
        <f t="shared" si="155"/>
        <v>147617.824065325</v>
      </c>
      <c r="Q226" s="109">
        <f t="shared" si="155"/>
        <v>147617.824065325</v>
      </c>
      <c r="R226" s="109">
        <f t="shared" si="155"/>
        <v>147617.824065325</v>
      </c>
      <c r="S226" s="109">
        <f t="shared" si="155"/>
        <v>147617.824065325</v>
      </c>
      <c r="T226" s="109">
        <f t="shared" si="155"/>
        <v>147617.824065325</v>
      </c>
      <c r="U226" s="109">
        <f t="shared" si="155"/>
        <v>147617.824065325</v>
      </c>
      <c r="V226" s="109">
        <f t="shared" si="155"/>
        <v>147617.824065325</v>
      </c>
      <c r="W226" s="109">
        <f t="shared" si="155"/>
        <v>147617.824065325</v>
      </c>
      <c r="X226" s="109">
        <f t="shared" si="155"/>
        <v>147617.824065325</v>
      </c>
      <c r="Y226" s="109">
        <f t="shared" si="155"/>
        <v>147617.824065325</v>
      </c>
      <c r="Z226" s="109">
        <f t="shared" si="155"/>
        <v>147617.824065325</v>
      </c>
      <c r="AA226" s="109">
        <f t="shared" si="155"/>
        <v>147617.824065325</v>
      </c>
      <c r="AB226" s="109">
        <f t="shared" si="155"/>
        <v>147617.824065325</v>
      </c>
      <c r="AC226" s="109">
        <f t="shared" si="155"/>
        <v>147617.824065325</v>
      </c>
      <c r="AD226" s="109">
        <f t="shared" si="155"/>
        <v>147617.824065325</v>
      </c>
      <c r="AE226" s="109">
        <f t="shared" si="155"/>
        <v>147617.824065325</v>
      </c>
      <c r="AF226" s="109">
        <f t="shared" si="155"/>
        <v>147617.824065325</v>
      </c>
      <c r="AG226" s="109">
        <f t="shared" si="155"/>
        <v>147617.824065325</v>
      </c>
      <c r="AH226" s="109">
        <f t="shared" si="155"/>
        <v>147617.824065325</v>
      </c>
      <c r="AI226" s="109">
        <f t="shared" si="155"/>
        <v>147617.824065325</v>
      </c>
      <c r="AJ226" s="109">
        <f t="shared" si="155"/>
        <v>147617.824065325</v>
      </c>
      <c r="AK226" s="109">
        <f t="shared" si="155"/>
        <v>147617.824065325</v>
      </c>
      <c r="AL226" s="109">
        <f t="shared" si="155"/>
        <v>147617.824065325</v>
      </c>
      <c r="AM226" s="109">
        <f t="shared" si="155"/>
        <v>147617.824065325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156">O220</f>
        <v>572059.41355108272</v>
      </c>
      <c r="P227" s="107">
        <f t="shared" si="156"/>
        <v>1716178.2406532499</v>
      </c>
      <c r="Q227" s="107">
        <f t="shared" si="156"/>
        <v>1716178.2406532499</v>
      </c>
      <c r="R227" s="107">
        <f t="shared" si="156"/>
        <v>1716178.2406532499</v>
      </c>
      <c r="S227" s="107">
        <f t="shared" si="156"/>
        <v>1716178.2406532499</v>
      </c>
      <c r="T227" s="107">
        <f t="shared" si="156"/>
        <v>1716178.2406532499</v>
      </c>
      <c r="U227" s="107">
        <f t="shared" si="156"/>
        <v>1716178.2406532499</v>
      </c>
      <c r="V227" s="107">
        <f t="shared" si="156"/>
        <v>1716178.2406532499</v>
      </c>
      <c r="W227" s="107">
        <f t="shared" si="156"/>
        <v>1716178.2406532499</v>
      </c>
      <c r="X227" s="107">
        <f t="shared" si="156"/>
        <v>1716178.2406532499</v>
      </c>
      <c r="Y227" s="107">
        <f t="shared" si="156"/>
        <v>1716178.2406532499</v>
      </c>
      <c r="Z227" s="107">
        <f t="shared" si="156"/>
        <v>1716178.2406532499</v>
      </c>
      <c r="AA227" s="107">
        <f t="shared" si="156"/>
        <v>1716178.2406532499</v>
      </c>
      <c r="AB227" s="107">
        <f t="shared" si="156"/>
        <v>1716178.2406532499</v>
      </c>
      <c r="AC227" s="107">
        <f t="shared" si="156"/>
        <v>1716178.2406532499</v>
      </c>
      <c r="AD227" s="107">
        <f t="shared" si="156"/>
        <v>1716178.2406532499</v>
      </c>
      <c r="AE227" s="107">
        <f t="shared" si="156"/>
        <v>1716178.2406532499</v>
      </c>
      <c r="AF227" s="107">
        <f t="shared" si="156"/>
        <v>1716178.2406532499</v>
      </c>
      <c r="AG227" s="107">
        <f t="shared" si="156"/>
        <v>1716178.2406532499</v>
      </c>
      <c r="AH227" s="107">
        <f t="shared" si="156"/>
        <v>1716178.2406532499</v>
      </c>
      <c r="AI227" s="107">
        <f t="shared" si="156"/>
        <v>1716178.2406532499</v>
      </c>
      <c r="AJ227" s="107">
        <f t="shared" si="156"/>
        <v>1716178.2406532499</v>
      </c>
      <c r="AK227" s="107">
        <f t="shared" si="156"/>
        <v>1716178.2406532499</v>
      </c>
      <c r="AL227" s="107">
        <f t="shared" si="156"/>
        <v>1716178.2406532499</v>
      </c>
      <c r="AM227" s="107">
        <f t="shared" si="156"/>
        <v>1716178.2406532499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157">$I228</f>
        <v>240000</v>
      </c>
      <c r="P228" s="107">
        <f t="shared" si="157"/>
        <v>240000</v>
      </c>
      <c r="Q228" s="107">
        <f t="shared" si="157"/>
        <v>240000</v>
      </c>
      <c r="R228" s="107">
        <f t="shared" si="157"/>
        <v>240000</v>
      </c>
      <c r="S228" s="107">
        <f t="shared" si="157"/>
        <v>240000</v>
      </c>
      <c r="T228" s="107">
        <f t="shared" si="157"/>
        <v>240000</v>
      </c>
      <c r="U228" s="107">
        <f t="shared" si="157"/>
        <v>240000</v>
      </c>
      <c r="V228" s="107">
        <f t="shared" si="157"/>
        <v>240000</v>
      </c>
      <c r="W228" s="107">
        <f t="shared" si="157"/>
        <v>240000</v>
      </c>
      <c r="X228" s="107">
        <f t="shared" si="157"/>
        <v>240000</v>
      </c>
      <c r="Y228" s="107">
        <f t="shared" si="157"/>
        <v>240000</v>
      </c>
      <c r="Z228" s="107">
        <f t="shared" si="157"/>
        <v>240000</v>
      </c>
      <c r="AA228" s="107">
        <f t="shared" si="157"/>
        <v>240000</v>
      </c>
      <c r="AB228" s="107">
        <f t="shared" si="157"/>
        <v>240000</v>
      </c>
      <c r="AC228" s="107">
        <f t="shared" si="157"/>
        <v>240000</v>
      </c>
      <c r="AD228" s="107">
        <f t="shared" si="157"/>
        <v>240000</v>
      </c>
      <c r="AE228" s="107">
        <f t="shared" si="157"/>
        <v>240000</v>
      </c>
      <c r="AF228" s="107">
        <f t="shared" si="157"/>
        <v>240000</v>
      </c>
      <c r="AG228" s="107">
        <f t="shared" si="157"/>
        <v>240000</v>
      </c>
      <c r="AH228" s="107">
        <f t="shared" si="157"/>
        <v>240000</v>
      </c>
      <c r="AI228" s="107">
        <f t="shared" si="157"/>
        <v>240000</v>
      </c>
      <c r="AJ228" s="107">
        <f t="shared" si="157"/>
        <v>240000</v>
      </c>
      <c r="AK228" s="107">
        <f t="shared" si="157"/>
        <v>240000</v>
      </c>
      <c r="AL228" s="107">
        <f t="shared" si="157"/>
        <v>240000</v>
      </c>
      <c r="AM228" s="107">
        <f t="shared" si="157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MAX($I230*(O231-O232),0)</f>
        <v>51485.347219597439</v>
      </c>
      <c r="P230" s="109">
        <f t="shared" ref="P230:AM230" si="158">$I230*(P231-P232)</f>
        <v>154456.0416587925</v>
      </c>
      <c r="Q230" s="109">
        <f t="shared" si="158"/>
        <v>154456.0416587925</v>
      </c>
      <c r="R230" s="109">
        <f t="shared" si="158"/>
        <v>154456.0416587925</v>
      </c>
      <c r="S230" s="109">
        <f t="shared" si="158"/>
        <v>154456.0416587925</v>
      </c>
      <c r="T230" s="109">
        <f t="shared" si="158"/>
        <v>154456.0416587925</v>
      </c>
      <c r="U230" s="109">
        <f t="shared" si="158"/>
        <v>154456.0416587925</v>
      </c>
      <c r="V230" s="109">
        <f t="shared" si="158"/>
        <v>154456.0416587925</v>
      </c>
      <c r="W230" s="109">
        <f t="shared" si="158"/>
        <v>154456.0416587925</v>
      </c>
      <c r="X230" s="109">
        <f t="shared" si="158"/>
        <v>154456.0416587925</v>
      </c>
      <c r="Y230" s="109">
        <f t="shared" si="158"/>
        <v>154456.0416587925</v>
      </c>
      <c r="Z230" s="109">
        <f t="shared" si="158"/>
        <v>154456.0416587925</v>
      </c>
      <c r="AA230" s="109">
        <f t="shared" si="158"/>
        <v>154456.0416587925</v>
      </c>
      <c r="AB230" s="109">
        <f t="shared" si="158"/>
        <v>154456.0416587925</v>
      </c>
      <c r="AC230" s="109">
        <f t="shared" si="158"/>
        <v>154456.0416587925</v>
      </c>
      <c r="AD230" s="109">
        <f t="shared" si="158"/>
        <v>154456.0416587925</v>
      </c>
      <c r="AE230" s="109">
        <f t="shared" si="158"/>
        <v>154456.0416587925</v>
      </c>
      <c r="AF230" s="109">
        <f t="shared" si="158"/>
        <v>154456.0416587925</v>
      </c>
      <c r="AG230" s="109">
        <f t="shared" si="158"/>
        <v>154456.0416587925</v>
      </c>
      <c r="AH230" s="109">
        <f t="shared" si="158"/>
        <v>154456.0416587925</v>
      </c>
      <c r="AI230" s="109">
        <f t="shared" si="158"/>
        <v>154456.0416587925</v>
      </c>
      <c r="AJ230" s="109">
        <f t="shared" si="158"/>
        <v>154456.0416587925</v>
      </c>
      <c r="AK230" s="109">
        <f t="shared" si="158"/>
        <v>154456.0416587925</v>
      </c>
      <c r="AL230" s="109">
        <f t="shared" si="158"/>
        <v>154456.0416587925</v>
      </c>
      <c r="AM230" s="109">
        <f t="shared" si="158"/>
        <v>154456.0416587925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159">O220</f>
        <v>572059.41355108272</v>
      </c>
      <c r="P231" s="107">
        <f t="shared" si="159"/>
        <v>1716178.2406532499</v>
      </c>
      <c r="Q231" s="107">
        <f t="shared" si="159"/>
        <v>1716178.2406532499</v>
      </c>
      <c r="R231" s="107">
        <f t="shared" si="159"/>
        <v>1716178.2406532499</v>
      </c>
      <c r="S231" s="107">
        <f t="shared" si="159"/>
        <v>1716178.2406532499</v>
      </c>
      <c r="T231" s="107">
        <f t="shared" si="159"/>
        <v>1716178.2406532499</v>
      </c>
      <c r="U231" s="107">
        <f t="shared" si="159"/>
        <v>1716178.2406532499</v>
      </c>
      <c r="V231" s="107">
        <f t="shared" si="159"/>
        <v>1716178.2406532499</v>
      </c>
      <c r="W231" s="107">
        <f t="shared" si="159"/>
        <v>1716178.2406532499</v>
      </c>
      <c r="X231" s="107">
        <f t="shared" si="159"/>
        <v>1716178.2406532499</v>
      </c>
      <c r="Y231" s="107">
        <f t="shared" si="159"/>
        <v>1716178.2406532499</v>
      </c>
      <c r="Z231" s="107">
        <f t="shared" si="159"/>
        <v>1716178.2406532499</v>
      </c>
      <c r="AA231" s="107">
        <f t="shared" si="159"/>
        <v>1716178.2406532499</v>
      </c>
      <c r="AB231" s="107">
        <f t="shared" si="159"/>
        <v>1716178.2406532499</v>
      </c>
      <c r="AC231" s="107">
        <f t="shared" si="159"/>
        <v>1716178.2406532499</v>
      </c>
      <c r="AD231" s="107">
        <f t="shared" si="159"/>
        <v>1716178.2406532499</v>
      </c>
      <c r="AE231" s="107">
        <f t="shared" si="159"/>
        <v>1716178.2406532499</v>
      </c>
      <c r="AF231" s="107">
        <f t="shared" si="159"/>
        <v>1716178.2406532499</v>
      </c>
      <c r="AG231" s="107">
        <f t="shared" si="159"/>
        <v>1716178.2406532499</v>
      </c>
      <c r="AH231" s="107">
        <f t="shared" si="159"/>
        <v>1716178.2406532499</v>
      </c>
      <c r="AI231" s="107">
        <f t="shared" si="159"/>
        <v>1716178.2406532499</v>
      </c>
      <c r="AJ231" s="107">
        <f t="shared" si="159"/>
        <v>1716178.2406532499</v>
      </c>
      <c r="AK231" s="107">
        <f t="shared" si="159"/>
        <v>1716178.2406532499</v>
      </c>
      <c r="AL231" s="107">
        <f t="shared" si="159"/>
        <v>1716178.2406532499</v>
      </c>
      <c r="AM231" s="107">
        <f t="shared" si="159"/>
        <v>1716178.2406532499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160">$I232</f>
        <v>0</v>
      </c>
      <c r="P232" s="107">
        <f t="shared" si="160"/>
        <v>0</v>
      </c>
      <c r="Q232" s="107">
        <f t="shared" si="160"/>
        <v>0</v>
      </c>
      <c r="R232" s="107">
        <f t="shared" si="160"/>
        <v>0</v>
      </c>
      <c r="S232" s="107">
        <f t="shared" si="160"/>
        <v>0</v>
      </c>
      <c r="T232" s="107">
        <f t="shared" si="160"/>
        <v>0</v>
      </c>
      <c r="U232" s="107">
        <f t="shared" si="160"/>
        <v>0</v>
      </c>
      <c r="V232" s="107">
        <f t="shared" si="160"/>
        <v>0</v>
      </c>
      <c r="W232" s="107">
        <f t="shared" si="160"/>
        <v>0</v>
      </c>
      <c r="X232" s="107">
        <f t="shared" si="160"/>
        <v>0</v>
      </c>
      <c r="Y232" s="107">
        <f t="shared" si="160"/>
        <v>0</v>
      </c>
      <c r="Z232" s="107">
        <f t="shared" si="160"/>
        <v>0</v>
      </c>
      <c r="AA232" s="107">
        <f t="shared" si="160"/>
        <v>0</v>
      </c>
      <c r="AB232" s="107">
        <f t="shared" si="160"/>
        <v>0</v>
      </c>
      <c r="AC232" s="107">
        <f t="shared" si="160"/>
        <v>0</v>
      </c>
      <c r="AD232" s="107">
        <f t="shared" si="160"/>
        <v>0</v>
      </c>
      <c r="AE232" s="107">
        <f t="shared" si="160"/>
        <v>0</v>
      </c>
      <c r="AF232" s="107">
        <f t="shared" si="160"/>
        <v>0</v>
      </c>
      <c r="AG232" s="107">
        <f t="shared" si="160"/>
        <v>0</v>
      </c>
      <c r="AH232" s="107">
        <f t="shared" si="160"/>
        <v>0</v>
      </c>
      <c r="AI232" s="107">
        <f t="shared" si="160"/>
        <v>0</v>
      </c>
      <c r="AJ232" s="107">
        <f t="shared" si="160"/>
        <v>0</v>
      </c>
      <c r="AK232" s="107">
        <f t="shared" si="160"/>
        <v>0</v>
      </c>
      <c r="AL232" s="107">
        <f t="shared" si="160"/>
        <v>0</v>
      </c>
      <c r="AM232" s="107">
        <f t="shared" si="160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421979.53820831119</v>
      </c>
      <c r="P234" s="329">
        <f t="shared" ref="P234:AM234" si="161">P236+P247+P251+P255</f>
        <v>1641740.4686804654</v>
      </c>
      <c r="Q234" s="329">
        <f t="shared" si="161"/>
        <v>1624247.256523557</v>
      </c>
      <c r="R234" s="329">
        <f t="shared" si="161"/>
        <v>1641814.1369722097</v>
      </c>
      <c r="S234" s="329">
        <f t="shared" si="161"/>
        <v>1641247.6831550514</v>
      </c>
      <c r="T234" s="329">
        <f t="shared" si="161"/>
        <v>1624961.0469242039</v>
      </c>
      <c r="U234" s="329">
        <f t="shared" si="161"/>
        <v>1641321.3514467957</v>
      </c>
      <c r="V234" s="329">
        <f t="shared" si="161"/>
        <v>1625034.7152159482</v>
      </c>
      <c r="W234" s="329">
        <f t="shared" si="161"/>
        <v>1641395.0197385401</v>
      </c>
      <c r="X234" s="329">
        <f t="shared" si="161"/>
        <v>1642035.1418474426</v>
      </c>
      <c r="Y234" s="329">
        <f t="shared" si="161"/>
        <v>1624541.9296905342</v>
      </c>
      <c r="Z234" s="329">
        <f t="shared" si="161"/>
        <v>1642108.8101391867</v>
      </c>
      <c r="AA234" s="329">
        <f t="shared" si="161"/>
        <v>1624615.5979822786</v>
      </c>
      <c r="AB234" s="329">
        <f t="shared" si="161"/>
        <v>1642182.478430931</v>
      </c>
      <c r="AC234" s="329">
        <f t="shared" si="161"/>
        <v>1641616.0246137728</v>
      </c>
      <c r="AD234" s="329">
        <f t="shared" si="161"/>
        <v>1625329.3883829252</v>
      </c>
      <c r="AE234" s="329">
        <f t="shared" si="161"/>
        <v>1641689.6929055173</v>
      </c>
      <c r="AF234" s="329">
        <f t="shared" si="161"/>
        <v>1625403.0566746695</v>
      </c>
      <c r="AG234" s="329">
        <f t="shared" si="161"/>
        <v>1641763.3611972616</v>
      </c>
      <c r="AH234" s="329">
        <f t="shared" si="161"/>
        <v>1642403.4833061639</v>
      </c>
      <c r="AI234" s="329">
        <f t="shared" si="161"/>
        <v>1624910.2711492556</v>
      </c>
      <c r="AJ234" s="329">
        <f t="shared" si="161"/>
        <v>1642477.1515979082</v>
      </c>
      <c r="AK234" s="329">
        <f t="shared" si="161"/>
        <v>1624983.9394409996</v>
      </c>
      <c r="AL234" s="329">
        <f t="shared" si="161"/>
        <v>1642550.8198896525</v>
      </c>
      <c r="AM234" s="329">
        <f t="shared" si="161"/>
        <v>1675396.9143611542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f t="shared" ref="O236:AM236" si="162">$I236*(O237+O238)</f>
        <v>60104.035521649945</v>
      </c>
      <c r="P236" s="109">
        <f t="shared" si="162"/>
        <v>330888.01772094605</v>
      </c>
      <c r="Q236" s="109">
        <f t="shared" si="162"/>
        <v>326985.86657411547</v>
      </c>
      <c r="R236" s="109">
        <f t="shared" si="162"/>
        <v>330999.63634480105</v>
      </c>
      <c r="S236" s="109">
        <f t="shared" si="162"/>
        <v>330141.37298547046</v>
      </c>
      <c r="T236" s="109">
        <f t="shared" si="162"/>
        <v>328067.36718115606</v>
      </c>
      <c r="U236" s="109">
        <f t="shared" si="162"/>
        <v>330252.99160932546</v>
      </c>
      <c r="V236" s="109">
        <f t="shared" si="162"/>
        <v>328178.98580501101</v>
      </c>
      <c r="W236" s="109">
        <f t="shared" si="162"/>
        <v>330364.61023318046</v>
      </c>
      <c r="X236" s="109">
        <f t="shared" si="162"/>
        <v>331334.49221636599</v>
      </c>
      <c r="Y236" s="109">
        <f t="shared" si="162"/>
        <v>327432.34106953541</v>
      </c>
      <c r="Z236" s="109">
        <f t="shared" si="162"/>
        <v>331446.11084022099</v>
      </c>
      <c r="AA236" s="109">
        <f t="shared" si="162"/>
        <v>327543.95969339041</v>
      </c>
      <c r="AB236" s="109">
        <f t="shared" si="162"/>
        <v>331557.72946407599</v>
      </c>
      <c r="AC236" s="109">
        <f t="shared" si="162"/>
        <v>330699.4661047454</v>
      </c>
      <c r="AD236" s="109">
        <f t="shared" si="162"/>
        <v>328625.460300431</v>
      </c>
      <c r="AE236" s="109">
        <f t="shared" si="162"/>
        <v>330811.0847286004</v>
      </c>
      <c r="AF236" s="109">
        <f t="shared" si="162"/>
        <v>328737.07892428595</v>
      </c>
      <c r="AG236" s="109">
        <f t="shared" si="162"/>
        <v>330922.7033524554</v>
      </c>
      <c r="AH236" s="109">
        <f t="shared" si="162"/>
        <v>331892.58533564094</v>
      </c>
      <c r="AI236" s="109">
        <f t="shared" si="162"/>
        <v>327990.43418881035</v>
      </c>
      <c r="AJ236" s="109">
        <f t="shared" si="162"/>
        <v>332004.20395949594</v>
      </c>
      <c r="AK236" s="109">
        <f t="shared" si="162"/>
        <v>328102.05281266529</v>
      </c>
      <c r="AL236" s="109">
        <f t="shared" si="162"/>
        <v>332115.82258335094</v>
      </c>
      <c r="AM236" s="109">
        <f t="shared" si="162"/>
        <v>342455.28069861286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f t="shared" ref="O237:AM237" si="163">O122*$I237</f>
        <v>1787685.6673471334</v>
      </c>
      <c r="P237" s="107">
        <f t="shared" si="163"/>
        <v>5363057.002041406</v>
      </c>
      <c r="Q237" s="107">
        <f t="shared" si="163"/>
        <v>5363057.002041406</v>
      </c>
      <c r="R237" s="107">
        <f t="shared" si="163"/>
        <v>5363057.002041406</v>
      </c>
      <c r="S237" s="107">
        <f t="shared" si="163"/>
        <v>5363057.002041406</v>
      </c>
      <c r="T237" s="107">
        <f t="shared" si="163"/>
        <v>5363057.002041406</v>
      </c>
      <c r="U237" s="107">
        <f t="shared" si="163"/>
        <v>5363057.002041406</v>
      </c>
      <c r="V237" s="107">
        <f t="shared" si="163"/>
        <v>5363057.002041406</v>
      </c>
      <c r="W237" s="107">
        <f t="shared" si="163"/>
        <v>5363057.002041406</v>
      </c>
      <c r="X237" s="107">
        <f t="shared" si="163"/>
        <v>5363057.002041406</v>
      </c>
      <c r="Y237" s="107">
        <f t="shared" si="163"/>
        <v>5363057.002041406</v>
      </c>
      <c r="Z237" s="107">
        <f t="shared" si="163"/>
        <v>5363057.002041406</v>
      </c>
      <c r="AA237" s="107">
        <f t="shared" si="163"/>
        <v>5363057.002041406</v>
      </c>
      <c r="AB237" s="107">
        <f t="shared" si="163"/>
        <v>5363057.002041406</v>
      </c>
      <c r="AC237" s="107">
        <f t="shared" si="163"/>
        <v>5363057.002041406</v>
      </c>
      <c r="AD237" s="107">
        <f t="shared" si="163"/>
        <v>5363057.002041406</v>
      </c>
      <c r="AE237" s="107">
        <f t="shared" si="163"/>
        <v>5363057.002041406</v>
      </c>
      <c r="AF237" s="107">
        <f t="shared" si="163"/>
        <v>5363057.002041406</v>
      </c>
      <c r="AG237" s="107">
        <f t="shared" si="163"/>
        <v>5363057.002041406</v>
      </c>
      <c r="AH237" s="107">
        <f t="shared" si="163"/>
        <v>5363057.002041406</v>
      </c>
      <c r="AI237" s="107">
        <f t="shared" si="163"/>
        <v>5363057.002041406</v>
      </c>
      <c r="AJ237" s="107">
        <f t="shared" si="163"/>
        <v>5363057.002041406</v>
      </c>
      <c r="AK237" s="107">
        <f t="shared" si="163"/>
        <v>5363057.002041406</v>
      </c>
      <c r="AL237" s="107">
        <f t="shared" si="163"/>
        <v>5363057.002041406</v>
      </c>
      <c r="AM237" s="107">
        <f t="shared" si="163"/>
        <v>5363057.002041406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f t="shared" ref="O238:AM238" si="164">$I$238*O106</f>
        <v>-1137912.3103563231</v>
      </c>
      <c r="P238" s="107">
        <f t="shared" si="164"/>
        <v>-1785889.2428960432</v>
      </c>
      <c r="Q238" s="107">
        <f t="shared" si="164"/>
        <v>-1828074.6606996171</v>
      </c>
      <c r="R238" s="107">
        <f t="shared" si="164"/>
        <v>-1784682.5550705837</v>
      </c>
      <c r="S238" s="107">
        <f t="shared" si="164"/>
        <v>-1793961.0778741576</v>
      </c>
      <c r="T238" s="107">
        <f t="shared" si="164"/>
        <v>-1816382.7622451242</v>
      </c>
      <c r="U238" s="107">
        <f t="shared" si="164"/>
        <v>-1792754.3900486985</v>
      </c>
      <c r="V238" s="107">
        <f t="shared" si="164"/>
        <v>-1815176.0744196649</v>
      </c>
      <c r="W238" s="107">
        <f t="shared" si="164"/>
        <v>-1791547.702223239</v>
      </c>
      <c r="X238" s="107">
        <f t="shared" si="164"/>
        <v>-1781062.4915942061</v>
      </c>
      <c r="Y238" s="107">
        <f t="shared" si="164"/>
        <v>-1823247.90939778</v>
      </c>
      <c r="Z238" s="107">
        <f t="shared" si="164"/>
        <v>-1779855.8037687466</v>
      </c>
      <c r="AA238" s="107">
        <f t="shared" si="164"/>
        <v>-1822041.2215723204</v>
      </c>
      <c r="AB238" s="107">
        <f t="shared" si="164"/>
        <v>-1778649.115943287</v>
      </c>
      <c r="AC238" s="107">
        <f t="shared" si="164"/>
        <v>-1787927.6387468611</v>
      </c>
      <c r="AD238" s="107">
        <f t="shared" si="164"/>
        <v>-1810349.3231178275</v>
      </c>
      <c r="AE238" s="107">
        <f t="shared" si="164"/>
        <v>-1786720.9509214018</v>
      </c>
      <c r="AF238" s="107">
        <f t="shared" si="164"/>
        <v>-1809142.6352923685</v>
      </c>
      <c r="AG238" s="107">
        <f t="shared" si="164"/>
        <v>-1785514.2630959423</v>
      </c>
      <c r="AH238" s="107">
        <f t="shared" si="164"/>
        <v>-1775029.0524669094</v>
      </c>
      <c r="AI238" s="107">
        <f t="shared" si="164"/>
        <v>-1817214.4702704833</v>
      </c>
      <c r="AJ238" s="107">
        <f t="shared" si="164"/>
        <v>-1773822.3646414499</v>
      </c>
      <c r="AK238" s="107">
        <f t="shared" si="164"/>
        <v>-1816007.7824450242</v>
      </c>
      <c r="AL238" s="107">
        <f t="shared" si="164"/>
        <v>-1772615.6768159904</v>
      </c>
      <c r="AM238" s="107">
        <f t="shared" si="164"/>
        <v>-1660837.7512455913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165">N243</f>
        <v>0</v>
      </c>
      <c r="P240" s="109">
        <f t="shared" si="165"/>
        <v>1137912.3103563231</v>
      </c>
      <c r="Q240" s="109">
        <f t="shared" si="165"/>
        <v>2262524.0255956524</v>
      </c>
      <c r="R240" s="109">
        <f t="shared" si="165"/>
        <v>3425419.007491725</v>
      </c>
      <c r="S240" s="109">
        <f t="shared" si="165"/>
        <v>4548935.6535294503</v>
      </c>
      <c r="T240" s="109">
        <f t="shared" si="165"/>
        <v>5680872.5590114184</v>
      </c>
      <c r="U240" s="109">
        <f t="shared" si="165"/>
        <v>6833157.1430600388</v>
      </c>
      <c r="V240" s="109">
        <f t="shared" si="165"/>
        <v>7963998.9793404024</v>
      </c>
      <c r="W240" s="109">
        <f t="shared" si="165"/>
        <v>9115188.4941874184</v>
      </c>
      <c r="X240" s="109">
        <f t="shared" si="165"/>
        <v>10244935.261266178</v>
      </c>
      <c r="Y240" s="109">
        <f t="shared" si="165"/>
        <v>11365166.699699091</v>
      </c>
      <c r="Z240" s="109">
        <f t="shared" si="165"/>
        <v>12523681.404788746</v>
      </c>
      <c r="AA240" s="109">
        <f t="shared" si="165"/>
        <v>13642817.774020053</v>
      </c>
      <c r="AB240" s="109">
        <f t="shared" si="165"/>
        <v>14800237.409908105</v>
      </c>
      <c r="AC240" s="109">
        <f t="shared" si="165"/>
        <v>15918278.709937807</v>
      </c>
      <c r="AD240" s="109">
        <f t="shared" si="165"/>
        <v>17044740.269411754</v>
      </c>
      <c r="AE240" s="109">
        <f t="shared" si="165"/>
        <v>18191549.50745235</v>
      </c>
      <c r="AF240" s="109">
        <f t="shared" si="165"/>
        <v>19316915.997724693</v>
      </c>
      <c r="AG240" s="109">
        <f t="shared" si="165"/>
        <v>20462630.16656369</v>
      </c>
      <c r="AH240" s="109">
        <f t="shared" si="165"/>
        <v>21586901.587634426</v>
      </c>
      <c r="AI240" s="109">
        <f t="shared" si="165"/>
        <v>22701657.680059317</v>
      </c>
      <c r="AJ240" s="109">
        <f t="shared" si="165"/>
        <v>23854697.039140951</v>
      </c>
      <c r="AK240" s="109">
        <f t="shared" si="165"/>
        <v>24968358.062364236</v>
      </c>
      <c r="AL240" s="109">
        <f t="shared" si="165"/>
        <v>26120302.352244265</v>
      </c>
      <c r="AM240" s="109">
        <f t="shared" si="165"/>
        <v>27232868.306265946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1137912.3103563231</v>
      </c>
      <c r="P241" s="107">
        <f t="shared" ref="P241:AM241" si="166">MAX(-P238,0)</f>
        <v>1785889.2428960432</v>
      </c>
      <c r="Q241" s="107">
        <f t="shared" si="166"/>
        <v>1828074.6606996171</v>
      </c>
      <c r="R241" s="107">
        <f t="shared" si="166"/>
        <v>1784682.5550705837</v>
      </c>
      <c r="S241" s="107">
        <f t="shared" si="166"/>
        <v>1793961.0778741576</v>
      </c>
      <c r="T241" s="107">
        <f t="shared" si="166"/>
        <v>1816382.7622451242</v>
      </c>
      <c r="U241" s="107">
        <f t="shared" si="166"/>
        <v>1792754.3900486985</v>
      </c>
      <c r="V241" s="107">
        <f t="shared" si="166"/>
        <v>1815176.0744196649</v>
      </c>
      <c r="W241" s="107">
        <f t="shared" si="166"/>
        <v>1791547.702223239</v>
      </c>
      <c r="X241" s="107">
        <f t="shared" si="166"/>
        <v>1781062.4915942061</v>
      </c>
      <c r="Y241" s="107">
        <f t="shared" si="166"/>
        <v>1823247.90939778</v>
      </c>
      <c r="Z241" s="107">
        <f t="shared" si="166"/>
        <v>1779855.8037687466</v>
      </c>
      <c r="AA241" s="107">
        <f t="shared" si="166"/>
        <v>1822041.2215723204</v>
      </c>
      <c r="AB241" s="107">
        <f t="shared" si="166"/>
        <v>1778649.115943287</v>
      </c>
      <c r="AC241" s="107">
        <f t="shared" si="166"/>
        <v>1787927.6387468611</v>
      </c>
      <c r="AD241" s="107">
        <f t="shared" si="166"/>
        <v>1810349.3231178275</v>
      </c>
      <c r="AE241" s="107">
        <f t="shared" si="166"/>
        <v>1786720.9509214018</v>
      </c>
      <c r="AF241" s="107">
        <f t="shared" si="166"/>
        <v>1809142.6352923685</v>
      </c>
      <c r="AG241" s="107">
        <f t="shared" si="166"/>
        <v>1785514.2630959423</v>
      </c>
      <c r="AH241" s="107">
        <f t="shared" si="166"/>
        <v>1775029.0524669094</v>
      </c>
      <c r="AI241" s="107">
        <f t="shared" si="166"/>
        <v>1817214.4702704833</v>
      </c>
      <c r="AJ241" s="107">
        <f t="shared" si="166"/>
        <v>1773822.3646414499</v>
      </c>
      <c r="AK241" s="107">
        <f t="shared" si="166"/>
        <v>1816007.7824450242</v>
      </c>
      <c r="AL241" s="107">
        <f t="shared" si="166"/>
        <v>1772615.6768159904</v>
      </c>
      <c r="AM241" s="107">
        <f t="shared" si="166"/>
        <v>1660837.7512455913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167">-MAX(0,MIN(P240,$I$242*(P237-P238)))</f>
        <v>-661277.52765671408</v>
      </c>
      <c r="Q242" s="107">
        <f t="shared" si="167"/>
        <v>-665179.67880354461</v>
      </c>
      <c r="R242" s="107">
        <f t="shared" si="167"/>
        <v>-661165.90903285902</v>
      </c>
      <c r="S242" s="107">
        <f t="shared" si="167"/>
        <v>-662024.17239218962</v>
      </c>
      <c r="T242" s="107">
        <f t="shared" si="167"/>
        <v>-664098.17819650401</v>
      </c>
      <c r="U242" s="107">
        <f t="shared" si="167"/>
        <v>-661912.55376833468</v>
      </c>
      <c r="V242" s="107">
        <f t="shared" si="167"/>
        <v>-663986.55957264907</v>
      </c>
      <c r="W242" s="107">
        <f t="shared" si="167"/>
        <v>-661800.93514447962</v>
      </c>
      <c r="X242" s="107">
        <f t="shared" si="167"/>
        <v>-660831.05316129408</v>
      </c>
      <c r="Y242" s="107">
        <f t="shared" si="167"/>
        <v>-664733.20430812472</v>
      </c>
      <c r="Z242" s="107">
        <f t="shared" si="167"/>
        <v>-660719.43453743914</v>
      </c>
      <c r="AA242" s="107">
        <f t="shared" si="167"/>
        <v>-664621.58568426967</v>
      </c>
      <c r="AB242" s="107">
        <f t="shared" si="167"/>
        <v>-660607.81591358408</v>
      </c>
      <c r="AC242" s="107">
        <f t="shared" si="167"/>
        <v>-661466.07927291468</v>
      </c>
      <c r="AD242" s="107">
        <f t="shared" si="167"/>
        <v>-663540.08507722907</v>
      </c>
      <c r="AE242" s="107">
        <f t="shared" si="167"/>
        <v>-661354.46064905974</v>
      </c>
      <c r="AF242" s="107">
        <f t="shared" si="167"/>
        <v>-663428.46645337413</v>
      </c>
      <c r="AG242" s="107">
        <f t="shared" si="167"/>
        <v>-661242.84202520468</v>
      </c>
      <c r="AH242" s="107">
        <f t="shared" si="167"/>
        <v>-660272.96004201914</v>
      </c>
      <c r="AI242" s="107">
        <f t="shared" si="167"/>
        <v>-664175.11118884978</v>
      </c>
      <c r="AJ242" s="107">
        <f t="shared" si="167"/>
        <v>-660161.34141816408</v>
      </c>
      <c r="AK242" s="107">
        <f t="shared" si="167"/>
        <v>-664063.49256499473</v>
      </c>
      <c r="AL242" s="107">
        <f t="shared" si="167"/>
        <v>-660049.72279430914</v>
      </c>
      <c r="AM242" s="107">
        <f t="shared" si="167"/>
        <v>-649710.26467904716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168">SUM(O240:O242)</f>
        <v>1137912.3103563231</v>
      </c>
      <c r="P243" s="109">
        <f t="shared" si="168"/>
        <v>2262524.0255956524</v>
      </c>
      <c r="Q243" s="109">
        <f t="shared" si="168"/>
        <v>3425419.007491725</v>
      </c>
      <c r="R243" s="109">
        <f t="shared" si="168"/>
        <v>4548935.6535294503</v>
      </c>
      <c r="S243" s="109">
        <f t="shared" si="168"/>
        <v>5680872.5590114184</v>
      </c>
      <c r="T243" s="109">
        <f t="shared" si="168"/>
        <v>6833157.1430600388</v>
      </c>
      <c r="U243" s="109">
        <f t="shared" si="168"/>
        <v>7963998.9793404024</v>
      </c>
      <c r="V243" s="109">
        <f t="shared" si="168"/>
        <v>9115188.4941874184</v>
      </c>
      <c r="W243" s="109">
        <f t="shared" si="168"/>
        <v>10244935.261266178</v>
      </c>
      <c r="X243" s="109">
        <f t="shared" si="168"/>
        <v>11365166.699699091</v>
      </c>
      <c r="Y243" s="109">
        <f t="shared" si="168"/>
        <v>12523681.404788746</v>
      </c>
      <c r="Z243" s="109">
        <f t="shared" si="168"/>
        <v>13642817.774020053</v>
      </c>
      <c r="AA243" s="109">
        <f t="shared" si="168"/>
        <v>14800237.409908105</v>
      </c>
      <c r="AB243" s="109">
        <f t="shared" si="168"/>
        <v>15918278.709937807</v>
      </c>
      <c r="AC243" s="109">
        <f t="shared" si="168"/>
        <v>17044740.269411754</v>
      </c>
      <c r="AD243" s="109">
        <f t="shared" si="168"/>
        <v>18191549.50745235</v>
      </c>
      <c r="AE243" s="109">
        <f t="shared" si="168"/>
        <v>19316915.997724693</v>
      </c>
      <c r="AF243" s="109">
        <f t="shared" si="168"/>
        <v>20462630.16656369</v>
      </c>
      <c r="AG243" s="109">
        <f t="shared" si="168"/>
        <v>21586901.587634426</v>
      </c>
      <c r="AH243" s="109">
        <f t="shared" si="168"/>
        <v>22701657.680059317</v>
      </c>
      <c r="AI243" s="109">
        <f t="shared" si="168"/>
        <v>23854697.039140951</v>
      </c>
      <c r="AJ243" s="109">
        <f t="shared" si="168"/>
        <v>24968358.062364236</v>
      </c>
      <c r="AK243" s="109">
        <f t="shared" si="168"/>
        <v>26120302.352244265</v>
      </c>
      <c r="AL243" s="109">
        <f t="shared" si="168"/>
        <v>27232868.306265946</v>
      </c>
      <c r="AM243" s="109">
        <f t="shared" si="168"/>
        <v>28243995.79283249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169">SUM(O245:AV245)</f>
        <v>95053222.318312943</v>
      </c>
      <c r="M245" s="1"/>
      <c r="N245" s="1"/>
      <c r="O245" s="328">
        <f t="shared" ref="O245:AM245" si="170">O75-O14-O236-O110</f>
        <v>1134927.9490784155</v>
      </c>
      <c r="P245" s="328">
        <f t="shared" si="170"/>
        <v>3926036.6204691743</v>
      </c>
      <c r="Q245" s="328">
        <f t="shared" si="170"/>
        <v>3886062.9116160045</v>
      </c>
      <c r="R245" s="328">
        <f t="shared" si="170"/>
        <v>3925925.0018453193</v>
      </c>
      <c r="S245" s="328">
        <f t="shared" si="170"/>
        <v>3926783.2652046499</v>
      </c>
      <c r="T245" s="328">
        <f t="shared" si="170"/>
        <v>3884981.4110089643</v>
      </c>
      <c r="U245" s="328">
        <f t="shared" si="170"/>
        <v>3926671.6465807948</v>
      </c>
      <c r="V245" s="328">
        <f t="shared" si="170"/>
        <v>3884869.7923851092</v>
      </c>
      <c r="W245" s="328">
        <f t="shared" si="170"/>
        <v>3926560.0279569402</v>
      </c>
      <c r="X245" s="328">
        <f t="shared" si="170"/>
        <v>3925590.1459737546</v>
      </c>
      <c r="Y245" s="328">
        <f t="shared" si="170"/>
        <v>3885616.4371205848</v>
      </c>
      <c r="Z245" s="328">
        <f t="shared" si="170"/>
        <v>3925478.5273498995</v>
      </c>
      <c r="AA245" s="328">
        <f t="shared" si="170"/>
        <v>3885504.8184967297</v>
      </c>
      <c r="AB245" s="328">
        <f t="shared" si="170"/>
        <v>3925366.9087260445</v>
      </c>
      <c r="AC245" s="328">
        <f t="shared" si="170"/>
        <v>3926225.1720853751</v>
      </c>
      <c r="AD245" s="328">
        <f t="shared" si="170"/>
        <v>3884423.317889689</v>
      </c>
      <c r="AE245" s="328">
        <f t="shared" si="170"/>
        <v>3926113.55346152</v>
      </c>
      <c r="AF245" s="328">
        <f t="shared" si="170"/>
        <v>3884311.6992658339</v>
      </c>
      <c r="AG245" s="328">
        <f t="shared" si="170"/>
        <v>3926001.9348376649</v>
      </c>
      <c r="AH245" s="328">
        <f t="shared" si="170"/>
        <v>3925032.0528544793</v>
      </c>
      <c r="AI245" s="328">
        <f t="shared" si="170"/>
        <v>3885058.3440013099</v>
      </c>
      <c r="AJ245" s="328">
        <f t="shared" si="170"/>
        <v>3924920.4342306247</v>
      </c>
      <c r="AK245" s="328">
        <f t="shared" si="170"/>
        <v>3884946.7253774549</v>
      </c>
      <c r="AL245" s="328">
        <f t="shared" si="170"/>
        <v>3924808.8156067696</v>
      </c>
      <c r="AM245" s="328">
        <f t="shared" si="170"/>
        <v>3991004.8048898275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f>$I247*(O248-O249)</f>
        <v>170239.19236176231</v>
      </c>
      <c r="P247" s="109">
        <f t="shared" ref="P247:AM247" si="171">$I247*(P248-P249)</f>
        <v>588905.49307037611</v>
      </c>
      <c r="Q247" s="109">
        <f t="shared" si="171"/>
        <v>582909.43674240063</v>
      </c>
      <c r="R247" s="109">
        <f t="shared" si="171"/>
        <v>588888.75027679792</v>
      </c>
      <c r="S247" s="109">
        <f t="shared" si="171"/>
        <v>589017.48978069751</v>
      </c>
      <c r="T247" s="109">
        <f t="shared" si="171"/>
        <v>582747.21165134467</v>
      </c>
      <c r="U247" s="109">
        <f t="shared" si="171"/>
        <v>589000.7469871192</v>
      </c>
      <c r="V247" s="109">
        <f t="shared" si="171"/>
        <v>582730.46885776636</v>
      </c>
      <c r="W247" s="109">
        <f t="shared" si="171"/>
        <v>588984.00419354101</v>
      </c>
      <c r="X247" s="109">
        <f t="shared" si="171"/>
        <v>588838.52189606312</v>
      </c>
      <c r="Y247" s="109">
        <f t="shared" si="171"/>
        <v>582842.46556808765</v>
      </c>
      <c r="Z247" s="109">
        <f t="shared" si="171"/>
        <v>588821.77910248493</v>
      </c>
      <c r="AA247" s="109">
        <f t="shared" si="171"/>
        <v>582825.72277450946</v>
      </c>
      <c r="AB247" s="109">
        <f t="shared" si="171"/>
        <v>588805.03630890662</v>
      </c>
      <c r="AC247" s="109">
        <f t="shared" si="171"/>
        <v>588933.77581280621</v>
      </c>
      <c r="AD247" s="109">
        <f t="shared" si="171"/>
        <v>582663.49768345337</v>
      </c>
      <c r="AE247" s="109">
        <f t="shared" si="171"/>
        <v>588917.03301922802</v>
      </c>
      <c r="AF247" s="109">
        <f t="shared" si="171"/>
        <v>582646.75488987507</v>
      </c>
      <c r="AG247" s="109">
        <f t="shared" si="171"/>
        <v>588900.29022564972</v>
      </c>
      <c r="AH247" s="109">
        <f t="shared" si="171"/>
        <v>588754.80792817182</v>
      </c>
      <c r="AI247" s="109">
        <f t="shared" si="171"/>
        <v>582758.75160019647</v>
      </c>
      <c r="AJ247" s="109">
        <f t="shared" si="171"/>
        <v>588738.06513459363</v>
      </c>
      <c r="AK247" s="109">
        <f t="shared" si="171"/>
        <v>582742.00880661816</v>
      </c>
      <c r="AL247" s="109">
        <f t="shared" si="171"/>
        <v>588721.32234101545</v>
      </c>
      <c r="AM247" s="109">
        <f t="shared" si="171"/>
        <v>598650.72073347413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f>O245</f>
        <v>1134927.9490784155</v>
      </c>
      <c r="P248" s="107">
        <f t="shared" ref="P248:AM248" si="172">P245</f>
        <v>3926036.6204691743</v>
      </c>
      <c r="Q248" s="107">
        <f t="shared" si="172"/>
        <v>3886062.9116160045</v>
      </c>
      <c r="R248" s="107">
        <f t="shared" si="172"/>
        <v>3925925.0018453193</v>
      </c>
      <c r="S248" s="107">
        <f t="shared" si="172"/>
        <v>3926783.2652046499</v>
      </c>
      <c r="T248" s="107">
        <f t="shared" si="172"/>
        <v>3884981.4110089643</v>
      </c>
      <c r="U248" s="107">
        <f t="shared" si="172"/>
        <v>3926671.6465807948</v>
      </c>
      <c r="V248" s="107">
        <f t="shared" si="172"/>
        <v>3884869.7923851092</v>
      </c>
      <c r="W248" s="107">
        <f t="shared" si="172"/>
        <v>3926560.0279569402</v>
      </c>
      <c r="X248" s="107">
        <f t="shared" si="172"/>
        <v>3925590.1459737546</v>
      </c>
      <c r="Y248" s="107">
        <f t="shared" si="172"/>
        <v>3885616.4371205848</v>
      </c>
      <c r="Z248" s="107">
        <f t="shared" si="172"/>
        <v>3925478.5273498995</v>
      </c>
      <c r="AA248" s="107">
        <f t="shared" si="172"/>
        <v>3885504.8184967297</v>
      </c>
      <c r="AB248" s="107">
        <f t="shared" si="172"/>
        <v>3925366.9087260445</v>
      </c>
      <c r="AC248" s="107">
        <f t="shared" si="172"/>
        <v>3926225.1720853751</v>
      </c>
      <c r="AD248" s="107">
        <f t="shared" si="172"/>
        <v>3884423.317889689</v>
      </c>
      <c r="AE248" s="107">
        <f t="shared" si="172"/>
        <v>3926113.55346152</v>
      </c>
      <c r="AF248" s="107">
        <f t="shared" si="172"/>
        <v>3884311.6992658339</v>
      </c>
      <c r="AG248" s="107">
        <f t="shared" si="172"/>
        <v>3926001.9348376649</v>
      </c>
      <c r="AH248" s="107">
        <f t="shared" si="172"/>
        <v>3925032.0528544793</v>
      </c>
      <c r="AI248" s="107">
        <f t="shared" si="172"/>
        <v>3885058.3440013099</v>
      </c>
      <c r="AJ248" s="107">
        <f t="shared" si="172"/>
        <v>3924920.4342306247</v>
      </c>
      <c r="AK248" s="107">
        <f t="shared" si="172"/>
        <v>3884946.7253774549</v>
      </c>
      <c r="AL248" s="107">
        <f t="shared" si="172"/>
        <v>3924808.8156067696</v>
      </c>
      <c r="AM248" s="107">
        <f t="shared" si="172"/>
        <v>3991004.8048898275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f t="shared" ref="O249:AM249" si="173">$I249</f>
        <v>0</v>
      </c>
      <c r="P249" s="107">
        <f t="shared" si="173"/>
        <v>0</v>
      </c>
      <c r="Q249" s="107">
        <f t="shared" si="173"/>
        <v>0</v>
      </c>
      <c r="R249" s="107">
        <f t="shared" si="173"/>
        <v>0</v>
      </c>
      <c r="S249" s="107">
        <f t="shared" si="173"/>
        <v>0</v>
      </c>
      <c r="T249" s="107">
        <f t="shared" si="173"/>
        <v>0</v>
      </c>
      <c r="U249" s="107">
        <f t="shared" si="173"/>
        <v>0</v>
      </c>
      <c r="V249" s="107">
        <f t="shared" si="173"/>
        <v>0</v>
      </c>
      <c r="W249" s="107">
        <f t="shared" si="173"/>
        <v>0</v>
      </c>
      <c r="X249" s="107">
        <f t="shared" si="173"/>
        <v>0</v>
      </c>
      <c r="Y249" s="107">
        <f t="shared" si="173"/>
        <v>0</v>
      </c>
      <c r="Z249" s="107">
        <f t="shared" si="173"/>
        <v>0</v>
      </c>
      <c r="AA249" s="107">
        <f t="shared" si="173"/>
        <v>0</v>
      </c>
      <c r="AB249" s="107">
        <f t="shared" si="173"/>
        <v>0</v>
      </c>
      <c r="AC249" s="107">
        <f t="shared" si="173"/>
        <v>0</v>
      </c>
      <c r="AD249" s="107">
        <f t="shared" si="173"/>
        <v>0</v>
      </c>
      <c r="AE249" s="107">
        <f t="shared" si="173"/>
        <v>0</v>
      </c>
      <c r="AF249" s="107">
        <f t="shared" si="173"/>
        <v>0</v>
      </c>
      <c r="AG249" s="107">
        <f t="shared" si="173"/>
        <v>0</v>
      </c>
      <c r="AH249" s="107">
        <f t="shared" si="173"/>
        <v>0</v>
      </c>
      <c r="AI249" s="107">
        <f t="shared" si="173"/>
        <v>0</v>
      </c>
      <c r="AJ249" s="107">
        <f t="shared" si="173"/>
        <v>0</v>
      </c>
      <c r="AK249" s="107">
        <f t="shared" si="173"/>
        <v>0</v>
      </c>
      <c r="AL249" s="107">
        <f t="shared" si="173"/>
        <v>0</v>
      </c>
      <c r="AM249" s="107">
        <f t="shared" si="173"/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f t="shared" ref="O251:AM251" si="174">MAX($I251*(O252-O253),0)</f>
        <v>89492.794907841555</v>
      </c>
      <c r="P251" s="481">
        <f t="shared" si="174"/>
        <v>368603.66204691748</v>
      </c>
      <c r="Q251" s="481">
        <f t="shared" si="174"/>
        <v>364606.2911616005</v>
      </c>
      <c r="R251" s="481">
        <f t="shared" si="174"/>
        <v>368592.50018453196</v>
      </c>
      <c r="S251" s="481">
        <f t="shared" si="174"/>
        <v>368678.32652046502</v>
      </c>
      <c r="T251" s="481">
        <f t="shared" si="174"/>
        <v>364498.14110089646</v>
      </c>
      <c r="U251" s="481">
        <f t="shared" si="174"/>
        <v>368667.16465807951</v>
      </c>
      <c r="V251" s="481">
        <f t="shared" si="174"/>
        <v>364486.97923851095</v>
      </c>
      <c r="W251" s="481">
        <f t="shared" si="174"/>
        <v>368656.00279569405</v>
      </c>
      <c r="X251" s="481">
        <f t="shared" si="174"/>
        <v>368559.01459737547</v>
      </c>
      <c r="Y251" s="481">
        <f t="shared" si="174"/>
        <v>364561.64371205849</v>
      </c>
      <c r="Z251" s="481">
        <f t="shared" si="174"/>
        <v>368547.85273498995</v>
      </c>
      <c r="AA251" s="481">
        <f t="shared" si="174"/>
        <v>364550.48184967297</v>
      </c>
      <c r="AB251" s="481">
        <f t="shared" si="174"/>
        <v>368536.69087260449</v>
      </c>
      <c r="AC251" s="481">
        <f t="shared" si="174"/>
        <v>368622.51720853755</v>
      </c>
      <c r="AD251" s="481">
        <f t="shared" si="174"/>
        <v>364442.33178896894</v>
      </c>
      <c r="AE251" s="481">
        <f t="shared" si="174"/>
        <v>368611.35534615204</v>
      </c>
      <c r="AF251" s="481">
        <f t="shared" si="174"/>
        <v>364431.16992658342</v>
      </c>
      <c r="AG251" s="481">
        <f t="shared" si="174"/>
        <v>368600.19348376652</v>
      </c>
      <c r="AH251" s="481">
        <f t="shared" si="174"/>
        <v>368503.20528544794</v>
      </c>
      <c r="AI251" s="481">
        <f t="shared" si="174"/>
        <v>364505.83440013102</v>
      </c>
      <c r="AJ251" s="481">
        <f t="shared" si="174"/>
        <v>368492.04342306248</v>
      </c>
      <c r="AK251" s="481">
        <f t="shared" si="174"/>
        <v>364494.6725377455</v>
      </c>
      <c r="AL251" s="481">
        <f t="shared" si="174"/>
        <v>368480.88156067696</v>
      </c>
      <c r="AM251" s="481">
        <f t="shared" si="174"/>
        <v>375100.48048898275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f>O245</f>
        <v>1134927.9490784155</v>
      </c>
      <c r="P252" s="107">
        <f t="shared" ref="P252:AM252" si="175">P245</f>
        <v>3926036.6204691743</v>
      </c>
      <c r="Q252" s="107">
        <f t="shared" si="175"/>
        <v>3886062.9116160045</v>
      </c>
      <c r="R252" s="107">
        <f t="shared" si="175"/>
        <v>3925925.0018453193</v>
      </c>
      <c r="S252" s="107">
        <f t="shared" si="175"/>
        <v>3926783.2652046499</v>
      </c>
      <c r="T252" s="107">
        <f t="shared" si="175"/>
        <v>3884981.4110089643</v>
      </c>
      <c r="U252" s="107">
        <f t="shared" si="175"/>
        <v>3926671.6465807948</v>
      </c>
      <c r="V252" s="107">
        <f t="shared" si="175"/>
        <v>3884869.7923851092</v>
      </c>
      <c r="W252" s="107">
        <f t="shared" si="175"/>
        <v>3926560.0279569402</v>
      </c>
      <c r="X252" s="107">
        <f t="shared" si="175"/>
        <v>3925590.1459737546</v>
      </c>
      <c r="Y252" s="107">
        <f t="shared" si="175"/>
        <v>3885616.4371205848</v>
      </c>
      <c r="Z252" s="107">
        <f t="shared" si="175"/>
        <v>3925478.5273498995</v>
      </c>
      <c r="AA252" s="107">
        <f t="shared" si="175"/>
        <v>3885504.8184967297</v>
      </c>
      <c r="AB252" s="107">
        <f t="shared" si="175"/>
        <v>3925366.9087260445</v>
      </c>
      <c r="AC252" s="107">
        <f t="shared" si="175"/>
        <v>3926225.1720853751</v>
      </c>
      <c r="AD252" s="107">
        <f t="shared" si="175"/>
        <v>3884423.317889689</v>
      </c>
      <c r="AE252" s="107">
        <f t="shared" si="175"/>
        <v>3926113.55346152</v>
      </c>
      <c r="AF252" s="107">
        <f t="shared" si="175"/>
        <v>3884311.6992658339</v>
      </c>
      <c r="AG252" s="107">
        <f t="shared" si="175"/>
        <v>3926001.9348376649</v>
      </c>
      <c r="AH252" s="107">
        <f t="shared" si="175"/>
        <v>3925032.0528544793</v>
      </c>
      <c r="AI252" s="107">
        <f t="shared" si="175"/>
        <v>3885058.3440013099</v>
      </c>
      <c r="AJ252" s="107">
        <f t="shared" si="175"/>
        <v>3924920.4342306247</v>
      </c>
      <c r="AK252" s="107">
        <f t="shared" si="175"/>
        <v>3884946.7253774549</v>
      </c>
      <c r="AL252" s="107">
        <f t="shared" si="175"/>
        <v>3924808.8156067696</v>
      </c>
      <c r="AM252" s="107">
        <f t="shared" si="175"/>
        <v>3991004.8048898275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f t="shared" ref="O253:AM253" si="176">$I253</f>
        <v>240000</v>
      </c>
      <c r="P253" s="107">
        <f t="shared" si="176"/>
        <v>240000</v>
      </c>
      <c r="Q253" s="107">
        <f t="shared" si="176"/>
        <v>240000</v>
      </c>
      <c r="R253" s="107">
        <f t="shared" si="176"/>
        <v>240000</v>
      </c>
      <c r="S253" s="107">
        <f t="shared" si="176"/>
        <v>240000</v>
      </c>
      <c r="T253" s="107">
        <f t="shared" si="176"/>
        <v>240000</v>
      </c>
      <c r="U253" s="107">
        <f t="shared" si="176"/>
        <v>240000</v>
      </c>
      <c r="V253" s="107">
        <f t="shared" si="176"/>
        <v>240000</v>
      </c>
      <c r="W253" s="107">
        <f t="shared" si="176"/>
        <v>240000</v>
      </c>
      <c r="X253" s="107">
        <f t="shared" si="176"/>
        <v>240000</v>
      </c>
      <c r="Y253" s="107">
        <f t="shared" si="176"/>
        <v>240000</v>
      </c>
      <c r="Z253" s="107">
        <f t="shared" si="176"/>
        <v>240000</v>
      </c>
      <c r="AA253" s="107">
        <f t="shared" si="176"/>
        <v>240000</v>
      </c>
      <c r="AB253" s="107">
        <f t="shared" si="176"/>
        <v>240000</v>
      </c>
      <c r="AC253" s="107">
        <f t="shared" si="176"/>
        <v>240000</v>
      </c>
      <c r="AD253" s="107">
        <f t="shared" si="176"/>
        <v>240000</v>
      </c>
      <c r="AE253" s="107">
        <f t="shared" si="176"/>
        <v>240000</v>
      </c>
      <c r="AF253" s="107">
        <f t="shared" si="176"/>
        <v>240000</v>
      </c>
      <c r="AG253" s="107">
        <f t="shared" si="176"/>
        <v>240000</v>
      </c>
      <c r="AH253" s="107">
        <f t="shared" si="176"/>
        <v>240000</v>
      </c>
      <c r="AI253" s="107">
        <f t="shared" si="176"/>
        <v>240000</v>
      </c>
      <c r="AJ253" s="107">
        <f t="shared" si="176"/>
        <v>240000</v>
      </c>
      <c r="AK253" s="107">
        <f t="shared" si="176"/>
        <v>240000</v>
      </c>
      <c r="AL253" s="107">
        <f t="shared" si="176"/>
        <v>240000</v>
      </c>
      <c r="AM253" s="107">
        <f t="shared" si="176"/>
        <v>240000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f>MAX($I255*(O256-O257),0)</f>
        <v>102143.5154170574</v>
      </c>
      <c r="P255" s="109">
        <f t="shared" ref="P255:AM255" si="177">$I255*(P256-P257)</f>
        <v>353343.29584222566</v>
      </c>
      <c r="Q255" s="109">
        <f t="shared" si="177"/>
        <v>349745.6620454404</v>
      </c>
      <c r="R255" s="109">
        <f t="shared" si="177"/>
        <v>353333.25016607874</v>
      </c>
      <c r="S255" s="109">
        <f t="shared" si="177"/>
        <v>353410.4938684185</v>
      </c>
      <c r="T255" s="109">
        <f t="shared" si="177"/>
        <v>349648.32699080679</v>
      </c>
      <c r="U255" s="109">
        <f t="shared" si="177"/>
        <v>353400.44819227152</v>
      </c>
      <c r="V255" s="109">
        <f t="shared" si="177"/>
        <v>349638.28131465981</v>
      </c>
      <c r="W255" s="109">
        <f t="shared" si="177"/>
        <v>353390.4025161246</v>
      </c>
      <c r="X255" s="109">
        <f t="shared" si="177"/>
        <v>353303.11313763791</v>
      </c>
      <c r="Y255" s="109">
        <f t="shared" si="177"/>
        <v>349705.47934085259</v>
      </c>
      <c r="Z255" s="109">
        <f t="shared" si="177"/>
        <v>353293.06746149092</v>
      </c>
      <c r="AA255" s="109">
        <f t="shared" si="177"/>
        <v>349695.43366470566</v>
      </c>
      <c r="AB255" s="109">
        <f t="shared" si="177"/>
        <v>353283.021785344</v>
      </c>
      <c r="AC255" s="109">
        <f t="shared" si="177"/>
        <v>353360.26548768376</v>
      </c>
      <c r="AD255" s="109">
        <f t="shared" si="177"/>
        <v>349598.09861007199</v>
      </c>
      <c r="AE255" s="109">
        <f t="shared" si="177"/>
        <v>353350.21981153678</v>
      </c>
      <c r="AF255" s="109">
        <f t="shared" si="177"/>
        <v>349588.05293392506</v>
      </c>
      <c r="AG255" s="109">
        <f t="shared" si="177"/>
        <v>353340.17413538985</v>
      </c>
      <c r="AH255" s="109">
        <f t="shared" si="177"/>
        <v>353252.88475690311</v>
      </c>
      <c r="AI255" s="109">
        <f t="shared" si="177"/>
        <v>349655.2509601179</v>
      </c>
      <c r="AJ255" s="109">
        <f t="shared" si="177"/>
        <v>353242.83908075618</v>
      </c>
      <c r="AK255" s="109">
        <f t="shared" si="177"/>
        <v>349645.20528397092</v>
      </c>
      <c r="AL255" s="109">
        <f t="shared" si="177"/>
        <v>353232.79340460926</v>
      </c>
      <c r="AM255" s="109">
        <f t="shared" si="177"/>
        <v>359190.43244008446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f>O245</f>
        <v>1134927.9490784155</v>
      </c>
      <c r="P256" s="107">
        <f t="shared" ref="P256:AM256" si="178">P245</f>
        <v>3926036.6204691743</v>
      </c>
      <c r="Q256" s="107">
        <f t="shared" si="178"/>
        <v>3886062.9116160045</v>
      </c>
      <c r="R256" s="107">
        <f t="shared" si="178"/>
        <v>3925925.0018453193</v>
      </c>
      <c r="S256" s="107">
        <f t="shared" si="178"/>
        <v>3926783.2652046499</v>
      </c>
      <c r="T256" s="107">
        <f t="shared" si="178"/>
        <v>3884981.4110089643</v>
      </c>
      <c r="U256" s="107">
        <f t="shared" si="178"/>
        <v>3926671.6465807948</v>
      </c>
      <c r="V256" s="107">
        <f t="shared" si="178"/>
        <v>3884869.7923851092</v>
      </c>
      <c r="W256" s="107">
        <f t="shared" si="178"/>
        <v>3926560.0279569402</v>
      </c>
      <c r="X256" s="107">
        <f t="shared" si="178"/>
        <v>3925590.1459737546</v>
      </c>
      <c r="Y256" s="107">
        <f t="shared" si="178"/>
        <v>3885616.4371205848</v>
      </c>
      <c r="Z256" s="107">
        <f t="shared" si="178"/>
        <v>3925478.5273498995</v>
      </c>
      <c r="AA256" s="107">
        <f t="shared" si="178"/>
        <v>3885504.8184967297</v>
      </c>
      <c r="AB256" s="107">
        <f t="shared" si="178"/>
        <v>3925366.9087260445</v>
      </c>
      <c r="AC256" s="107">
        <f t="shared" si="178"/>
        <v>3926225.1720853751</v>
      </c>
      <c r="AD256" s="107">
        <f t="shared" si="178"/>
        <v>3884423.317889689</v>
      </c>
      <c r="AE256" s="107">
        <f t="shared" si="178"/>
        <v>3926113.55346152</v>
      </c>
      <c r="AF256" s="107">
        <f t="shared" si="178"/>
        <v>3884311.6992658339</v>
      </c>
      <c r="AG256" s="107">
        <f t="shared" si="178"/>
        <v>3926001.9348376649</v>
      </c>
      <c r="AH256" s="107">
        <f t="shared" si="178"/>
        <v>3925032.0528544793</v>
      </c>
      <c r="AI256" s="107">
        <f t="shared" si="178"/>
        <v>3885058.3440013099</v>
      </c>
      <c r="AJ256" s="107">
        <f t="shared" si="178"/>
        <v>3924920.4342306247</v>
      </c>
      <c r="AK256" s="107">
        <f t="shared" si="178"/>
        <v>3884946.7253774549</v>
      </c>
      <c r="AL256" s="107">
        <f t="shared" si="178"/>
        <v>3924808.8156067696</v>
      </c>
      <c r="AM256" s="107">
        <f t="shared" si="178"/>
        <v>3991004.8048898275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f t="shared" ref="O257:AM257" si="179">$I257</f>
        <v>0</v>
      </c>
      <c r="P257" s="107">
        <f t="shared" si="179"/>
        <v>0</v>
      </c>
      <c r="Q257" s="107">
        <f t="shared" si="179"/>
        <v>0</v>
      </c>
      <c r="R257" s="107">
        <f t="shared" si="179"/>
        <v>0</v>
      </c>
      <c r="S257" s="107">
        <f t="shared" si="179"/>
        <v>0</v>
      </c>
      <c r="T257" s="107">
        <f t="shared" si="179"/>
        <v>0</v>
      </c>
      <c r="U257" s="107">
        <f t="shared" si="179"/>
        <v>0</v>
      </c>
      <c r="V257" s="107">
        <f t="shared" si="179"/>
        <v>0</v>
      </c>
      <c r="W257" s="107">
        <f t="shared" si="179"/>
        <v>0</v>
      </c>
      <c r="X257" s="107">
        <f t="shared" si="179"/>
        <v>0</v>
      </c>
      <c r="Y257" s="107">
        <f t="shared" si="179"/>
        <v>0</v>
      </c>
      <c r="Z257" s="107">
        <f t="shared" si="179"/>
        <v>0</v>
      </c>
      <c r="AA257" s="107">
        <f t="shared" si="179"/>
        <v>0</v>
      </c>
      <c r="AB257" s="107">
        <f t="shared" si="179"/>
        <v>0</v>
      </c>
      <c r="AC257" s="107">
        <f t="shared" si="179"/>
        <v>0</v>
      </c>
      <c r="AD257" s="107">
        <f t="shared" si="179"/>
        <v>0</v>
      </c>
      <c r="AE257" s="107">
        <f t="shared" si="179"/>
        <v>0</v>
      </c>
      <c r="AF257" s="107">
        <f t="shared" si="179"/>
        <v>0</v>
      </c>
      <c r="AG257" s="107">
        <f t="shared" si="179"/>
        <v>0</v>
      </c>
      <c r="AH257" s="107">
        <f t="shared" si="179"/>
        <v>0</v>
      </c>
      <c r="AI257" s="107">
        <f t="shared" si="179"/>
        <v>0</v>
      </c>
      <c r="AJ257" s="107">
        <f t="shared" si="179"/>
        <v>0</v>
      </c>
      <c r="AK257" s="107">
        <f t="shared" si="179"/>
        <v>0</v>
      </c>
      <c r="AL257" s="107">
        <f t="shared" si="179"/>
        <v>0</v>
      </c>
      <c r="AM257" s="107">
        <f t="shared" si="179"/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'Fluxo Rateio'!$H$32</f>
        <v>0.02</v>
      </c>
      <c r="J260" s="60"/>
      <c r="K260" s="60"/>
      <c r="L260" s="60"/>
      <c r="M260" s="1"/>
      <c r="N260" s="1"/>
      <c r="O260" s="109">
        <f t="shared" ref="O260:AM260" si="180">$I260*(O261-O262)</f>
        <v>35753.71334694267</v>
      </c>
      <c r="P260" s="109">
        <f t="shared" si="180"/>
        <v>107261.14004082812</v>
      </c>
      <c r="Q260" s="109">
        <f t="shared" si="180"/>
        <v>107261.14004082812</v>
      </c>
      <c r="R260" s="109">
        <f t="shared" si="180"/>
        <v>107261.14004082812</v>
      </c>
      <c r="S260" s="109">
        <f t="shared" si="180"/>
        <v>107261.14004082812</v>
      </c>
      <c r="T260" s="109">
        <f t="shared" si="180"/>
        <v>107261.14004082812</v>
      </c>
      <c r="U260" s="109">
        <f t="shared" si="180"/>
        <v>107261.14004082812</v>
      </c>
      <c r="V260" s="109">
        <f t="shared" si="180"/>
        <v>107261.14004082812</v>
      </c>
      <c r="W260" s="109">
        <f t="shared" si="180"/>
        <v>107261.14004082812</v>
      </c>
      <c r="X260" s="109">
        <f t="shared" si="180"/>
        <v>107261.14004082812</v>
      </c>
      <c r="Y260" s="109">
        <f t="shared" si="180"/>
        <v>107261.14004082812</v>
      </c>
      <c r="Z260" s="109">
        <f t="shared" si="180"/>
        <v>107261.14004082812</v>
      </c>
      <c r="AA260" s="109">
        <f t="shared" si="180"/>
        <v>107261.14004082812</v>
      </c>
      <c r="AB260" s="109">
        <f t="shared" si="180"/>
        <v>107261.14004082812</v>
      </c>
      <c r="AC260" s="109">
        <f t="shared" si="180"/>
        <v>107261.14004082812</v>
      </c>
      <c r="AD260" s="109">
        <f t="shared" si="180"/>
        <v>107261.14004082812</v>
      </c>
      <c r="AE260" s="109">
        <f t="shared" si="180"/>
        <v>107261.14004082812</v>
      </c>
      <c r="AF260" s="109">
        <f t="shared" si="180"/>
        <v>107261.14004082812</v>
      </c>
      <c r="AG260" s="109">
        <f t="shared" si="180"/>
        <v>107261.14004082812</v>
      </c>
      <c r="AH260" s="109">
        <f t="shared" si="180"/>
        <v>107261.14004082812</v>
      </c>
      <c r="AI260" s="109">
        <f t="shared" si="180"/>
        <v>107261.14004082812</v>
      </c>
      <c r="AJ260" s="109">
        <f t="shared" si="180"/>
        <v>107261.14004082812</v>
      </c>
      <c r="AK260" s="109">
        <f t="shared" si="180"/>
        <v>107261.14004082812</v>
      </c>
      <c r="AL260" s="109">
        <f t="shared" si="180"/>
        <v>107261.14004082812</v>
      </c>
      <c r="AM260" s="109">
        <f t="shared" si="180"/>
        <v>107261.14004082812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f t="shared" ref="O261:AM261" si="181">O122*$I213</f>
        <v>1787685.6673471334</v>
      </c>
      <c r="P261" s="107">
        <f t="shared" si="181"/>
        <v>5363057.002041406</v>
      </c>
      <c r="Q261" s="107">
        <f t="shared" si="181"/>
        <v>5363057.002041406</v>
      </c>
      <c r="R261" s="107">
        <f t="shared" si="181"/>
        <v>5363057.002041406</v>
      </c>
      <c r="S261" s="107">
        <f t="shared" si="181"/>
        <v>5363057.002041406</v>
      </c>
      <c r="T261" s="107">
        <f t="shared" si="181"/>
        <v>5363057.002041406</v>
      </c>
      <c r="U261" s="107">
        <f t="shared" si="181"/>
        <v>5363057.002041406</v>
      </c>
      <c r="V261" s="107">
        <f t="shared" si="181"/>
        <v>5363057.002041406</v>
      </c>
      <c r="W261" s="107">
        <f t="shared" si="181"/>
        <v>5363057.002041406</v>
      </c>
      <c r="X261" s="107">
        <f t="shared" si="181"/>
        <v>5363057.002041406</v>
      </c>
      <c r="Y261" s="107">
        <f t="shared" si="181"/>
        <v>5363057.002041406</v>
      </c>
      <c r="Z261" s="107">
        <f t="shared" si="181"/>
        <v>5363057.002041406</v>
      </c>
      <c r="AA261" s="107">
        <f t="shared" si="181"/>
        <v>5363057.002041406</v>
      </c>
      <c r="AB261" s="107">
        <f t="shared" si="181"/>
        <v>5363057.002041406</v>
      </c>
      <c r="AC261" s="107">
        <f t="shared" si="181"/>
        <v>5363057.002041406</v>
      </c>
      <c r="AD261" s="107">
        <f t="shared" si="181"/>
        <v>5363057.002041406</v>
      </c>
      <c r="AE261" s="107">
        <f t="shared" si="181"/>
        <v>5363057.002041406</v>
      </c>
      <c r="AF261" s="107">
        <f t="shared" si="181"/>
        <v>5363057.002041406</v>
      </c>
      <c r="AG261" s="107">
        <f t="shared" si="181"/>
        <v>5363057.002041406</v>
      </c>
      <c r="AH261" s="107">
        <f t="shared" si="181"/>
        <v>5363057.002041406</v>
      </c>
      <c r="AI261" s="107">
        <f t="shared" si="181"/>
        <v>5363057.002041406</v>
      </c>
      <c r="AJ261" s="107">
        <f t="shared" si="181"/>
        <v>5363057.002041406</v>
      </c>
      <c r="AK261" s="107">
        <f t="shared" si="181"/>
        <v>5363057.002041406</v>
      </c>
      <c r="AL261" s="107">
        <f t="shared" si="181"/>
        <v>5363057.002041406</v>
      </c>
      <c r="AM261" s="107">
        <f t="shared" si="181"/>
        <v>5363057.002041406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f t="shared" ref="O262:AM262" si="182">$I262</f>
        <v>0</v>
      </c>
      <c r="P262" s="107">
        <f t="shared" si="182"/>
        <v>0</v>
      </c>
      <c r="Q262" s="107">
        <f t="shared" si="182"/>
        <v>0</v>
      </c>
      <c r="R262" s="107">
        <f t="shared" si="182"/>
        <v>0</v>
      </c>
      <c r="S262" s="107">
        <f t="shared" si="182"/>
        <v>0</v>
      </c>
      <c r="T262" s="107">
        <f t="shared" si="182"/>
        <v>0</v>
      </c>
      <c r="U262" s="107">
        <f t="shared" si="182"/>
        <v>0</v>
      </c>
      <c r="V262" s="107">
        <f t="shared" si="182"/>
        <v>0</v>
      </c>
      <c r="W262" s="107">
        <f t="shared" si="182"/>
        <v>0</v>
      </c>
      <c r="X262" s="107">
        <f t="shared" si="182"/>
        <v>0</v>
      </c>
      <c r="Y262" s="107">
        <f t="shared" si="182"/>
        <v>0</v>
      </c>
      <c r="Z262" s="107">
        <f t="shared" si="182"/>
        <v>0</v>
      </c>
      <c r="AA262" s="107">
        <f t="shared" si="182"/>
        <v>0</v>
      </c>
      <c r="AB262" s="107">
        <f t="shared" si="182"/>
        <v>0</v>
      </c>
      <c r="AC262" s="107">
        <f t="shared" si="182"/>
        <v>0</v>
      </c>
      <c r="AD262" s="107">
        <f t="shared" si="182"/>
        <v>0</v>
      </c>
      <c r="AE262" s="107">
        <f t="shared" si="182"/>
        <v>0</v>
      </c>
      <c r="AF262" s="107">
        <f t="shared" si="182"/>
        <v>0</v>
      </c>
      <c r="AG262" s="107">
        <f t="shared" si="182"/>
        <v>0</v>
      </c>
      <c r="AH262" s="107">
        <f t="shared" si="182"/>
        <v>0</v>
      </c>
      <c r="AI262" s="107">
        <f t="shared" si="182"/>
        <v>0</v>
      </c>
      <c r="AJ262" s="107">
        <f t="shared" si="182"/>
        <v>0</v>
      </c>
      <c r="AK262" s="107">
        <f t="shared" si="182"/>
        <v>0</v>
      </c>
      <c r="AL262" s="107">
        <f t="shared" si="182"/>
        <v>0</v>
      </c>
      <c r="AM262" s="107">
        <f t="shared" si="182"/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75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250056.96618063533</v>
      </c>
      <c r="M266" s="183"/>
      <c r="N266" s="183"/>
      <c r="O266" s="445">
        <f t="shared" ref="O266:AM266" si="183">SUM(O267:O268)</f>
        <v>28026.406296121357</v>
      </c>
      <c r="P266" s="445">
        <f t="shared" si="183"/>
        <v>18502.546657042843</v>
      </c>
      <c r="Q266" s="445">
        <f t="shared" si="183"/>
        <v>17698.088106736628</v>
      </c>
      <c r="R266" s="445">
        <f t="shared" si="183"/>
        <v>16893.62955643042</v>
      </c>
      <c r="S266" s="445">
        <f t="shared" si="183"/>
        <v>16089.171006124208</v>
      </c>
      <c r="T266" s="445">
        <f t="shared" si="183"/>
        <v>15284.712455817997</v>
      </c>
      <c r="U266" s="445">
        <f t="shared" si="183"/>
        <v>14480.253905511787</v>
      </c>
      <c r="V266" s="445">
        <f t="shared" si="183"/>
        <v>13675.795355205575</v>
      </c>
      <c r="W266" s="445">
        <f t="shared" si="183"/>
        <v>12871.336804899363</v>
      </c>
      <c r="X266" s="445">
        <f t="shared" si="183"/>
        <v>12066.878254593154</v>
      </c>
      <c r="Y266" s="445">
        <f t="shared" si="183"/>
        <v>11262.419704286944</v>
      </c>
      <c r="Z266" s="445">
        <f t="shared" si="183"/>
        <v>10457.961153980732</v>
      </c>
      <c r="AA266" s="445">
        <f t="shared" si="183"/>
        <v>9653.5026036745203</v>
      </c>
      <c r="AB266" s="445">
        <f t="shared" si="183"/>
        <v>8849.0440533683104</v>
      </c>
      <c r="AC266" s="445">
        <f t="shared" si="183"/>
        <v>8044.5855030620987</v>
      </c>
      <c r="AD266" s="445">
        <f t="shared" si="183"/>
        <v>7240.1269527558889</v>
      </c>
      <c r="AE266" s="445">
        <f t="shared" si="183"/>
        <v>6435.668402449679</v>
      </c>
      <c r="AF266" s="445">
        <f t="shared" si="183"/>
        <v>5631.20985214347</v>
      </c>
      <c r="AG266" s="445">
        <f t="shared" si="183"/>
        <v>4826.7513018372592</v>
      </c>
      <c r="AH266" s="445">
        <f t="shared" si="183"/>
        <v>4022.2927515310494</v>
      </c>
      <c r="AI266" s="445">
        <f t="shared" si="183"/>
        <v>3217.8342012248395</v>
      </c>
      <c r="AJ266" s="445">
        <f t="shared" si="183"/>
        <v>2413.3756509186296</v>
      </c>
      <c r="AK266" s="445">
        <f t="shared" si="183"/>
        <v>1608.9171006124197</v>
      </c>
      <c r="AL266" s="445">
        <f t="shared" si="183"/>
        <v>804.45855030620987</v>
      </c>
      <c r="AM266" s="445">
        <f t="shared" si="183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4203960.9444182031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243050.36460660503</v>
      </c>
      <c r="M267" s="183"/>
      <c r="N267" s="183"/>
      <c r="O267" s="450">
        <f>$G$267*$H$267</f>
        <v>21019.804722091016</v>
      </c>
      <c r="P267" s="450">
        <f>$H$267*($L$75-SUM($O75:P$75))*$F$267</f>
        <v>18502.546657042843</v>
      </c>
      <c r="Q267" s="450">
        <f>$H$267*($L$75-SUM($O75:Q$75))*$F$267</f>
        <v>17698.088106736628</v>
      </c>
      <c r="R267" s="450">
        <f>$H$267*($L$75-SUM($O75:R$75))*$F$267</f>
        <v>16893.62955643042</v>
      </c>
      <c r="S267" s="450">
        <f>$H$267*($L$75-SUM($O75:S$75))*$F$267</f>
        <v>16089.171006124208</v>
      </c>
      <c r="T267" s="450">
        <f>$H$267*($L$75-SUM($O75:T$75))*$F$267</f>
        <v>15284.712455817997</v>
      </c>
      <c r="U267" s="450">
        <f>$H$267*($L$75-SUM($O75:U$75))*$F$267</f>
        <v>14480.253905511787</v>
      </c>
      <c r="V267" s="450">
        <f>$H$267*($L$75-SUM($O75:V$75))*$F$267</f>
        <v>13675.795355205575</v>
      </c>
      <c r="W267" s="450">
        <f>$H$267*($L$75-SUM($O75:W$75))*$F$267</f>
        <v>12871.336804899363</v>
      </c>
      <c r="X267" s="450">
        <f>$H$267*($L$75-SUM($O75:X$75))*$F$267</f>
        <v>12066.878254593154</v>
      </c>
      <c r="Y267" s="450">
        <f>$H$267*($L$75-SUM($O75:Y$75))*$F$267</f>
        <v>11262.419704286944</v>
      </c>
      <c r="Z267" s="450">
        <f>$H$267*($L$75-SUM($O75:Z$75))*$F$267</f>
        <v>10457.961153980732</v>
      </c>
      <c r="AA267" s="450">
        <f>$H$267*($L$75-SUM($O75:AA$75))*$F$267</f>
        <v>9653.5026036745203</v>
      </c>
      <c r="AB267" s="450">
        <f>$H$267*($L$75-SUM($O75:AB$75))*$F$267</f>
        <v>8849.0440533683104</v>
      </c>
      <c r="AC267" s="450">
        <f>$H$267*($L$75-SUM($O75:AC$75))*$F$267</f>
        <v>8044.5855030620987</v>
      </c>
      <c r="AD267" s="450">
        <f>$H$267*($L$75-SUM($O75:AD$75))*$F$267</f>
        <v>7240.1269527558889</v>
      </c>
      <c r="AE267" s="450">
        <f>$H$267*($L$75-SUM($O75:AE$75))*$F$267</f>
        <v>6435.668402449679</v>
      </c>
      <c r="AF267" s="450">
        <f>$H$267*($L$75-SUM($O75:AF$75))*$F$267</f>
        <v>5631.20985214347</v>
      </c>
      <c r="AG267" s="450">
        <f>$H$267*($L$75-SUM($O75:AG$75))*$F$267</f>
        <v>4826.7513018372592</v>
      </c>
      <c r="AH267" s="450">
        <f>$H$267*($L$75-SUM($O75:AH$75))*$F$267</f>
        <v>4022.2927515310494</v>
      </c>
      <c r="AI267" s="450">
        <f>$H$267*($L$75-SUM($O75:AI$75))*$F$267</f>
        <v>3217.8342012248395</v>
      </c>
      <c r="AJ267" s="450">
        <f>$H$267*($L$75-SUM($O75:AJ$75))*$F$267</f>
        <v>2413.3756509186296</v>
      </c>
      <c r="AK267" s="450">
        <f>$H$267*($L$75-SUM($O75:AK$75))*$F$267</f>
        <v>1608.9171006124197</v>
      </c>
      <c r="AL267" s="450">
        <f>$H$267*($L$75-SUM($O75:AL$75))*$F$267</f>
        <v>804.45855030620987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1401320.3148060679</v>
      </c>
      <c r="H268" s="452">
        <v>5.0000000000000001E-3</v>
      </c>
      <c r="I268" s="451"/>
      <c r="J268" s="451"/>
      <c r="K268" s="451"/>
      <c r="L268" s="453">
        <f>SUM(O268:AM268)</f>
        <v>7006.6015740303392</v>
      </c>
      <c r="M268" s="183"/>
      <c r="N268" s="183"/>
      <c r="O268" s="454">
        <f>$H$268*$G$268</f>
        <v>7006.6015740303392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1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 t="shared" ref="O272:AM272" si="184">O273+O275</f>
        <v>10872786.299233023</v>
      </c>
      <c r="P272" s="348">
        <f t="shared" si="184"/>
        <v>10872786.299233023</v>
      </c>
      <c r="Q272" s="348">
        <f t="shared" si="184"/>
        <v>10872786.299233023</v>
      </c>
      <c r="R272" s="348">
        <f t="shared" si="184"/>
        <v>10872786.299233023</v>
      </c>
      <c r="S272" s="348">
        <f t="shared" si="184"/>
        <v>15500203.131743344</v>
      </c>
      <c r="T272" s="348">
        <f t="shared" si="184"/>
        <v>15500203.131743344</v>
      </c>
      <c r="U272" s="348">
        <f t="shared" si="184"/>
        <v>15500203.131743344</v>
      </c>
      <c r="V272" s="348">
        <f t="shared" si="184"/>
        <v>15915014.300333256</v>
      </c>
      <c r="W272" s="348">
        <f t="shared" si="184"/>
        <v>16508568.845022148</v>
      </c>
      <c r="X272" s="348">
        <f t="shared" si="184"/>
        <v>16508568.845022148</v>
      </c>
      <c r="Y272" s="348">
        <f t="shared" si="184"/>
        <v>21104530.70591687</v>
      </c>
      <c r="Z272" s="348">
        <f t="shared" si="184"/>
        <v>21104530.70591687</v>
      </c>
      <c r="AA272" s="348">
        <f t="shared" si="184"/>
        <v>22988412.891941361</v>
      </c>
      <c r="AB272" s="348">
        <f t="shared" si="184"/>
        <v>22988412.891941361</v>
      </c>
      <c r="AC272" s="348">
        <f t="shared" si="184"/>
        <v>22988412.891941361</v>
      </c>
      <c r="AD272" s="348">
        <f t="shared" si="184"/>
        <v>27998734.3873615</v>
      </c>
      <c r="AE272" s="348">
        <f t="shared" si="184"/>
        <v>28077713.134912603</v>
      </c>
      <c r="AF272" s="348">
        <f t="shared" si="184"/>
        <v>28592740.466114886</v>
      </c>
      <c r="AG272" s="348">
        <f t="shared" si="184"/>
        <v>28592740.466114886</v>
      </c>
      <c r="AH272" s="348">
        <f t="shared" si="184"/>
        <v>28592740.466114886</v>
      </c>
      <c r="AI272" s="348">
        <f t="shared" si="184"/>
        <v>33219705.764560714</v>
      </c>
      <c r="AJ272" s="348">
        <f t="shared" si="184"/>
        <v>33219705.764560714</v>
      </c>
      <c r="AK272" s="348">
        <f t="shared" si="184"/>
        <v>33634516.933150627</v>
      </c>
      <c r="AL272" s="348">
        <f t="shared" si="184"/>
        <v>33634516.933150627</v>
      </c>
      <c r="AM272" s="348">
        <f t="shared" si="184"/>
        <v>33665520.37070173</v>
      </c>
    </row>
    <row r="273" spans="1:39" ht="15" customHeight="1" x14ac:dyDescent="0.3">
      <c r="B273" s="100" t="s">
        <v>5184</v>
      </c>
      <c r="L273" s="303"/>
      <c r="O273" s="303">
        <f>SUM(O274)</f>
        <v>0</v>
      </c>
      <c r="P273" s="303">
        <f t="shared" ref="P273:AM273" si="185">SUM(P274)</f>
        <v>0</v>
      </c>
      <c r="Q273" s="303">
        <f t="shared" si="185"/>
        <v>0</v>
      </c>
      <c r="R273" s="303">
        <f t="shared" si="185"/>
        <v>0</v>
      </c>
      <c r="S273" s="303">
        <f t="shared" si="185"/>
        <v>0</v>
      </c>
      <c r="T273" s="303">
        <f t="shared" si="185"/>
        <v>0</v>
      </c>
      <c r="U273" s="303">
        <f t="shared" si="185"/>
        <v>0</v>
      </c>
      <c r="V273" s="303">
        <f t="shared" si="185"/>
        <v>0</v>
      </c>
      <c r="W273" s="303">
        <f t="shared" si="185"/>
        <v>0</v>
      </c>
      <c r="X273" s="303">
        <f t="shared" si="185"/>
        <v>0</v>
      </c>
      <c r="Y273" s="303">
        <f t="shared" si="185"/>
        <v>0</v>
      </c>
      <c r="Z273" s="303">
        <f t="shared" si="185"/>
        <v>0</v>
      </c>
      <c r="AA273" s="303">
        <f t="shared" si="185"/>
        <v>0</v>
      </c>
      <c r="AB273" s="303">
        <f t="shared" si="185"/>
        <v>0</v>
      </c>
      <c r="AC273" s="303">
        <f t="shared" si="185"/>
        <v>0</v>
      </c>
      <c r="AD273" s="303">
        <f t="shared" si="185"/>
        <v>0</v>
      </c>
      <c r="AE273" s="303">
        <f t="shared" si="185"/>
        <v>0</v>
      </c>
      <c r="AF273" s="303">
        <f t="shared" si="185"/>
        <v>0</v>
      </c>
      <c r="AG273" s="303">
        <f t="shared" si="185"/>
        <v>0</v>
      </c>
      <c r="AH273" s="303">
        <f t="shared" si="185"/>
        <v>0</v>
      </c>
      <c r="AI273" s="303">
        <f t="shared" si="185"/>
        <v>0</v>
      </c>
      <c r="AJ273" s="303">
        <f t="shared" si="185"/>
        <v>0</v>
      </c>
      <c r="AK273" s="303">
        <f t="shared" si="185"/>
        <v>0</v>
      </c>
      <c r="AL273" s="303">
        <f t="shared" si="185"/>
        <v>0</v>
      </c>
      <c r="AM273" s="303">
        <f t="shared" si="185"/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1">
        <v>0</v>
      </c>
      <c r="U274" s="361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1">
        <v>0</v>
      </c>
      <c r="AD274" s="361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1">
        <v>0</v>
      </c>
      <c r="AM274" s="361"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O276</f>
        <v>10872786.299233023</v>
      </c>
      <c r="P275" s="347">
        <f t="shared" ref="P275:AM275" si="186">P276</f>
        <v>10872786.299233023</v>
      </c>
      <c r="Q275" s="347">
        <f t="shared" si="186"/>
        <v>10872786.299233023</v>
      </c>
      <c r="R275" s="347">
        <f t="shared" si="186"/>
        <v>10872786.299233023</v>
      </c>
      <c r="S275" s="347">
        <f t="shared" si="186"/>
        <v>15500203.131743344</v>
      </c>
      <c r="T275" s="347">
        <f t="shared" si="186"/>
        <v>15500203.131743344</v>
      </c>
      <c r="U275" s="347">
        <f t="shared" si="186"/>
        <v>15500203.131743344</v>
      </c>
      <c r="V275" s="347">
        <f t="shared" si="186"/>
        <v>15915014.300333256</v>
      </c>
      <c r="W275" s="347">
        <f t="shared" si="186"/>
        <v>16508568.845022148</v>
      </c>
      <c r="X275" s="347">
        <f t="shared" si="186"/>
        <v>16508568.845022148</v>
      </c>
      <c r="Y275" s="347">
        <f t="shared" si="186"/>
        <v>21104530.70591687</v>
      </c>
      <c r="Z275" s="347">
        <f t="shared" si="186"/>
        <v>21104530.70591687</v>
      </c>
      <c r="AA275" s="347">
        <f t="shared" si="186"/>
        <v>22988412.891941361</v>
      </c>
      <c r="AB275" s="347">
        <f t="shared" si="186"/>
        <v>22988412.891941361</v>
      </c>
      <c r="AC275" s="347">
        <f t="shared" si="186"/>
        <v>22988412.891941361</v>
      </c>
      <c r="AD275" s="347">
        <f t="shared" si="186"/>
        <v>27998734.3873615</v>
      </c>
      <c r="AE275" s="347">
        <f t="shared" si="186"/>
        <v>28077713.134912603</v>
      </c>
      <c r="AF275" s="347">
        <f t="shared" si="186"/>
        <v>28592740.466114886</v>
      </c>
      <c r="AG275" s="347">
        <f t="shared" si="186"/>
        <v>28592740.466114886</v>
      </c>
      <c r="AH275" s="347">
        <f t="shared" si="186"/>
        <v>28592740.466114886</v>
      </c>
      <c r="AI275" s="347">
        <f t="shared" si="186"/>
        <v>33219705.764560714</v>
      </c>
      <c r="AJ275" s="347">
        <f t="shared" si="186"/>
        <v>33219705.764560714</v>
      </c>
      <c r="AK275" s="347">
        <f t="shared" si="186"/>
        <v>33634516.933150627</v>
      </c>
      <c r="AL275" s="347">
        <f t="shared" si="186"/>
        <v>33634516.933150627</v>
      </c>
      <c r="AM275" s="347">
        <f t="shared" si="186"/>
        <v>33665520.37070173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-SUM($O150:O150)</f>
        <v>10872786.299233023</v>
      </c>
      <c r="P276" s="366">
        <f>-SUM($O150:P150)</f>
        <v>10872786.299233023</v>
      </c>
      <c r="Q276" s="366">
        <f>-SUM($O150:Q150)</f>
        <v>10872786.299233023</v>
      </c>
      <c r="R276" s="366">
        <f>-SUM($O150:R150)</f>
        <v>10872786.299233023</v>
      </c>
      <c r="S276" s="366">
        <f>-SUM($O150:S150)</f>
        <v>15500203.131743344</v>
      </c>
      <c r="T276" s="366">
        <f>-SUM($O150:T150)</f>
        <v>15500203.131743344</v>
      </c>
      <c r="U276" s="366">
        <f>-SUM($O150:U150)</f>
        <v>15500203.131743344</v>
      </c>
      <c r="V276" s="366">
        <f>-SUM($O150:V150)</f>
        <v>15915014.300333256</v>
      </c>
      <c r="W276" s="366">
        <f>-SUM($O150:W150)</f>
        <v>16508568.845022148</v>
      </c>
      <c r="X276" s="366">
        <f>-SUM($O150:X150)</f>
        <v>16508568.845022148</v>
      </c>
      <c r="Y276" s="366">
        <f>-SUM($O150:Y150)</f>
        <v>21104530.70591687</v>
      </c>
      <c r="Z276" s="366">
        <f>-SUM($O150:Z150)</f>
        <v>21104530.70591687</v>
      </c>
      <c r="AA276" s="366">
        <f>-SUM($O150:AA150)</f>
        <v>22988412.891941361</v>
      </c>
      <c r="AB276" s="366">
        <f>-SUM($O150:AB150)</f>
        <v>22988412.891941361</v>
      </c>
      <c r="AC276" s="366">
        <f>-SUM($O150:AC150)</f>
        <v>22988412.891941361</v>
      </c>
      <c r="AD276" s="366">
        <f>-SUM($O150:AD150)</f>
        <v>27998734.3873615</v>
      </c>
      <c r="AE276" s="366">
        <f>-SUM($O150:AE150)</f>
        <v>28077713.134912603</v>
      </c>
      <c r="AF276" s="366">
        <f>-SUM($O150:AF150)</f>
        <v>28592740.466114886</v>
      </c>
      <c r="AG276" s="366">
        <f>-SUM($O150:AG150)</f>
        <v>28592740.466114886</v>
      </c>
      <c r="AH276" s="366">
        <f>-SUM($O150:AH150)</f>
        <v>28592740.466114886</v>
      </c>
      <c r="AI276" s="366">
        <f>-SUM($O150:AI150)</f>
        <v>33219705.764560714</v>
      </c>
      <c r="AJ276" s="366">
        <f>-SUM($O150:AJ150)</f>
        <v>33219705.764560714</v>
      </c>
      <c r="AK276" s="366">
        <f>-SUM($O150:AK150)</f>
        <v>33634516.933150627</v>
      </c>
      <c r="AL276" s="366">
        <f>-SUM($O150:AL150)</f>
        <v>33634516.933150627</v>
      </c>
      <c r="AM276" s="366">
        <f>-SUM($O150:AM150)</f>
        <v>33665520.37070173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SUM(O279:O280)</f>
        <v>10872786.299233023</v>
      </c>
      <c r="P278" s="348">
        <f t="shared" ref="P278:AM278" si="187">SUM(P279:P280)</f>
        <v>10872786.299233023</v>
      </c>
      <c r="Q278" s="348">
        <f t="shared" si="187"/>
        <v>10872786.299233023</v>
      </c>
      <c r="R278" s="348">
        <f t="shared" si="187"/>
        <v>10872786.299233023</v>
      </c>
      <c r="S278" s="348">
        <f t="shared" si="187"/>
        <v>15500203.131743344</v>
      </c>
      <c r="T278" s="348">
        <f t="shared" si="187"/>
        <v>15500203.131743344</v>
      </c>
      <c r="U278" s="348">
        <f t="shared" si="187"/>
        <v>15500203.131743344</v>
      </c>
      <c r="V278" s="348">
        <f t="shared" si="187"/>
        <v>15915014.300333256</v>
      </c>
      <c r="W278" s="348">
        <f t="shared" si="187"/>
        <v>16508568.845022148</v>
      </c>
      <c r="X278" s="348">
        <f t="shared" si="187"/>
        <v>16508568.845022148</v>
      </c>
      <c r="Y278" s="348">
        <f t="shared" si="187"/>
        <v>21104530.70591687</v>
      </c>
      <c r="Z278" s="348">
        <f t="shared" si="187"/>
        <v>21104530.70591687</v>
      </c>
      <c r="AA278" s="348">
        <f t="shared" si="187"/>
        <v>22988412.891941361</v>
      </c>
      <c r="AB278" s="348">
        <f t="shared" si="187"/>
        <v>22988412.891941361</v>
      </c>
      <c r="AC278" s="348">
        <f t="shared" si="187"/>
        <v>22988412.891941361</v>
      </c>
      <c r="AD278" s="348">
        <f t="shared" si="187"/>
        <v>27998734.3873615</v>
      </c>
      <c r="AE278" s="348">
        <f t="shared" si="187"/>
        <v>28077713.134912603</v>
      </c>
      <c r="AF278" s="348">
        <f t="shared" si="187"/>
        <v>28592740.466114886</v>
      </c>
      <c r="AG278" s="348">
        <f t="shared" si="187"/>
        <v>28592740.466114886</v>
      </c>
      <c r="AH278" s="348">
        <f t="shared" si="187"/>
        <v>28592740.466114886</v>
      </c>
      <c r="AI278" s="348">
        <f t="shared" si="187"/>
        <v>33219705.764560714</v>
      </c>
      <c r="AJ278" s="348">
        <f t="shared" si="187"/>
        <v>33219705.764560714</v>
      </c>
      <c r="AK278" s="348">
        <f t="shared" si="187"/>
        <v>33634516.933150627</v>
      </c>
      <c r="AL278" s="348">
        <f t="shared" si="187"/>
        <v>33634516.933150627</v>
      </c>
      <c r="AM278" s="348">
        <f t="shared" si="187"/>
        <v>33665520.37070173</v>
      </c>
    </row>
    <row r="279" spans="1:39" ht="15" customHeight="1" x14ac:dyDescent="0.3">
      <c r="B279" s="100" t="s">
        <v>5188</v>
      </c>
      <c r="O279" s="303">
        <f>SUM($O163:O163,$O164:O164)</f>
        <v>6228154.5693505332</v>
      </c>
      <c r="P279" s="303">
        <f>SUM($O163:P163,$O164:P164)</f>
        <v>5190128.8077921113</v>
      </c>
      <c r="Q279" s="303">
        <f>SUM($O163:Q163,$O164:Q164)</f>
        <v>4152103.0462336889</v>
      </c>
      <c r="R279" s="303">
        <f>SUM($O163:R163,$O164:R164)</f>
        <v>3114077.2846752666</v>
      </c>
      <c r="S279" s="303">
        <f>SUM($O163:S163,$O164:S164)</f>
        <v>2076051.5231168442</v>
      </c>
      <c r="T279" s="303">
        <f>SUM($O163:T163,$O164:T164)</f>
        <v>1038025.761558422</v>
      </c>
      <c r="U279" s="303">
        <f>SUM($O163:U163,$O164:U164)</f>
        <v>0</v>
      </c>
      <c r="V279" s="303">
        <f>SUM($O163:V163,$O164:V164)</f>
        <v>-2.3283064365386963E-10</v>
      </c>
      <c r="W279" s="303">
        <f>SUM($O163:W163,$O164:W164)</f>
        <v>-2.3283064365386963E-10</v>
      </c>
      <c r="X279" s="303">
        <f>SUM($O163:X163,$O164:X164)</f>
        <v>-2.3283064365386963E-10</v>
      </c>
      <c r="Y279" s="303">
        <f>SUM($O163:Y163,$O164:Y164)</f>
        <v>-2.3283064365386963E-10</v>
      </c>
      <c r="Z279" s="303">
        <f>SUM($O163:Z163,$O164:Z164)</f>
        <v>-2.3283064365386963E-10</v>
      </c>
      <c r="AA279" s="303">
        <f>SUM($O163:AA163,$O164:AA164)</f>
        <v>-2.3283064365386963E-10</v>
      </c>
      <c r="AB279" s="303">
        <f>SUM($O163:AB163,$O164:AB164)</f>
        <v>-2.3283064365386963E-10</v>
      </c>
      <c r="AC279" s="303">
        <f>SUM($O163:AC163,$O164:AC164)</f>
        <v>-2.3283064365386963E-10</v>
      </c>
      <c r="AD279" s="303">
        <f>SUM($O163:AD163,$O164:AD164)</f>
        <v>-2.3283064365386963E-10</v>
      </c>
      <c r="AE279" s="303">
        <f>SUM($O163:AE163,$O164:AE164)</f>
        <v>-2.3283064365386963E-10</v>
      </c>
      <c r="AF279" s="303">
        <f>SUM($O163:AF163,$O164:AF164)</f>
        <v>-2.3283064365386963E-10</v>
      </c>
      <c r="AG279" s="303">
        <f>SUM($O163:AG163,$O164:AG164)</f>
        <v>-2.3283064365386963E-10</v>
      </c>
      <c r="AH279" s="303">
        <f>SUM($O163:AH163,$O164:AH164)</f>
        <v>-2.3283064365386963E-10</v>
      </c>
      <c r="AI279" s="303">
        <f>SUM($O163:AI163,$O164:AI164)</f>
        <v>-2.3283064365386963E-10</v>
      </c>
      <c r="AJ279" s="303">
        <f>SUM($O163:AJ163,$O164:AJ164)</f>
        <v>-2.3283064365386963E-10</v>
      </c>
      <c r="AK279" s="303">
        <f>SUM($O163:AK163,$O164:AK164)</f>
        <v>-2.3283064365386963E-10</v>
      </c>
      <c r="AL279" s="303">
        <f>SUM($O163:AL163,$O164:AL164)</f>
        <v>-2.3283064365386963E-10</v>
      </c>
      <c r="AM279" s="303">
        <f>SUM($O163:AM163,$O164:AM164)</f>
        <v>-2.3283064365386963E-10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O272-O279</f>
        <v>4644631.7298824899</v>
      </c>
      <c r="P280" s="361">
        <f t="shared" ref="P280:AM280" si="188">P272-P279</f>
        <v>5682657.4914409118</v>
      </c>
      <c r="Q280" s="361">
        <f t="shared" si="188"/>
        <v>6720683.2529993337</v>
      </c>
      <c r="R280" s="361">
        <f t="shared" si="188"/>
        <v>7758709.0145577565</v>
      </c>
      <c r="S280" s="361">
        <f t="shared" si="188"/>
        <v>13424151.6086265</v>
      </c>
      <c r="T280" s="361">
        <f t="shared" si="188"/>
        <v>14462177.370184921</v>
      </c>
      <c r="U280" s="361">
        <f t="shared" si="188"/>
        <v>15500203.131743344</v>
      </c>
      <c r="V280" s="361">
        <f t="shared" si="188"/>
        <v>15915014.300333256</v>
      </c>
      <c r="W280" s="361">
        <f t="shared" si="188"/>
        <v>16508568.845022148</v>
      </c>
      <c r="X280" s="361">
        <f t="shared" si="188"/>
        <v>16508568.845022148</v>
      </c>
      <c r="Y280" s="361">
        <f t="shared" si="188"/>
        <v>21104530.70591687</v>
      </c>
      <c r="Z280" s="361">
        <f t="shared" si="188"/>
        <v>21104530.70591687</v>
      </c>
      <c r="AA280" s="361">
        <f t="shared" si="188"/>
        <v>22988412.891941361</v>
      </c>
      <c r="AB280" s="361">
        <f t="shared" si="188"/>
        <v>22988412.891941361</v>
      </c>
      <c r="AC280" s="361">
        <f t="shared" si="188"/>
        <v>22988412.891941361</v>
      </c>
      <c r="AD280" s="361">
        <f t="shared" si="188"/>
        <v>27998734.3873615</v>
      </c>
      <c r="AE280" s="361">
        <f t="shared" si="188"/>
        <v>28077713.134912603</v>
      </c>
      <c r="AF280" s="361">
        <f t="shared" si="188"/>
        <v>28592740.466114886</v>
      </c>
      <c r="AG280" s="361">
        <f t="shared" si="188"/>
        <v>28592740.466114886</v>
      </c>
      <c r="AH280" s="361">
        <f t="shared" si="188"/>
        <v>28592740.466114886</v>
      </c>
      <c r="AI280" s="361">
        <f t="shared" si="188"/>
        <v>33219705.764560714</v>
      </c>
      <c r="AJ280" s="361">
        <f t="shared" si="188"/>
        <v>33219705.764560714</v>
      </c>
      <c r="AK280" s="361">
        <f t="shared" si="188"/>
        <v>33634516.933150627</v>
      </c>
      <c r="AL280" s="361">
        <f t="shared" si="188"/>
        <v>33634516.933150627</v>
      </c>
      <c r="AM280" s="361">
        <f t="shared" si="188"/>
        <v>33665520.37070173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v>0</v>
      </c>
      <c r="P286" s="367">
        <f>O288</f>
        <v>-1035.1872737789236</v>
      </c>
      <c r="Q286" s="367">
        <f t="shared" ref="Q286:AM286" si="189">P288</f>
        <v>7481379.837176864</v>
      </c>
      <c r="R286" s="367">
        <f t="shared" si="189"/>
        <v>9265592.4547306634</v>
      </c>
      <c r="S286" s="367">
        <f t="shared" si="189"/>
        <v>11253496.952277238</v>
      </c>
      <c r="T286" s="367">
        <f t="shared" si="189"/>
        <v>13389350.359771753</v>
      </c>
      <c r="U286" s="367">
        <f t="shared" si="189"/>
        <v>15211952.482642941</v>
      </c>
      <c r="V286" s="367">
        <f t="shared" si="189"/>
        <v>17214159.387614418</v>
      </c>
      <c r="W286" s="367">
        <f t="shared" si="189"/>
        <v>19349280.450573519</v>
      </c>
      <c r="X286" s="367">
        <f t="shared" si="189"/>
        <v>21653686.742002763</v>
      </c>
      <c r="Y286" s="367">
        <f t="shared" si="189"/>
        <v>24105785.600476634</v>
      </c>
      <c r="Z286" s="367">
        <f t="shared" si="189"/>
        <v>26707582.305968679</v>
      </c>
      <c r="AA286" s="367">
        <f t="shared" si="189"/>
        <v>29137159.874672234</v>
      </c>
      <c r="AB286" s="367">
        <f t="shared" si="189"/>
        <v>31714038.656916369</v>
      </c>
      <c r="AC286" s="367">
        <f t="shared" si="189"/>
        <v>34385429.783932805</v>
      </c>
      <c r="AD286" s="367">
        <f t="shared" si="189"/>
        <v>37271855.321796589</v>
      </c>
      <c r="AE286" s="367">
        <f t="shared" si="189"/>
        <v>40378377.19764369</v>
      </c>
      <c r="AF286" s="367">
        <f t="shared" si="189"/>
        <v>43293595.345038526</v>
      </c>
      <c r="AG286" s="367">
        <f t="shared" si="189"/>
        <v>46423765.499755122</v>
      </c>
      <c r="AH286" s="367">
        <f t="shared" si="189"/>
        <v>49811297.485155724</v>
      </c>
      <c r="AI286" s="367">
        <f t="shared" si="189"/>
        <v>53512252.405751035</v>
      </c>
      <c r="AJ286" s="367">
        <f t="shared" si="189"/>
        <v>57486143.666103013</v>
      </c>
      <c r="AK286" s="367">
        <f t="shared" si="189"/>
        <v>61420215.149622254</v>
      </c>
      <c r="AL286" s="367">
        <f t="shared" si="189"/>
        <v>65650216.51693473</v>
      </c>
      <c r="AM286" s="367">
        <f t="shared" si="189"/>
        <v>70284030.262304232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 t="shared" ref="O287:AM287" si="190">O138</f>
        <v>-1035.1872737789236</v>
      </c>
      <c r="P287" s="367">
        <f t="shared" si="190"/>
        <v>7482415.024450643</v>
      </c>
      <c r="Q287" s="367">
        <f t="shared" si="190"/>
        <v>1784212.6175537992</v>
      </c>
      <c r="R287" s="367">
        <f t="shared" si="190"/>
        <v>1987904.4975465734</v>
      </c>
      <c r="S287" s="367">
        <f t="shared" si="190"/>
        <v>2135853.4074945152</v>
      </c>
      <c r="T287" s="367">
        <f t="shared" si="190"/>
        <v>1822602.1228711877</v>
      </c>
      <c r="U287" s="367">
        <f t="shared" si="190"/>
        <v>2002206.9049714759</v>
      </c>
      <c r="V287" s="367">
        <f t="shared" si="190"/>
        <v>2135121.0629591029</v>
      </c>
      <c r="W287" s="367">
        <f t="shared" si="190"/>
        <v>2304406.2914292421</v>
      </c>
      <c r="X287" s="367">
        <f t="shared" si="190"/>
        <v>2452098.8584738718</v>
      </c>
      <c r="Y287" s="367">
        <f t="shared" si="190"/>
        <v>2601796.7054920448</v>
      </c>
      <c r="Z287" s="367">
        <f t="shared" si="190"/>
        <v>2429577.5687035536</v>
      </c>
      <c r="AA287" s="367">
        <f t="shared" si="190"/>
        <v>2576878.7822441356</v>
      </c>
      <c r="AB287" s="367">
        <f t="shared" si="190"/>
        <v>2671391.1270164363</v>
      </c>
      <c r="AC287" s="367">
        <f t="shared" si="190"/>
        <v>2886425.5378637854</v>
      </c>
      <c r="AD287" s="367">
        <f t="shared" si="190"/>
        <v>3106521.8758471031</v>
      </c>
      <c r="AE287" s="367">
        <f t="shared" si="190"/>
        <v>2915218.1473948359</v>
      </c>
      <c r="AF287" s="367">
        <f t="shared" si="190"/>
        <v>3130170.154716596</v>
      </c>
      <c r="AG287" s="367">
        <f t="shared" si="190"/>
        <v>3387531.9854005994</v>
      </c>
      <c r="AH287" s="367">
        <f t="shared" si="190"/>
        <v>3700954.9205953097</v>
      </c>
      <c r="AI287" s="367">
        <f t="shared" si="190"/>
        <v>3973891.2603519792</v>
      </c>
      <c r="AJ287" s="367">
        <f t="shared" si="190"/>
        <v>3934071.4835192384</v>
      </c>
      <c r="AK287" s="367">
        <f t="shared" si="190"/>
        <v>4230001.3673124751</v>
      </c>
      <c r="AL287" s="367">
        <f t="shared" si="190"/>
        <v>4633813.7453695023</v>
      </c>
      <c r="AM287" s="367">
        <f t="shared" si="190"/>
        <v>5204367.3079470349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-1035.1872737789236</v>
      </c>
      <c r="P288" s="367">
        <f t="shared" ref="P288:AM288" si="191">P287+P286</f>
        <v>7481379.837176864</v>
      </c>
      <c r="Q288" s="367">
        <f t="shared" si="191"/>
        <v>9265592.4547306634</v>
      </c>
      <c r="R288" s="367">
        <f t="shared" si="191"/>
        <v>11253496.952277238</v>
      </c>
      <c r="S288" s="367">
        <f t="shared" si="191"/>
        <v>13389350.359771753</v>
      </c>
      <c r="T288" s="367">
        <f t="shared" si="191"/>
        <v>15211952.482642941</v>
      </c>
      <c r="U288" s="367">
        <f t="shared" si="191"/>
        <v>17214159.387614418</v>
      </c>
      <c r="V288" s="367">
        <f t="shared" si="191"/>
        <v>19349280.450573519</v>
      </c>
      <c r="W288" s="367">
        <f t="shared" si="191"/>
        <v>21653686.742002763</v>
      </c>
      <c r="X288" s="367">
        <f t="shared" si="191"/>
        <v>24105785.600476634</v>
      </c>
      <c r="Y288" s="367">
        <f t="shared" si="191"/>
        <v>26707582.305968679</v>
      </c>
      <c r="Z288" s="367">
        <f t="shared" si="191"/>
        <v>29137159.874672234</v>
      </c>
      <c r="AA288" s="367">
        <f t="shared" si="191"/>
        <v>31714038.656916369</v>
      </c>
      <c r="AB288" s="367">
        <f t="shared" si="191"/>
        <v>34385429.783932805</v>
      </c>
      <c r="AC288" s="367">
        <f t="shared" si="191"/>
        <v>37271855.321796589</v>
      </c>
      <c r="AD288" s="367">
        <f t="shared" si="191"/>
        <v>40378377.19764369</v>
      </c>
      <c r="AE288" s="367">
        <f t="shared" si="191"/>
        <v>43293595.345038526</v>
      </c>
      <c r="AF288" s="367">
        <f t="shared" si="191"/>
        <v>46423765.499755122</v>
      </c>
      <c r="AG288" s="367">
        <f t="shared" si="191"/>
        <v>49811297.485155724</v>
      </c>
      <c r="AH288" s="367">
        <f t="shared" si="191"/>
        <v>53512252.405751035</v>
      </c>
      <c r="AI288" s="367">
        <f t="shared" si="191"/>
        <v>57486143.666103013</v>
      </c>
      <c r="AJ288" s="367">
        <f t="shared" si="191"/>
        <v>61420215.149622254</v>
      </c>
      <c r="AK288" s="367">
        <f t="shared" si="191"/>
        <v>65650216.51693473</v>
      </c>
      <c r="AL288" s="367">
        <f t="shared" si="191"/>
        <v>70284030.262304232</v>
      </c>
      <c r="AM288" s="367">
        <f t="shared" si="191"/>
        <v>75488397.570251271</v>
      </c>
    </row>
    <row r="289" spans="2:50" ht="14.25" customHeight="1" x14ac:dyDescent="0.3"/>
    <row r="290" spans="2:50" ht="15" customHeight="1" x14ac:dyDescent="0.3">
      <c r="B290" s="326" t="s">
        <v>5161</v>
      </c>
    </row>
    <row r="291" spans="2:50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v>0</v>
      </c>
      <c r="P291" s="367">
        <f t="shared" ref="P291:AM291" si="192">O294</f>
        <v>0</v>
      </c>
      <c r="Q291" s="367">
        <f t="shared" si="192"/>
        <v>0</v>
      </c>
      <c r="R291" s="367">
        <f t="shared" si="192"/>
        <v>0</v>
      </c>
      <c r="S291" s="367">
        <f t="shared" si="192"/>
        <v>0</v>
      </c>
      <c r="T291" s="367">
        <f t="shared" si="192"/>
        <v>0</v>
      </c>
      <c r="U291" s="367">
        <f t="shared" si="192"/>
        <v>0</v>
      </c>
      <c r="V291" s="367">
        <f t="shared" si="192"/>
        <v>0</v>
      </c>
      <c r="W291" s="367">
        <f t="shared" si="192"/>
        <v>0</v>
      </c>
      <c r="X291" s="367">
        <f t="shared" si="192"/>
        <v>0</v>
      </c>
      <c r="Y291" s="367">
        <f t="shared" si="192"/>
        <v>0</v>
      </c>
      <c r="Z291" s="367">
        <f t="shared" si="192"/>
        <v>0</v>
      </c>
      <c r="AA291" s="367">
        <f t="shared" si="192"/>
        <v>0</v>
      </c>
      <c r="AB291" s="367">
        <f t="shared" si="192"/>
        <v>0</v>
      </c>
      <c r="AC291" s="367">
        <f t="shared" si="192"/>
        <v>0</v>
      </c>
      <c r="AD291" s="367">
        <f t="shared" si="192"/>
        <v>0</v>
      </c>
      <c r="AE291" s="367">
        <f t="shared" si="192"/>
        <v>0</v>
      </c>
      <c r="AF291" s="367">
        <f t="shared" si="192"/>
        <v>0</v>
      </c>
      <c r="AG291" s="367">
        <f t="shared" si="192"/>
        <v>0</v>
      </c>
      <c r="AH291" s="367">
        <f t="shared" si="192"/>
        <v>0</v>
      </c>
      <c r="AI291" s="367">
        <f t="shared" si="192"/>
        <v>0</v>
      </c>
      <c r="AJ291" s="367">
        <f t="shared" si="192"/>
        <v>0</v>
      </c>
      <c r="AK291" s="367">
        <f t="shared" si="192"/>
        <v>0</v>
      </c>
      <c r="AL291" s="367">
        <f t="shared" si="192"/>
        <v>0</v>
      </c>
      <c r="AM291" s="367">
        <f t="shared" si="192"/>
        <v>0</v>
      </c>
    </row>
    <row r="292" spans="2:50" ht="3.75" customHeight="1" x14ac:dyDescent="0.3"/>
    <row r="293" spans="2:50" ht="15" customHeight="1" x14ac:dyDescent="0.3">
      <c r="B293" s="359" t="s">
        <v>5163</v>
      </c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O293" s="368">
        <f t="shared" ref="O293:AM293" si="193">-O288</f>
        <v>1035.1872737789236</v>
      </c>
      <c r="P293" s="368">
        <f t="shared" si="193"/>
        <v>-7481379.837176864</v>
      </c>
      <c r="Q293" s="368">
        <f t="shared" si="193"/>
        <v>-9265592.4547306634</v>
      </c>
      <c r="R293" s="368">
        <f t="shared" si="193"/>
        <v>-11253496.952277238</v>
      </c>
      <c r="S293" s="368">
        <f t="shared" si="193"/>
        <v>-13389350.359771753</v>
      </c>
      <c r="T293" s="368">
        <f t="shared" si="193"/>
        <v>-15211952.482642941</v>
      </c>
      <c r="U293" s="368">
        <f t="shared" si="193"/>
        <v>-17214159.387614418</v>
      </c>
      <c r="V293" s="368">
        <f t="shared" si="193"/>
        <v>-19349280.450573519</v>
      </c>
      <c r="W293" s="368">
        <f t="shared" si="193"/>
        <v>-21653686.742002763</v>
      </c>
      <c r="X293" s="368">
        <f t="shared" si="193"/>
        <v>-24105785.600476634</v>
      </c>
      <c r="Y293" s="368">
        <f t="shared" si="193"/>
        <v>-26707582.305968679</v>
      </c>
      <c r="Z293" s="368">
        <f t="shared" si="193"/>
        <v>-29137159.874672234</v>
      </c>
      <c r="AA293" s="368">
        <f t="shared" si="193"/>
        <v>-31714038.656916369</v>
      </c>
      <c r="AB293" s="368">
        <f t="shared" si="193"/>
        <v>-34385429.783932805</v>
      </c>
      <c r="AC293" s="368">
        <f t="shared" si="193"/>
        <v>-37271855.321796589</v>
      </c>
      <c r="AD293" s="368">
        <f t="shared" si="193"/>
        <v>-40378377.19764369</v>
      </c>
      <c r="AE293" s="368">
        <f t="shared" si="193"/>
        <v>-43293595.345038526</v>
      </c>
      <c r="AF293" s="368">
        <f t="shared" si="193"/>
        <v>-46423765.499755122</v>
      </c>
      <c r="AG293" s="368">
        <f t="shared" si="193"/>
        <v>-49811297.485155724</v>
      </c>
      <c r="AH293" s="368">
        <f t="shared" si="193"/>
        <v>-53512252.405751035</v>
      </c>
      <c r="AI293" s="368">
        <f t="shared" si="193"/>
        <v>-57486143.666103013</v>
      </c>
      <c r="AJ293" s="368">
        <f t="shared" si="193"/>
        <v>-61420215.149622254</v>
      </c>
      <c r="AK293" s="368">
        <f t="shared" si="193"/>
        <v>-65650216.51693473</v>
      </c>
      <c r="AL293" s="368">
        <f t="shared" si="193"/>
        <v>-70284030.262304232</v>
      </c>
      <c r="AM293" s="368">
        <f t="shared" si="193"/>
        <v>-75488397.570251271</v>
      </c>
    </row>
    <row r="294" spans="2:50" ht="15" customHeight="1" x14ac:dyDescent="0.3">
      <c r="B294" s="364" t="s">
        <v>5164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O294" s="367">
        <f t="shared" ref="O294:AM294" si="194">O288+O293</f>
        <v>0</v>
      </c>
      <c r="P294" s="367">
        <f t="shared" si="194"/>
        <v>0</v>
      </c>
      <c r="Q294" s="367">
        <f t="shared" si="194"/>
        <v>0</v>
      </c>
      <c r="R294" s="367">
        <f t="shared" si="194"/>
        <v>0</v>
      </c>
      <c r="S294" s="367">
        <f t="shared" si="194"/>
        <v>0</v>
      </c>
      <c r="T294" s="367">
        <f t="shared" si="194"/>
        <v>0</v>
      </c>
      <c r="U294" s="367">
        <f t="shared" si="194"/>
        <v>0</v>
      </c>
      <c r="V294" s="367">
        <f t="shared" si="194"/>
        <v>0</v>
      </c>
      <c r="W294" s="367">
        <f t="shared" si="194"/>
        <v>0</v>
      </c>
      <c r="X294" s="367">
        <f t="shared" si="194"/>
        <v>0</v>
      </c>
      <c r="Y294" s="367">
        <f t="shared" si="194"/>
        <v>0</v>
      </c>
      <c r="Z294" s="367">
        <f t="shared" si="194"/>
        <v>0</v>
      </c>
      <c r="AA294" s="367">
        <f t="shared" si="194"/>
        <v>0</v>
      </c>
      <c r="AB294" s="367">
        <f t="shared" si="194"/>
        <v>0</v>
      </c>
      <c r="AC294" s="367">
        <f t="shared" si="194"/>
        <v>0</v>
      </c>
      <c r="AD294" s="367">
        <f t="shared" si="194"/>
        <v>0</v>
      </c>
      <c r="AE294" s="367">
        <f t="shared" si="194"/>
        <v>0</v>
      </c>
      <c r="AF294" s="367">
        <f t="shared" si="194"/>
        <v>0</v>
      </c>
      <c r="AG294" s="367">
        <f t="shared" si="194"/>
        <v>0</v>
      </c>
      <c r="AH294" s="367">
        <f t="shared" si="194"/>
        <v>0</v>
      </c>
      <c r="AI294" s="367">
        <f t="shared" si="194"/>
        <v>0</v>
      </c>
      <c r="AJ294" s="367">
        <f t="shared" si="194"/>
        <v>0</v>
      </c>
      <c r="AK294" s="367">
        <f t="shared" si="194"/>
        <v>0</v>
      </c>
      <c r="AL294" s="367">
        <f t="shared" si="194"/>
        <v>0</v>
      </c>
      <c r="AM294" s="367">
        <f t="shared" si="194"/>
        <v>0</v>
      </c>
    </row>
    <row r="295" spans="2:50" ht="4.5" customHeight="1" x14ac:dyDescent="0.3"/>
    <row r="296" spans="2:50" ht="15" customHeight="1" x14ac:dyDescent="0.3">
      <c r="B296" s="324"/>
      <c r="C296" s="323" t="s">
        <v>5165</v>
      </c>
      <c r="D296" s="324"/>
      <c r="E296" s="324"/>
      <c r="F296" s="324"/>
      <c r="G296" s="324"/>
      <c r="H296" s="324"/>
      <c r="I296" s="324"/>
      <c r="J296" s="324"/>
      <c r="K296" s="324"/>
      <c r="L296" s="324"/>
      <c r="O296" s="369">
        <f>-O293</f>
        <v>-1035.1872737789236</v>
      </c>
      <c r="P296" s="369">
        <f t="shared" ref="P296:AM296" si="195">-P293</f>
        <v>7481379.837176864</v>
      </c>
      <c r="Q296" s="369">
        <f t="shared" si="195"/>
        <v>9265592.4547306634</v>
      </c>
      <c r="R296" s="369">
        <f t="shared" si="195"/>
        <v>11253496.952277238</v>
      </c>
      <c r="S296" s="369">
        <f t="shared" si="195"/>
        <v>13389350.359771753</v>
      </c>
      <c r="T296" s="369">
        <f t="shared" si="195"/>
        <v>15211952.482642941</v>
      </c>
      <c r="U296" s="369">
        <f t="shared" si="195"/>
        <v>17214159.387614418</v>
      </c>
      <c r="V296" s="369">
        <f t="shared" si="195"/>
        <v>19349280.450573519</v>
      </c>
      <c r="W296" s="369">
        <f t="shared" si="195"/>
        <v>21653686.742002763</v>
      </c>
      <c r="X296" s="369">
        <f t="shared" si="195"/>
        <v>24105785.600476634</v>
      </c>
      <c r="Y296" s="369">
        <f t="shared" si="195"/>
        <v>26707582.305968679</v>
      </c>
      <c r="Z296" s="369">
        <f t="shared" si="195"/>
        <v>29137159.874672234</v>
      </c>
      <c r="AA296" s="369">
        <f t="shared" si="195"/>
        <v>31714038.656916369</v>
      </c>
      <c r="AB296" s="369">
        <f t="shared" si="195"/>
        <v>34385429.783932805</v>
      </c>
      <c r="AC296" s="369">
        <f t="shared" si="195"/>
        <v>37271855.321796589</v>
      </c>
      <c r="AD296" s="369">
        <f t="shared" si="195"/>
        <v>40378377.19764369</v>
      </c>
      <c r="AE296" s="369">
        <f t="shared" si="195"/>
        <v>43293595.345038526</v>
      </c>
      <c r="AF296" s="369">
        <f t="shared" si="195"/>
        <v>46423765.499755122</v>
      </c>
      <c r="AG296" s="369">
        <f t="shared" si="195"/>
        <v>49811297.485155724</v>
      </c>
      <c r="AH296" s="369">
        <f t="shared" si="195"/>
        <v>53512252.405751035</v>
      </c>
      <c r="AI296" s="369">
        <f t="shared" si="195"/>
        <v>57486143.666103013</v>
      </c>
      <c r="AJ296" s="369">
        <f t="shared" si="195"/>
        <v>61420215.149622254</v>
      </c>
      <c r="AK296" s="369">
        <f t="shared" si="195"/>
        <v>65650216.51693473</v>
      </c>
      <c r="AL296" s="369">
        <f t="shared" si="195"/>
        <v>70284030.262304232</v>
      </c>
      <c r="AM296" s="369">
        <f t="shared" si="195"/>
        <v>75488397.570251271</v>
      </c>
    </row>
    <row r="297" spans="2:50" ht="12.75" customHeight="1" x14ac:dyDescent="0.3"/>
    <row r="298" spans="2:50" ht="15" customHeight="1" x14ac:dyDescent="0.3">
      <c r="B298" s="321" t="s">
        <v>126</v>
      </c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2"/>
      <c r="N298" s="322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5"/>
      <c r="AO298" s="9"/>
      <c r="AP298" s="9"/>
      <c r="AQ298" s="9"/>
      <c r="AR298" s="9"/>
      <c r="AS298" s="9"/>
      <c r="AT298" s="9"/>
      <c r="AU298" s="9"/>
      <c r="AV298" s="9"/>
      <c r="AW298" s="9"/>
      <c r="AX298" s="221"/>
    </row>
    <row r="299" spans="2:50" ht="15" customHeight="1" thickBo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  <c r="AX299" s="221"/>
    </row>
    <row r="300" spans="2:50" ht="15" customHeight="1" x14ac:dyDescent="0.3">
      <c r="B300" s="1"/>
      <c r="C300" s="636" t="s">
        <v>5272</v>
      </c>
      <c r="D300" s="637"/>
      <c r="E300" s="637"/>
      <c r="F300" s="638"/>
      <c r="G300" s="165"/>
      <c r="H300" s="165"/>
      <c r="I300" s="205"/>
      <c r="J300" s="205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  <c r="AX300" s="221"/>
    </row>
    <row r="301" spans="2:50" ht="15" customHeight="1" x14ac:dyDescent="0.3">
      <c r="B301" s="1"/>
      <c r="C301" s="634" t="s">
        <v>127</v>
      </c>
      <c r="D301" s="627"/>
      <c r="E301" s="635" t="s">
        <v>128</v>
      </c>
      <c r="F301" s="629"/>
      <c r="G301" s="165"/>
      <c r="H301" s="295"/>
      <c r="I301" s="295"/>
      <c r="J301" s="296"/>
      <c r="K301" s="144"/>
      <c r="L301" s="14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  <c r="AX301" s="221"/>
    </row>
    <row r="302" spans="2:50" ht="15" customHeight="1" x14ac:dyDescent="0.3">
      <c r="B302" s="1"/>
      <c r="C302" s="626" t="s">
        <v>5158</v>
      </c>
      <c r="D302" s="627"/>
      <c r="E302" s="639">
        <f>Painel!H17</f>
        <v>1236171.2166666666</v>
      </c>
      <c r="F302" s="640"/>
      <c r="G302" s="297"/>
      <c r="H302" s="298"/>
      <c r="I302" s="296"/>
      <c r="J302" s="16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  <c r="AX302" s="221"/>
    </row>
    <row r="303" spans="2:50" ht="15" customHeight="1" x14ac:dyDescent="0.3">
      <c r="B303" s="1"/>
      <c r="C303" s="626" t="s">
        <v>5171</v>
      </c>
      <c r="D303" s="641"/>
      <c r="E303" s="639">
        <f>Painel!H18</f>
        <v>121024.99199999998</v>
      </c>
      <c r="F303" s="640"/>
      <c r="G303" s="297"/>
      <c r="H303" s="298"/>
      <c r="I303" s="296"/>
      <c r="J303" s="16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75"/>
      <c r="AO303" s="1"/>
      <c r="AP303" s="1"/>
      <c r="AQ303" s="1"/>
      <c r="AR303" s="1"/>
      <c r="AS303" s="1"/>
      <c r="AT303" s="1"/>
      <c r="AU303" s="1"/>
      <c r="AV303" s="1"/>
      <c r="AW303" s="1"/>
      <c r="AX303" s="221"/>
    </row>
    <row r="304" spans="2:50" ht="15" customHeight="1" x14ac:dyDescent="0.3">
      <c r="B304" s="1"/>
      <c r="C304" s="626" t="s">
        <v>5173</v>
      </c>
      <c r="D304" s="627"/>
      <c r="E304" s="642">
        <f>SUM(E302:F303)</f>
        <v>1357196.2086666666</v>
      </c>
      <c r="F304" s="643"/>
      <c r="G304" s="297"/>
      <c r="H304" s="298"/>
      <c r="I304" s="296"/>
      <c r="J304" s="16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75"/>
      <c r="AO304" s="1"/>
      <c r="AP304" s="1"/>
      <c r="AQ304" s="1"/>
      <c r="AR304" s="1"/>
      <c r="AS304" s="1"/>
      <c r="AT304" s="1"/>
      <c r="AU304" s="1"/>
      <c r="AV304" s="1"/>
      <c r="AW304" s="1"/>
      <c r="AX304" s="221"/>
    </row>
    <row r="305" spans="2:50" ht="15" customHeight="1" x14ac:dyDescent="0.3">
      <c r="B305" s="1"/>
      <c r="C305" s="626" t="s">
        <v>5172</v>
      </c>
      <c r="D305" s="627"/>
      <c r="E305" s="642">
        <f>E304*12</f>
        <v>16286354.504000001</v>
      </c>
      <c r="F305" s="643"/>
      <c r="G305" s="165"/>
      <c r="H305" s="165"/>
      <c r="I305" s="165"/>
      <c r="J305" s="299"/>
      <c r="K305" s="17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  <c r="AX305" s="221"/>
    </row>
    <row r="306" spans="2:50" ht="15" customHeight="1" x14ac:dyDescent="0.3">
      <c r="B306" s="1"/>
      <c r="C306" s="178"/>
      <c r="D306" s="179"/>
      <c r="E306" s="179"/>
      <c r="F306" s="176"/>
      <c r="G306" s="180"/>
      <c r="H306" s="181"/>
      <c r="I306" s="146"/>
      <c r="J306" s="145"/>
      <c r="K306" s="145"/>
      <c r="L306" s="147"/>
      <c r="M306" s="148"/>
      <c r="N306" s="148"/>
      <c r="O306" s="148"/>
      <c r="P306" s="149"/>
      <c r="Q306" s="149"/>
      <c r="R306" s="149"/>
      <c r="S306" s="149"/>
      <c r="T306" s="149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7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50" ht="15" customHeight="1" x14ac:dyDescent="0.3">
      <c r="B307" s="321" t="s">
        <v>209</v>
      </c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1"/>
      <c r="N307" s="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  <c r="AE307" s="321"/>
      <c r="AF307" s="321"/>
      <c r="AG307" s="321"/>
      <c r="AH307" s="321"/>
      <c r="AI307" s="321"/>
      <c r="AJ307" s="321"/>
      <c r="AK307" s="321"/>
      <c r="AL307" s="321"/>
      <c r="AM307" s="321"/>
      <c r="AN307" s="5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2:50" ht="15" customHeight="1" x14ac:dyDescent="0.3">
      <c r="B308" s="94" t="s">
        <v>5169</v>
      </c>
      <c r="C308" s="94"/>
      <c r="D308" s="94"/>
      <c r="E308" s="94"/>
      <c r="F308" s="94"/>
      <c r="G308" s="94"/>
      <c r="H308" s="94"/>
      <c r="I308" s="94"/>
      <c r="J308" s="94"/>
      <c r="K308" s="97">
        <f>NPV(WACC!$D$35,O308:AV308)</f>
        <v>45683654.329008378</v>
      </c>
      <c r="L308" s="97">
        <f t="shared" ref="L308:L310" si="196">SUM(O308:AV308)</f>
        <v>130501053.71634081</v>
      </c>
      <c r="M308" s="1"/>
      <c r="N308" s="1"/>
      <c r="O308" s="97">
        <f t="shared" ref="O308:AM308" si="197">O75</f>
        <v>1787685.6673471334</v>
      </c>
      <c r="P308" s="97">
        <f t="shared" si="197"/>
        <v>5363057.002041406</v>
      </c>
      <c r="Q308" s="97">
        <f t="shared" si="197"/>
        <v>5363057.002041406</v>
      </c>
      <c r="R308" s="97">
        <f t="shared" si="197"/>
        <v>5363057.002041406</v>
      </c>
      <c r="S308" s="97">
        <f t="shared" si="197"/>
        <v>5363057.002041406</v>
      </c>
      <c r="T308" s="97">
        <f t="shared" si="197"/>
        <v>5363057.002041406</v>
      </c>
      <c r="U308" s="97">
        <f t="shared" si="197"/>
        <v>5363057.002041406</v>
      </c>
      <c r="V308" s="97">
        <f t="shared" si="197"/>
        <v>5363057.002041406</v>
      </c>
      <c r="W308" s="97">
        <f t="shared" si="197"/>
        <v>5363057.002041406</v>
      </c>
      <c r="X308" s="97">
        <f t="shared" si="197"/>
        <v>5363057.002041406</v>
      </c>
      <c r="Y308" s="97">
        <f t="shared" si="197"/>
        <v>5363057.002041406</v>
      </c>
      <c r="Z308" s="97">
        <f t="shared" si="197"/>
        <v>5363057.002041406</v>
      </c>
      <c r="AA308" s="97">
        <f t="shared" si="197"/>
        <v>5363057.002041406</v>
      </c>
      <c r="AB308" s="97">
        <f t="shared" si="197"/>
        <v>5363057.002041406</v>
      </c>
      <c r="AC308" s="97">
        <f t="shared" si="197"/>
        <v>5363057.002041406</v>
      </c>
      <c r="AD308" s="97">
        <f t="shared" si="197"/>
        <v>5363057.002041406</v>
      </c>
      <c r="AE308" s="97">
        <f t="shared" si="197"/>
        <v>5363057.002041406</v>
      </c>
      <c r="AF308" s="97">
        <f t="shared" si="197"/>
        <v>5363057.002041406</v>
      </c>
      <c r="AG308" s="97">
        <f t="shared" si="197"/>
        <v>5363057.002041406</v>
      </c>
      <c r="AH308" s="97">
        <f t="shared" si="197"/>
        <v>5363057.002041406</v>
      </c>
      <c r="AI308" s="97">
        <f t="shared" si="197"/>
        <v>5363057.002041406</v>
      </c>
      <c r="AJ308" s="97">
        <f t="shared" si="197"/>
        <v>5363057.002041406</v>
      </c>
      <c r="AK308" s="97">
        <f t="shared" si="197"/>
        <v>5363057.002041406</v>
      </c>
      <c r="AL308" s="97">
        <f t="shared" si="197"/>
        <v>5363057.002041406</v>
      </c>
      <c r="AM308" s="97">
        <f t="shared" si="197"/>
        <v>5363057.002041406</v>
      </c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50" ht="15" customHeight="1" x14ac:dyDescent="0.3">
      <c r="B309" s="94" t="s">
        <v>5170</v>
      </c>
      <c r="C309" s="94"/>
      <c r="D309" s="94"/>
      <c r="E309" s="94"/>
      <c r="F309" s="94"/>
      <c r="G309" s="94"/>
      <c r="H309" s="94"/>
      <c r="I309" s="94"/>
      <c r="J309" s="94"/>
      <c r="K309" s="97">
        <f>NPV(WACC!$D$35,O309:AV309)</f>
        <v>148607229.23268992</v>
      </c>
      <c r="L309" s="177">
        <f t="shared" si="196"/>
        <v>407158862.60000014</v>
      </c>
      <c r="M309" s="1"/>
      <c r="N309" s="1"/>
      <c r="O309" s="97">
        <f t="shared" ref="O309:AM309" si="198">$E$305</f>
        <v>16286354.504000001</v>
      </c>
      <c r="P309" s="97">
        <f t="shared" si="198"/>
        <v>16286354.504000001</v>
      </c>
      <c r="Q309" s="97">
        <f t="shared" si="198"/>
        <v>16286354.504000001</v>
      </c>
      <c r="R309" s="97">
        <f t="shared" si="198"/>
        <v>16286354.504000001</v>
      </c>
      <c r="S309" s="97">
        <f t="shared" si="198"/>
        <v>16286354.504000001</v>
      </c>
      <c r="T309" s="97">
        <f t="shared" si="198"/>
        <v>16286354.504000001</v>
      </c>
      <c r="U309" s="97">
        <f t="shared" si="198"/>
        <v>16286354.504000001</v>
      </c>
      <c r="V309" s="97">
        <f t="shared" si="198"/>
        <v>16286354.504000001</v>
      </c>
      <c r="W309" s="97">
        <f t="shared" si="198"/>
        <v>16286354.504000001</v>
      </c>
      <c r="X309" s="97">
        <f t="shared" si="198"/>
        <v>16286354.504000001</v>
      </c>
      <c r="Y309" s="97">
        <f t="shared" si="198"/>
        <v>16286354.504000001</v>
      </c>
      <c r="Z309" s="97">
        <f t="shared" si="198"/>
        <v>16286354.504000001</v>
      </c>
      <c r="AA309" s="97">
        <f t="shared" si="198"/>
        <v>16286354.504000001</v>
      </c>
      <c r="AB309" s="97">
        <f t="shared" si="198"/>
        <v>16286354.504000001</v>
      </c>
      <c r="AC309" s="97">
        <f t="shared" si="198"/>
        <v>16286354.504000001</v>
      </c>
      <c r="AD309" s="97">
        <f t="shared" si="198"/>
        <v>16286354.504000001</v>
      </c>
      <c r="AE309" s="97">
        <f t="shared" si="198"/>
        <v>16286354.504000001</v>
      </c>
      <c r="AF309" s="97">
        <f t="shared" si="198"/>
        <v>16286354.504000001</v>
      </c>
      <c r="AG309" s="97">
        <f t="shared" si="198"/>
        <v>16286354.504000001</v>
      </c>
      <c r="AH309" s="97">
        <f t="shared" si="198"/>
        <v>16286354.504000001</v>
      </c>
      <c r="AI309" s="97">
        <f t="shared" si="198"/>
        <v>16286354.504000001</v>
      </c>
      <c r="AJ309" s="97">
        <f t="shared" si="198"/>
        <v>16286354.504000001</v>
      </c>
      <c r="AK309" s="97">
        <f t="shared" si="198"/>
        <v>16286354.504000001</v>
      </c>
      <c r="AL309" s="97">
        <f t="shared" si="198"/>
        <v>16286354.504000001</v>
      </c>
      <c r="AM309" s="97">
        <f t="shared" si="198"/>
        <v>16286354.504000001</v>
      </c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50" ht="15" customHeight="1" x14ac:dyDescent="0.3">
      <c r="B310" s="53" t="s">
        <v>210</v>
      </c>
      <c r="C310" s="53"/>
      <c r="D310" s="53"/>
      <c r="E310" s="53"/>
      <c r="F310" s="53"/>
      <c r="G310" s="53"/>
      <c r="H310" s="53"/>
      <c r="I310" s="53"/>
      <c r="J310" s="53"/>
      <c r="K310" s="97">
        <f>NPV(WACC!$D$35,O310:AV310)</f>
        <v>102923574.90368153</v>
      </c>
      <c r="L310" s="177">
        <f t="shared" si="196"/>
        <v>276657808.8836593</v>
      </c>
      <c r="M310" s="1"/>
      <c r="N310" s="1"/>
      <c r="O310" s="54">
        <f>O309-O308</f>
        <v>14498668.836652867</v>
      </c>
      <c r="P310" s="54">
        <f t="shared" ref="P310:AM310" si="199">P309-P308</f>
        <v>10923297.501958594</v>
      </c>
      <c r="Q310" s="54">
        <f t="shared" si="199"/>
        <v>10923297.501958594</v>
      </c>
      <c r="R310" s="54">
        <f t="shared" si="199"/>
        <v>10923297.501958594</v>
      </c>
      <c r="S310" s="54">
        <f t="shared" si="199"/>
        <v>10923297.501958594</v>
      </c>
      <c r="T310" s="54">
        <f t="shared" si="199"/>
        <v>10923297.501958594</v>
      </c>
      <c r="U310" s="54">
        <f t="shared" si="199"/>
        <v>10923297.501958594</v>
      </c>
      <c r="V310" s="54">
        <f t="shared" si="199"/>
        <v>10923297.501958594</v>
      </c>
      <c r="W310" s="54">
        <f t="shared" si="199"/>
        <v>10923297.501958594</v>
      </c>
      <c r="X310" s="54">
        <f t="shared" si="199"/>
        <v>10923297.501958594</v>
      </c>
      <c r="Y310" s="54">
        <f t="shared" si="199"/>
        <v>10923297.501958594</v>
      </c>
      <c r="Z310" s="54">
        <f t="shared" si="199"/>
        <v>10923297.501958594</v>
      </c>
      <c r="AA310" s="54">
        <f t="shared" si="199"/>
        <v>10923297.501958594</v>
      </c>
      <c r="AB310" s="54">
        <f t="shared" si="199"/>
        <v>10923297.501958594</v>
      </c>
      <c r="AC310" s="54">
        <f t="shared" si="199"/>
        <v>10923297.501958594</v>
      </c>
      <c r="AD310" s="54">
        <f t="shared" si="199"/>
        <v>10923297.501958594</v>
      </c>
      <c r="AE310" s="54">
        <f t="shared" si="199"/>
        <v>10923297.501958594</v>
      </c>
      <c r="AF310" s="54">
        <f t="shared" si="199"/>
        <v>10923297.501958594</v>
      </c>
      <c r="AG310" s="54">
        <f t="shared" si="199"/>
        <v>10923297.501958594</v>
      </c>
      <c r="AH310" s="54">
        <f t="shared" si="199"/>
        <v>10923297.501958594</v>
      </c>
      <c r="AI310" s="54">
        <f t="shared" si="199"/>
        <v>10923297.501958594</v>
      </c>
      <c r="AJ310" s="54">
        <f t="shared" si="199"/>
        <v>10923297.501958594</v>
      </c>
      <c r="AK310" s="54">
        <f t="shared" si="199"/>
        <v>10923297.501958594</v>
      </c>
      <c r="AL310" s="54">
        <f t="shared" si="199"/>
        <v>10923297.501958594</v>
      </c>
      <c r="AM310" s="54">
        <f t="shared" si="199"/>
        <v>10923297.501958594</v>
      </c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50" ht="15" customHeight="1" x14ac:dyDescent="0.3">
      <c r="B311" s="53" t="s">
        <v>211</v>
      </c>
      <c r="C311" s="53"/>
      <c r="D311" s="53"/>
      <c r="E311" s="53"/>
      <c r="F311" s="53"/>
      <c r="G311" s="53"/>
      <c r="H311" s="53"/>
      <c r="I311" s="53"/>
      <c r="J311" s="53"/>
      <c r="K311" s="177"/>
      <c r="L311" s="191">
        <f>AVERAGE(O311:AM311)</f>
        <v>0.67948369615977811</v>
      </c>
      <c r="M311" s="1"/>
      <c r="N311" s="1"/>
      <c r="O311" s="182">
        <f>1-(O308/O309)</f>
        <v>0.89023414252047195</v>
      </c>
      <c r="P311" s="182">
        <f t="shared" ref="P311:AM311" si="200">1-(P308/P309)</f>
        <v>0.67070242756141552</v>
      </c>
      <c r="Q311" s="182">
        <f t="shared" si="200"/>
        <v>0.67070242756141552</v>
      </c>
      <c r="R311" s="182">
        <f t="shared" si="200"/>
        <v>0.67070242756141552</v>
      </c>
      <c r="S311" s="182">
        <f t="shared" si="200"/>
        <v>0.67070242756141552</v>
      </c>
      <c r="T311" s="182">
        <f t="shared" si="200"/>
        <v>0.67070242756141552</v>
      </c>
      <c r="U311" s="182">
        <f t="shared" si="200"/>
        <v>0.67070242756141552</v>
      </c>
      <c r="V311" s="182">
        <f t="shared" si="200"/>
        <v>0.67070242756141552</v>
      </c>
      <c r="W311" s="182">
        <f t="shared" si="200"/>
        <v>0.67070242756141552</v>
      </c>
      <c r="X311" s="182">
        <f t="shared" si="200"/>
        <v>0.67070242756141552</v>
      </c>
      <c r="Y311" s="182">
        <f t="shared" si="200"/>
        <v>0.67070242756141552</v>
      </c>
      <c r="Z311" s="182">
        <f t="shared" si="200"/>
        <v>0.67070242756141552</v>
      </c>
      <c r="AA311" s="182">
        <f t="shared" si="200"/>
        <v>0.67070242756141552</v>
      </c>
      <c r="AB311" s="182">
        <f t="shared" si="200"/>
        <v>0.67070242756141552</v>
      </c>
      <c r="AC311" s="182">
        <f t="shared" si="200"/>
        <v>0.67070242756141552</v>
      </c>
      <c r="AD311" s="182">
        <f t="shared" si="200"/>
        <v>0.67070242756141552</v>
      </c>
      <c r="AE311" s="182">
        <f t="shared" si="200"/>
        <v>0.67070242756141552</v>
      </c>
      <c r="AF311" s="182">
        <f t="shared" si="200"/>
        <v>0.67070242756141552</v>
      </c>
      <c r="AG311" s="182">
        <f t="shared" si="200"/>
        <v>0.67070242756141552</v>
      </c>
      <c r="AH311" s="182">
        <f t="shared" si="200"/>
        <v>0.67070242756141552</v>
      </c>
      <c r="AI311" s="182">
        <f t="shared" si="200"/>
        <v>0.67070242756141552</v>
      </c>
      <c r="AJ311" s="182">
        <f t="shared" si="200"/>
        <v>0.67070242756141552</v>
      </c>
      <c r="AK311" s="182">
        <f t="shared" si="200"/>
        <v>0.67070242756141552</v>
      </c>
      <c r="AL311" s="182">
        <f t="shared" si="200"/>
        <v>0.67070242756141552</v>
      </c>
      <c r="AM311" s="182">
        <f t="shared" si="200"/>
        <v>0.67070242756141552</v>
      </c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50" ht="15" customHeight="1" thickBot="1" x14ac:dyDescent="0.35"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50" ht="15" customHeight="1" x14ac:dyDescent="0.3">
      <c r="C313" s="636" t="s">
        <v>5157</v>
      </c>
      <c r="D313" s="637"/>
      <c r="E313" s="637"/>
      <c r="F313" s="638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50" ht="15" customHeight="1" x14ac:dyDescent="0.3">
      <c r="C314" s="634" t="s">
        <v>163</v>
      </c>
      <c r="D314" s="627"/>
      <c r="E314" s="635" t="s">
        <v>128</v>
      </c>
      <c r="F314" s="629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50" ht="15" customHeight="1" x14ac:dyDescent="0.3">
      <c r="C315" s="626" t="s">
        <v>212</v>
      </c>
      <c r="D315" s="627"/>
      <c r="E315" s="628">
        <f>K308</f>
        <v>45683654.329008378</v>
      </c>
      <c r="F315" s="629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50" ht="15" customHeight="1" x14ac:dyDescent="0.3">
      <c r="C316" s="626" t="s">
        <v>213</v>
      </c>
      <c r="D316" s="627"/>
      <c r="E316" s="628">
        <f>K309</f>
        <v>148607229.23268992</v>
      </c>
      <c r="F316" s="629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50" ht="15" customHeight="1" x14ac:dyDescent="0.3">
      <c r="C317" s="626" t="s">
        <v>214</v>
      </c>
      <c r="D317" s="627"/>
      <c r="E317" s="632">
        <f>E316-E315</f>
        <v>102923574.90368155</v>
      </c>
      <c r="F317" s="633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50" ht="15" customHeight="1" x14ac:dyDescent="0.3">
      <c r="C318" s="626" t="s">
        <v>164</v>
      </c>
      <c r="D318" s="627"/>
      <c r="E318" s="628">
        <f>L308</f>
        <v>130501053.71634081</v>
      </c>
      <c r="F318" s="629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50" ht="15" customHeight="1" x14ac:dyDescent="0.3">
      <c r="B319" s="1"/>
      <c r="C319" s="626" t="s">
        <v>165</v>
      </c>
      <c r="D319" s="627"/>
      <c r="E319" s="628">
        <f>L309</f>
        <v>407158862.60000014</v>
      </c>
      <c r="F319" s="629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5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50" ht="15" customHeight="1" x14ac:dyDescent="0.3">
      <c r="B320" s="1"/>
      <c r="C320" s="626" t="s">
        <v>5174</v>
      </c>
      <c r="D320" s="627"/>
      <c r="E320" s="630">
        <f>1-(E318/E319)</f>
        <v>0.67948369615977811</v>
      </c>
      <c r="F320" s="63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321" t="s">
        <v>5189</v>
      </c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1"/>
      <c r="N322" s="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5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376" t="s">
        <v>5190</v>
      </c>
      <c r="D324" s="377" t="s">
        <v>5191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3.8" x14ac:dyDescent="0.3">
      <c r="B325" s="1"/>
      <c r="C325" s="110">
        <v>0</v>
      </c>
      <c r="D325" s="110">
        <v>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8.25" customHeight="1" x14ac:dyDescent="0.3">
      <c r="B326" s="1"/>
      <c r="C326" s="370"/>
      <c r="D326" s="370"/>
      <c r="E326" s="6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376" t="s">
        <v>5192</v>
      </c>
      <c r="D327" s="376" t="s">
        <v>5193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371">
        <f>L29</f>
        <v>33293479.120088503</v>
      </c>
      <c r="D328" s="371">
        <f>L11</f>
        <v>58835225.636226192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9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376" t="s">
        <v>5194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379">
        <f>$L$157</f>
        <v>9.9320884002751519E-2</v>
      </c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3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234"/>
      <c r="C333" s="378"/>
      <c r="D333" s="624" t="s">
        <v>104</v>
      </c>
      <c r="E333" s="624"/>
      <c r="F333" s="624"/>
      <c r="G333" s="624"/>
      <c r="H333" s="624"/>
      <c r="I333" s="624"/>
      <c r="J333" s="62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625" t="s">
        <v>5195</v>
      </c>
      <c r="C334" s="375">
        <f>$C$331</f>
        <v>9.9320884002751519E-2</v>
      </c>
      <c r="D334" s="372">
        <v>-15</v>
      </c>
      <c r="E334" s="372">
        <v>-10</v>
      </c>
      <c r="F334" s="372">
        <v>-5</v>
      </c>
      <c r="G334" s="372">
        <v>0</v>
      </c>
      <c r="H334" s="372">
        <v>5</v>
      </c>
      <c r="I334" s="372">
        <v>10</v>
      </c>
      <c r="J334" s="372">
        <v>15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625"/>
      <c r="C335" s="373">
        <v>-15</v>
      </c>
      <c r="D335" s="374">
        <f t="dataTable" ref="D335:J341" dt2D="1" dtr="1" r1="C325" r2="D325"/>
        <v>0.24138566638535708</v>
      </c>
      <c r="E335" s="374">
        <v>0.2123433500965799</v>
      </c>
      <c r="F335" s="374">
        <v>0.18640967640935902</v>
      </c>
      <c r="G335" s="374">
        <v>0.16304498860887628</v>
      </c>
      <c r="H335" s="374">
        <v>0.14181267319947954</v>
      </c>
      <c r="I335" s="374">
        <v>0.12235653468741425</v>
      </c>
      <c r="J335" s="374">
        <v>0.1043837351092336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625"/>
      <c r="C336" s="373">
        <v>-10</v>
      </c>
      <c r="D336" s="374">
        <v>0.21604908874669926</v>
      </c>
      <c r="E336" s="374">
        <v>0.18899232474334804</v>
      </c>
      <c r="F336" s="374">
        <v>0.16470813014103758</v>
      </c>
      <c r="G336" s="374">
        <v>0.14271249558018195</v>
      </c>
      <c r="H336" s="374">
        <v>0.12261287487609485</v>
      </c>
      <c r="I336" s="374">
        <v>0.10408830956251003</v>
      </c>
      <c r="J336" s="374">
        <v>8.6874325195402724E-2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625"/>
      <c r="C337" s="373">
        <v>-5</v>
      </c>
      <c r="D337" s="374">
        <v>0.1901125454622008</v>
      </c>
      <c r="E337" s="374">
        <v>0.16495601616104461</v>
      </c>
      <c r="F337" s="374">
        <v>0.14224013035422423</v>
      </c>
      <c r="G337" s="374">
        <v>0.12153445925012174</v>
      </c>
      <c r="H337" s="374">
        <v>0.10248902319804754</v>
      </c>
      <c r="I337" s="374">
        <v>8.4816915655596681E-2</v>
      </c>
      <c r="J337" s="374">
        <v>6.8281032322839774E-2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625"/>
      <c r="C338" s="373">
        <v>0</v>
      </c>
      <c r="D338" s="374">
        <v>0.16346423738206295</v>
      </c>
      <c r="E338" s="374">
        <v>0.14009664459371041</v>
      </c>
      <c r="F338" s="374">
        <v>0.11884189034859993</v>
      </c>
      <c r="G338" s="374">
        <v>9.9320884002751519E-2</v>
      </c>
      <c r="H338" s="374">
        <v>8.1224445247524368E-2</v>
      </c>
      <c r="I338" s="374">
        <v>6.4298246944370918E-2</v>
      </c>
      <c r="J338" s="374">
        <v>4.8331314358859512E-2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625"/>
      <c r="C339" s="373">
        <v>5</v>
      </c>
      <c r="D339" s="374">
        <v>0.13591543166216824</v>
      </c>
      <c r="E339" s="374">
        <v>0.11419098105239289</v>
      </c>
      <c r="F339" s="374">
        <v>9.4255171019593798E-2</v>
      </c>
      <c r="G339" s="374">
        <v>7.5777644733977079E-2</v>
      </c>
      <c r="H339" s="374">
        <v>5.8487860015181692E-2</v>
      </c>
      <c r="I339" s="374">
        <v>4.2162272716163018E-2</v>
      </c>
      <c r="J339" s="374">
        <v>2.6614637920830075E-2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625"/>
      <c r="C340" s="373">
        <v>10</v>
      </c>
      <c r="D340" s="374">
        <v>0.10715149517590294</v>
      </c>
      <c r="E340" s="374">
        <v>8.68761478764557E-2</v>
      </c>
      <c r="F340" s="374">
        <v>6.8067216760357319E-2</v>
      </c>
      <c r="G340" s="374">
        <v>5.0439922032378792E-2</v>
      </c>
      <c r="H340" s="374">
        <v>3.3759790310605498E-2</v>
      </c>
      <c r="I340" s="374">
        <v>1.7832165768428609E-2</v>
      </c>
      <c r="J340" s="374">
        <v>2.4945222314090021E-3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625"/>
      <c r="C341" s="373">
        <v>15</v>
      </c>
      <c r="D341" s="374">
        <v>7.6641874705668966E-2</v>
      </c>
      <c r="E341" s="374">
        <v>5.7549325630281034E-2</v>
      </c>
      <c r="F341" s="374">
        <v>3.959907648142158E-2</v>
      </c>
      <c r="G341" s="374">
        <v>2.2548331774235653E-2</v>
      </c>
      <c r="H341" s="374">
        <v>6.1963301804999205E-3</v>
      </c>
      <c r="I341" s="374">
        <v>-9.6233868213233542E-3</v>
      </c>
      <c r="J341" s="374">
        <v>-2.5048057464490125E-2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321" t="s">
        <v>5196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1"/>
      <c r="N344" s="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5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 t="s">
        <v>5224</v>
      </c>
      <c r="D346" s="435">
        <f>NPV(WACC!$D$35,BT!O355:AM355)</f>
        <v>49155222.882548645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7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 t="s">
        <v>5225</v>
      </c>
      <c r="D347" s="435">
        <f>NPV(WACC!$D$35,O358:AM358)</f>
        <v>45683654.329008378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7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7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436" t="s">
        <v>5226</v>
      </c>
      <c r="D349" s="437">
        <f>1-(D347/D346)</f>
        <v>7.0624612197064507E-2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7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7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438"/>
      <c r="C351" s="439" t="s">
        <v>5227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1"/>
      <c r="N351" s="1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  <c r="AH351" s="438"/>
      <c r="AI351" s="438"/>
      <c r="AJ351" s="438"/>
      <c r="AK351" s="438"/>
      <c r="AL351" s="438"/>
      <c r="AM351" s="438"/>
      <c r="AN351" s="17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234" t="s">
        <v>5228</v>
      </c>
      <c r="D352" s="1"/>
      <c r="E352" s="441">
        <v>0.25840000000000002</v>
      </c>
      <c r="F352" s="1"/>
      <c r="G352" s="1"/>
      <c r="H352" s="1"/>
      <c r="I352" s="1"/>
      <c r="J352" s="1"/>
      <c r="K352" s="1"/>
      <c r="L352" s="1"/>
      <c r="M352" s="1"/>
      <c r="N352" s="1"/>
      <c r="O352" s="195">
        <f t="shared" ref="O352:AM352" si="201">(O29)*(1+$E$352)</f>
        <v>13214137.56918315</v>
      </c>
      <c r="P352" s="195">
        <f t="shared" si="201"/>
        <v>0</v>
      </c>
      <c r="Q352" s="195">
        <f t="shared" si="201"/>
        <v>0</v>
      </c>
      <c r="R352" s="195">
        <f t="shared" si="201"/>
        <v>0</v>
      </c>
      <c r="S352" s="195">
        <f t="shared" si="201"/>
        <v>5823141.3420309871</v>
      </c>
      <c r="T352" s="195">
        <f t="shared" si="201"/>
        <v>0</v>
      </c>
      <c r="U352" s="195">
        <f t="shared" si="201"/>
        <v>0</v>
      </c>
      <c r="V352" s="195">
        <f t="shared" si="201"/>
        <v>521998.37455354491</v>
      </c>
      <c r="W352" s="195">
        <f t="shared" si="201"/>
        <v>746929.03903650085</v>
      </c>
      <c r="X352" s="195">
        <f t="shared" si="201"/>
        <v>0</v>
      </c>
      <c r="Y352" s="195">
        <f t="shared" si="201"/>
        <v>5783558.4057499189</v>
      </c>
      <c r="Z352" s="195">
        <f t="shared" si="201"/>
        <v>0</v>
      </c>
      <c r="AA352" s="195">
        <f t="shared" si="201"/>
        <v>2370677.3428932186</v>
      </c>
      <c r="AB352" s="195">
        <f t="shared" si="201"/>
        <v>0</v>
      </c>
      <c r="AC352" s="195">
        <f t="shared" si="201"/>
        <v>0</v>
      </c>
      <c r="AD352" s="195">
        <f t="shared" si="201"/>
        <v>6304988.5698367041</v>
      </c>
      <c r="AE352" s="195">
        <f t="shared" si="201"/>
        <v>99386.855918307119</v>
      </c>
      <c r="AF352" s="195">
        <f t="shared" si="201"/>
        <v>648110.39358495339</v>
      </c>
      <c r="AG352" s="195">
        <f t="shared" si="201"/>
        <v>0</v>
      </c>
      <c r="AH352" s="195">
        <f t="shared" si="201"/>
        <v>0</v>
      </c>
      <c r="AI352" s="195">
        <f t="shared" si="201"/>
        <v>5822573.1315642279</v>
      </c>
      <c r="AJ352" s="195">
        <f t="shared" si="201"/>
        <v>0</v>
      </c>
      <c r="AK352" s="195">
        <f t="shared" si="201"/>
        <v>521998.37455354491</v>
      </c>
      <c r="AL352" s="195">
        <f t="shared" si="201"/>
        <v>0</v>
      </c>
      <c r="AM352" s="195">
        <f t="shared" si="201"/>
        <v>39014.72581430713</v>
      </c>
      <c r="AN352" s="17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234" t="s">
        <v>161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95">
        <f t="shared" ref="O353:AM353" si="202">(O11)*(1+$E$352)</f>
        <v>1909265.1351365293</v>
      </c>
      <c r="P353" s="195">
        <f t="shared" si="202"/>
        <v>2996484.0310138408</v>
      </c>
      <c r="Q353" s="195">
        <f t="shared" si="202"/>
        <v>3067265.537365864</v>
      </c>
      <c r="R353" s="195">
        <f t="shared" si="202"/>
        <v>2994459.3697344302</v>
      </c>
      <c r="S353" s="195">
        <f t="shared" si="202"/>
        <v>3010027.4938624529</v>
      </c>
      <c r="T353" s="195">
        <f t="shared" si="202"/>
        <v>3047648.0906790192</v>
      </c>
      <c r="U353" s="195">
        <f t="shared" si="202"/>
        <v>3008002.8325830428</v>
      </c>
      <c r="V353" s="195">
        <f t="shared" si="202"/>
        <v>3045623.4293996082</v>
      </c>
      <c r="W353" s="195">
        <f t="shared" si="202"/>
        <v>3005978.1713036317</v>
      </c>
      <c r="X353" s="195">
        <f t="shared" si="202"/>
        <v>2988385.3858961985</v>
      </c>
      <c r="Y353" s="195">
        <f t="shared" si="202"/>
        <v>3059166.8922482217</v>
      </c>
      <c r="Z353" s="195">
        <f t="shared" si="202"/>
        <v>2986360.7246167874</v>
      </c>
      <c r="AA353" s="195">
        <f t="shared" si="202"/>
        <v>3057142.2309688106</v>
      </c>
      <c r="AB353" s="195">
        <f t="shared" si="202"/>
        <v>2984336.0633373768</v>
      </c>
      <c r="AC353" s="195">
        <f t="shared" si="202"/>
        <v>2999904.1874654</v>
      </c>
      <c r="AD353" s="195">
        <f t="shared" si="202"/>
        <v>3037524.7842819658</v>
      </c>
      <c r="AE353" s="195">
        <f t="shared" si="202"/>
        <v>2997879.5261859894</v>
      </c>
      <c r="AF353" s="195">
        <f t="shared" si="202"/>
        <v>3035500.1230025552</v>
      </c>
      <c r="AG353" s="195">
        <f t="shared" si="202"/>
        <v>2995854.8649065783</v>
      </c>
      <c r="AH353" s="195">
        <f t="shared" si="202"/>
        <v>2978262.0794991446</v>
      </c>
      <c r="AI353" s="195">
        <f t="shared" si="202"/>
        <v>3049043.5858511678</v>
      </c>
      <c r="AJ353" s="195">
        <f t="shared" si="202"/>
        <v>2976237.418219734</v>
      </c>
      <c r="AK353" s="195">
        <f t="shared" si="202"/>
        <v>3047018.9245717577</v>
      </c>
      <c r="AL353" s="195">
        <f t="shared" si="202"/>
        <v>2974212.7569403229</v>
      </c>
      <c r="AM353" s="195">
        <f t="shared" si="202"/>
        <v>2786664.3015566031</v>
      </c>
      <c r="AN353" s="17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256" t="s">
        <v>5154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95">
        <f>-O165</f>
        <v>480813.53275386122</v>
      </c>
      <c r="P354" s="195">
        <f t="shared" ref="P354:AM354" si="203">-P165</f>
        <v>400677.94396155101</v>
      </c>
      <c r="Q354" s="195">
        <f t="shared" si="203"/>
        <v>320542.35516924079</v>
      </c>
      <c r="R354" s="195">
        <f t="shared" si="203"/>
        <v>240406.76637693061</v>
      </c>
      <c r="S354" s="195">
        <f t="shared" si="203"/>
        <v>160271.1775846204</v>
      </c>
      <c r="T354" s="195">
        <f t="shared" si="203"/>
        <v>80135.588792310184</v>
      </c>
      <c r="U354" s="195">
        <f t="shared" si="203"/>
        <v>0</v>
      </c>
      <c r="V354" s="195">
        <f t="shared" si="203"/>
        <v>-1.7974525690078736E-11</v>
      </c>
      <c r="W354" s="195">
        <f t="shared" si="203"/>
        <v>-1.7974525690078736E-11</v>
      </c>
      <c r="X354" s="195">
        <f t="shared" si="203"/>
        <v>-1.7974525690078736E-11</v>
      </c>
      <c r="Y354" s="195">
        <f t="shared" si="203"/>
        <v>-1.7974525690078736E-11</v>
      </c>
      <c r="Z354" s="195">
        <f t="shared" si="203"/>
        <v>-1.7974525690078736E-11</v>
      </c>
      <c r="AA354" s="195">
        <f t="shared" si="203"/>
        <v>-1.7974525690078736E-11</v>
      </c>
      <c r="AB354" s="195">
        <f t="shared" si="203"/>
        <v>-1.7974525690078736E-11</v>
      </c>
      <c r="AC354" s="195">
        <f t="shared" si="203"/>
        <v>-1.7974525690078736E-11</v>
      </c>
      <c r="AD354" s="195">
        <f t="shared" si="203"/>
        <v>-1.7974525690078736E-11</v>
      </c>
      <c r="AE354" s="195">
        <f t="shared" si="203"/>
        <v>-1.7974525690078736E-11</v>
      </c>
      <c r="AF354" s="195">
        <f t="shared" si="203"/>
        <v>-1.7974525690078736E-11</v>
      </c>
      <c r="AG354" s="195">
        <f t="shared" si="203"/>
        <v>-1.7974525690078736E-11</v>
      </c>
      <c r="AH354" s="195">
        <f t="shared" si="203"/>
        <v>-1.7974525690078736E-11</v>
      </c>
      <c r="AI354" s="195">
        <f t="shared" si="203"/>
        <v>-1.7974525690078736E-11</v>
      </c>
      <c r="AJ354" s="195">
        <f t="shared" si="203"/>
        <v>-1.7974525690078736E-11</v>
      </c>
      <c r="AK354" s="195">
        <f t="shared" si="203"/>
        <v>-1.7974525690078736E-11</v>
      </c>
      <c r="AL354" s="195">
        <f t="shared" si="203"/>
        <v>-1.7974525690078736E-11</v>
      </c>
      <c r="AM354" s="195">
        <f t="shared" si="203"/>
        <v>-1.7974525690078736E-11</v>
      </c>
      <c r="AN354" s="17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234" t="s">
        <v>129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95">
        <f t="shared" ref="O355:AM355" si="204">SUM(O352:O354)</f>
        <v>15604216.237073541</v>
      </c>
      <c r="P355" s="195">
        <f t="shared" si="204"/>
        <v>3397161.9749753918</v>
      </c>
      <c r="Q355" s="195">
        <f t="shared" si="204"/>
        <v>3387807.8925351049</v>
      </c>
      <c r="R355" s="195">
        <f t="shared" si="204"/>
        <v>3234866.136111361</v>
      </c>
      <c r="S355" s="195">
        <f t="shared" si="204"/>
        <v>8993440.0134780612</v>
      </c>
      <c r="T355" s="195">
        <f t="shared" si="204"/>
        <v>3127783.6794713293</v>
      </c>
      <c r="U355" s="195">
        <f t="shared" si="204"/>
        <v>3008002.8325830428</v>
      </c>
      <c r="V355" s="195">
        <f t="shared" si="204"/>
        <v>3567621.8039531531</v>
      </c>
      <c r="W355" s="195">
        <f t="shared" si="204"/>
        <v>3752907.2103401325</v>
      </c>
      <c r="X355" s="195">
        <f t="shared" si="204"/>
        <v>2988385.3858961985</v>
      </c>
      <c r="Y355" s="195">
        <f t="shared" si="204"/>
        <v>8842725.2979981415</v>
      </c>
      <c r="Z355" s="195">
        <f t="shared" si="204"/>
        <v>2986360.7246167874</v>
      </c>
      <c r="AA355" s="195">
        <f t="shared" si="204"/>
        <v>5427819.5738620292</v>
      </c>
      <c r="AB355" s="195">
        <f t="shared" si="204"/>
        <v>2984336.0633373768</v>
      </c>
      <c r="AC355" s="195">
        <f t="shared" si="204"/>
        <v>2999904.1874654</v>
      </c>
      <c r="AD355" s="195">
        <f t="shared" si="204"/>
        <v>9342513.3541186694</v>
      </c>
      <c r="AE355" s="195">
        <f t="shared" si="204"/>
        <v>3097266.3821042967</v>
      </c>
      <c r="AF355" s="195">
        <f t="shared" si="204"/>
        <v>3683610.5165875088</v>
      </c>
      <c r="AG355" s="195">
        <f t="shared" si="204"/>
        <v>2995854.8649065783</v>
      </c>
      <c r="AH355" s="195">
        <f t="shared" si="204"/>
        <v>2978262.0794991446</v>
      </c>
      <c r="AI355" s="195">
        <f t="shared" si="204"/>
        <v>8871616.7174153961</v>
      </c>
      <c r="AJ355" s="195">
        <f t="shared" si="204"/>
        <v>2976237.418219734</v>
      </c>
      <c r="AK355" s="195">
        <f t="shared" si="204"/>
        <v>3569017.2991253026</v>
      </c>
      <c r="AL355" s="195">
        <f t="shared" si="204"/>
        <v>2974212.7569403229</v>
      </c>
      <c r="AM355" s="195">
        <f t="shared" si="204"/>
        <v>2825679.0273709102</v>
      </c>
      <c r="AN355" s="17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60"/>
      <c r="D356" s="60"/>
      <c r="E356" s="6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7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438"/>
      <c r="C357" s="440" t="s">
        <v>5229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1"/>
      <c r="N357" s="1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  <c r="AH357" s="438"/>
      <c r="AI357" s="438"/>
      <c r="AJ357" s="438"/>
      <c r="AK357" s="438"/>
      <c r="AL357" s="438"/>
      <c r="AM357" s="438"/>
      <c r="AN357" s="17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 t="s">
        <v>5230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95">
        <f>O75</f>
        <v>1787685.6673471334</v>
      </c>
      <c r="P358" s="195">
        <f t="shared" ref="P358:AM358" si="205">P75</f>
        <v>5363057.002041406</v>
      </c>
      <c r="Q358" s="195">
        <f t="shared" si="205"/>
        <v>5363057.002041406</v>
      </c>
      <c r="R358" s="195">
        <f t="shared" si="205"/>
        <v>5363057.002041406</v>
      </c>
      <c r="S358" s="195">
        <f t="shared" si="205"/>
        <v>5363057.002041406</v>
      </c>
      <c r="T358" s="195">
        <f t="shared" si="205"/>
        <v>5363057.002041406</v>
      </c>
      <c r="U358" s="195">
        <f t="shared" si="205"/>
        <v>5363057.002041406</v>
      </c>
      <c r="V358" s="195">
        <f t="shared" si="205"/>
        <v>5363057.002041406</v>
      </c>
      <c r="W358" s="195">
        <f t="shared" si="205"/>
        <v>5363057.002041406</v>
      </c>
      <c r="X358" s="195">
        <f t="shared" si="205"/>
        <v>5363057.002041406</v>
      </c>
      <c r="Y358" s="195">
        <f t="shared" si="205"/>
        <v>5363057.002041406</v>
      </c>
      <c r="Z358" s="195">
        <f t="shared" si="205"/>
        <v>5363057.002041406</v>
      </c>
      <c r="AA358" s="195">
        <f t="shared" si="205"/>
        <v>5363057.002041406</v>
      </c>
      <c r="AB358" s="195">
        <f t="shared" si="205"/>
        <v>5363057.002041406</v>
      </c>
      <c r="AC358" s="195">
        <f t="shared" si="205"/>
        <v>5363057.002041406</v>
      </c>
      <c r="AD358" s="195">
        <f t="shared" si="205"/>
        <v>5363057.002041406</v>
      </c>
      <c r="AE358" s="195">
        <f t="shared" si="205"/>
        <v>5363057.002041406</v>
      </c>
      <c r="AF358" s="195">
        <f t="shared" si="205"/>
        <v>5363057.002041406</v>
      </c>
      <c r="AG358" s="195">
        <f t="shared" si="205"/>
        <v>5363057.002041406</v>
      </c>
      <c r="AH358" s="195">
        <f t="shared" si="205"/>
        <v>5363057.002041406</v>
      </c>
      <c r="AI358" s="195">
        <f t="shared" si="205"/>
        <v>5363057.002041406</v>
      </c>
      <c r="AJ358" s="195">
        <f t="shared" si="205"/>
        <v>5363057.002041406</v>
      </c>
      <c r="AK358" s="195">
        <f t="shared" si="205"/>
        <v>5363057.002041406</v>
      </c>
      <c r="AL358" s="195">
        <f t="shared" si="205"/>
        <v>5363057.002041406</v>
      </c>
      <c r="AM358" s="195">
        <f t="shared" si="205"/>
        <v>5363057.002041406</v>
      </c>
      <c r="AN358" s="17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5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5" customHeight="1" x14ac:dyDescent="0.3">
      <c r="B465" s="1"/>
      <c r="C465" s="60"/>
      <c r="D465" s="60"/>
      <c r="E465" s="6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5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5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5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5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5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5" customHeight="1" x14ac:dyDescent="0.3">
      <c r="B470" s="1"/>
      <c r="C470" s="60"/>
      <c r="D470" s="60"/>
      <c r="E470" s="6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5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5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5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5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5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5" customHeight="1" x14ac:dyDescent="0.3">
      <c r="B475" s="1"/>
      <c r="C475" s="60"/>
      <c r="D475" s="60"/>
      <c r="E475" s="6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5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5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5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5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5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5" customHeight="1" x14ac:dyDescent="0.3">
      <c r="B480" s="1"/>
      <c r="C480" s="60"/>
      <c r="D480" s="60"/>
      <c r="E480" s="6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5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5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5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5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5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5" customHeight="1" x14ac:dyDescent="0.3">
      <c r="B485" s="1"/>
      <c r="C485" s="60"/>
      <c r="D485" s="60"/>
      <c r="E485" s="6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5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5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5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5"/>
      <c r="AO488" s="1"/>
      <c r="AP488" s="1"/>
      <c r="AQ488" s="1"/>
      <c r="AR488" s="1"/>
      <c r="AS488" s="1"/>
      <c r="AT488" s="1"/>
      <c r="AU488" s="1"/>
      <c r="AV488" s="1"/>
      <c r="AW488" s="1"/>
    </row>
  </sheetData>
  <mergeCells count="28">
    <mergeCell ref="C314:D314"/>
    <mergeCell ref="E314:F314"/>
    <mergeCell ref="C300:F300"/>
    <mergeCell ref="C301:D301"/>
    <mergeCell ref="E301:F301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13:F313"/>
    <mergeCell ref="C315:D315"/>
    <mergeCell ref="E315:F315"/>
    <mergeCell ref="C316:D316"/>
    <mergeCell ref="E316:F316"/>
    <mergeCell ref="C317:D317"/>
    <mergeCell ref="E317:F317"/>
    <mergeCell ref="D333:J333"/>
    <mergeCell ref="B334:B341"/>
    <mergeCell ref="C318:D318"/>
    <mergeCell ref="E318:F318"/>
    <mergeCell ref="C319:D319"/>
    <mergeCell ref="E319:F319"/>
    <mergeCell ref="C320:D320"/>
    <mergeCell ref="E320:F320"/>
  </mergeCells>
  <conditionalFormatting sqref="D335:J341 L3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disablePrompts="1" count="3">
    <dataValidation type="list" allowBlank="1" showErrorMessage="1" sqref="F83" xr:uid="{7F603791-C176-4A53-B570-0C33FE48E6FC}">
      <formula1>"Real,Nominal"</formula1>
    </dataValidation>
    <dataValidation type="list" allowBlank="1" showErrorMessage="1" sqref="G114" xr:uid="{E55AC239-8642-4869-B28E-FC6211DFE81D}">
      <formula1>"Regulatório,Gerencial"</formula1>
    </dataValidation>
    <dataValidation type="list" allowBlank="1" showInputMessage="1" showErrorMessage="1" sqref="C325:D325" xr:uid="{FD2141E5-891A-46FD-961C-0CC96FC100C3}">
      <formula1>"-15,-10,-5,0,5,10,15"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L60:AM69 P82:AM92 K102:AM105 K124:L127 O76:AM76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8FEC-BAB0-47F6-9346-B53260A6A61C}">
  <dimension ref="A1:XFD488"/>
  <sheetViews>
    <sheetView showGridLines="0" zoomScale="85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A7" sqref="A7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38" width="13" customWidth="1"/>
    <col min="39" max="39" width="13.88671875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7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(SUM(O11:AM11))*(1+$D$325/100)</f>
        <v>5291912.3215502268</v>
      </c>
      <c r="M11" s="1"/>
      <c r="N11" s="1"/>
      <c r="O11" s="13">
        <f>(O12+O13+O266)*(1+$D$325/100)</f>
        <v>136074.89976813929</v>
      </c>
      <c r="P11" s="13">
        <f t="shared" ref="P11:AM11" si="4">(P12+P13+P266)*(1+$D$325/100)</f>
        <v>213382.74547759569</v>
      </c>
      <c r="Q11" s="13">
        <f t="shared" si="4"/>
        <v>220515.3824356478</v>
      </c>
      <c r="R11" s="13">
        <f t="shared" si="4"/>
        <v>213243.22874404321</v>
      </c>
      <c r="S11" s="13">
        <f t="shared" si="4"/>
        <v>214366.40570209533</v>
      </c>
      <c r="T11" s="13">
        <f t="shared" si="4"/>
        <v>219113.17201049073</v>
      </c>
      <c r="U11" s="13">
        <f t="shared" si="4"/>
        <v>214226.88896854289</v>
      </c>
      <c r="V11" s="13">
        <f t="shared" si="4"/>
        <v>218973.65527693828</v>
      </c>
      <c r="W11" s="13">
        <f t="shared" si="4"/>
        <v>214087.37223499044</v>
      </c>
      <c r="X11" s="13">
        <f t="shared" si="4"/>
        <v>212824.67854338587</v>
      </c>
      <c r="Y11" s="13">
        <f t="shared" si="4"/>
        <v>219957.31550143799</v>
      </c>
      <c r="Z11" s="13">
        <f t="shared" si="4"/>
        <v>212685.16180983343</v>
      </c>
      <c r="AA11" s="13">
        <f t="shared" si="4"/>
        <v>219817.79876788551</v>
      </c>
      <c r="AB11" s="13">
        <f t="shared" si="4"/>
        <v>212545.64507628095</v>
      </c>
      <c r="AC11" s="13">
        <f t="shared" si="4"/>
        <v>213668.82203433308</v>
      </c>
      <c r="AD11" s="13">
        <f t="shared" si="4"/>
        <v>218415.58834272847</v>
      </c>
      <c r="AE11" s="13">
        <f t="shared" si="4"/>
        <v>213529.30530078063</v>
      </c>
      <c r="AF11" s="13">
        <f t="shared" si="4"/>
        <v>218276.07160917603</v>
      </c>
      <c r="AG11" s="13">
        <f t="shared" si="4"/>
        <v>213389.78856722818</v>
      </c>
      <c r="AH11" s="13">
        <f t="shared" si="4"/>
        <v>212127.09487562362</v>
      </c>
      <c r="AI11" s="13">
        <f t="shared" si="4"/>
        <v>219259.7318336757</v>
      </c>
      <c r="AJ11" s="13">
        <f t="shared" si="4"/>
        <v>211987.57814207114</v>
      </c>
      <c r="AK11" s="13">
        <f t="shared" si="4"/>
        <v>219120.21510012326</v>
      </c>
      <c r="AL11" s="13">
        <f t="shared" si="4"/>
        <v>211848.0614085187</v>
      </c>
      <c r="AM11" s="13">
        <f t="shared" si="4"/>
        <v>198475.7140186601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2451999.5139124878</v>
      </c>
      <c r="M12" s="1"/>
      <c r="N12" s="1"/>
      <c r="O12" s="415">
        <f>O14</f>
        <v>52472.446705910988</v>
      </c>
      <c r="P12" s="415">
        <f t="shared" ref="P12:AM12" si="5">P14</f>
        <v>98010.544161084064</v>
      </c>
      <c r="Q12" s="415">
        <f t="shared" si="5"/>
        <v>104020.00416108406</v>
      </c>
      <c r="R12" s="415">
        <f t="shared" si="5"/>
        <v>98010.544161084064</v>
      </c>
      <c r="S12" s="415">
        <f t="shared" si="5"/>
        <v>98010.544161084064</v>
      </c>
      <c r="T12" s="415">
        <f t="shared" si="5"/>
        <v>104020.00416108406</v>
      </c>
      <c r="U12" s="415">
        <f t="shared" si="5"/>
        <v>98010.544161084064</v>
      </c>
      <c r="V12" s="415">
        <f t="shared" si="5"/>
        <v>104020.00416108406</v>
      </c>
      <c r="W12" s="415">
        <f t="shared" si="5"/>
        <v>98010.544161084064</v>
      </c>
      <c r="X12" s="415">
        <f t="shared" si="5"/>
        <v>98010.544161084064</v>
      </c>
      <c r="Y12" s="415">
        <f t="shared" si="5"/>
        <v>104020.00416108406</v>
      </c>
      <c r="Z12" s="415">
        <f t="shared" si="5"/>
        <v>98010.544161084064</v>
      </c>
      <c r="AA12" s="415">
        <f t="shared" si="5"/>
        <v>104020.00416108406</v>
      </c>
      <c r="AB12" s="415">
        <f t="shared" si="5"/>
        <v>98010.544161084064</v>
      </c>
      <c r="AC12" s="415">
        <f t="shared" si="5"/>
        <v>98010.544161084064</v>
      </c>
      <c r="AD12" s="415">
        <f t="shared" si="5"/>
        <v>104020.00416108406</v>
      </c>
      <c r="AE12" s="415">
        <f t="shared" si="5"/>
        <v>98010.544161084064</v>
      </c>
      <c r="AF12" s="415">
        <f t="shared" si="5"/>
        <v>104020.00416108406</v>
      </c>
      <c r="AG12" s="415">
        <f t="shared" si="5"/>
        <v>98010.544161084064</v>
      </c>
      <c r="AH12" s="415">
        <f t="shared" si="5"/>
        <v>98010.544161084064</v>
      </c>
      <c r="AI12" s="415">
        <f t="shared" si="5"/>
        <v>104020.00416108406</v>
      </c>
      <c r="AJ12" s="415">
        <f t="shared" si="5"/>
        <v>98010.544161084064</v>
      </c>
      <c r="AK12" s="415">
        <f t="shared" si="5"/>
        <v>104020.00416108406</v>
      </c>
      <c r="AL12" s="415">
        <f t="shared" si="5"/>
        <v>98010.544161084064</v>
      </c>
      <c r="AM12" s="415">
        <f t="shared" si="5"/>
        <v>91199.411501642564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2818229.1975186849</v>
      </c>
      <c r="M13" s="1"/>
      <c r="N13" s="1"/>
      <c r="O13" s="415">
        <f>'Fluxo Rateio'!O4*$G$16</f>
        <v>81172.152173412847</v>
      </c>
      <c r="P13" s="415">
        <f>'Fluxo Rateio'!P4*$G$16</f>
        <v>113767.7588806584</v>
      </c>
      <c r="Q13" s="415">
        <f>'Fluxo Rateio'!Q4*$G$16</f>
        <v>114960.69420548675</v>
      </c>
      <c r="R13" s="415">
        <f>'Fluxo Rateio'!R4*$G$16</f>
        <v>113767.7588806584</v>
      </c>
      <c r="S13" s="415">
        <f>'Fluxo Rateio'!S4*$G$16</f>
        <v>114960.69420548675</v>
      </c>
      <c r="T13" s="415">
        <f>'Fluxo Rateio'!T4*$G$16</f>
        <v>113767.7588806584</v>
      </c>
      <c r="U13" s="415">
        <f>'Fluxo Rateio'!U4*$G$16</f>
        <v>114960.69420548675</v>
      </c>
      <c r="V13" s="415">
        <f>'Fluxo Rateio'!V4*$G$16</f>
        <v>113767.7588806584</v>
      </c>
      <c r="W13" s="415">
        <f>'Fluxo Rateio'!W4*$G$16</f>
        <v>114960.69420548675</v>
      </c>
      <c r="X13" s="415">
        <f>'Fluxo Rateio'!X4*$G$16</f>
        <v>113767.7588806584</v>
      </c>
      <c r="Y13" s="415">
        <f>'Fluxo Rateio'!Y4*$G$16</f>
        <v>114960.69420548675</v>
      </c>
      <c r="Z13" s="415">
        <f>'Fluxo Rateio'!Z4*$G$16</f>
        <v>113767.7588806584</v>
      </c>
      <c r="AA13" s="415">
        <f>'Fluxo Rateio'!AA4*$G$16</f>
        <v>114960.69420548675</v>
      </c>
      <c r="AB13" s="415">
        <f>'Fluxo Rateio'!AB4*$G$16</f>
        <v>113767.7588806584</v>
      </c>
      <c r="AC13" s="415">
        <f>'Fluxo Rateio'!AC4*$G$16</f>
        <v>114960.69420548675</v>
      </c>
      <c r="AD13" s="415">
        <f>'Fluxo Rateio'!AD4*$G$16</f>
        <v>113767.7588806584</v>
      </c>
      <c r="AE13" s="415">
        <f>'Fluxo Rateio'!AE4*$G$16</f>
        <v>114960.69420548675</v>
      </c>
      <c r="AF13" s="415">
        <f>'Fluxo Rateio'!AF4*$G$16</f>
        <v>113767.7588806584</v>
      </c>
      <c r="AG13" s="415">
        <f>'Fluxo Rateio'!AG4*$G$16</f>
        <v>114960.69420548675</v>
      </c>
      <c r="AH13" s="415">
        <f>'Fluxo Rateio'!AH4*$G$16</f>
        <v>113767.7588806584</v>
      </c>
      <c r="AI13" s="415">
        <f>'Fluxo Rateio'!AI4*$G$16</f>
        <v>114960.69420548675</v>
      </c>
      <c r="AJ13" s="415">
        <f>'Fluxo Rateio'!AJ4*$G$16</f>
        <v>113767.7588806584</v>
      </c>
      <c r="AK13" s="415">
        <f>'Fluxo Rateio'!AK4*$G$16</f>
        <v>114960.69420548675</v>
      </c>
      <c r="AL13" s="415">
        <f>'Fluxo Rateio'!AL4*$G$16</f>
        <v>113767.7588806584</v>
      </c>
      <c r="AM13" s="415">
        <f>'Fluxo Rateio'!AM4*$G$16</f>
        <v>107276.30251701754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SUM(O14:AM14)*(1+$D$325/100)</f>
        <v>2451999.5139124878</v>
      </c>
      <c r="M14" s="183"/>
      <c r="N14" s="1"/>
      <c r="O14" s="486">
        <f>(SUM(O16:O20,O22)*(1+$D$325/100))</f>
        <v>52472.446705910988</v>
      </c>
      <c r="P14" s="486">
        <f t="shared" ref="P14:AM14" si="6">(SUM(P16:P20,P22)*(1+$D$325/100))</f>
        <v>98010.544161084064</v>
      </c>
      <c r="Q14" s="486">
        <f t="shared" si="6"/>
        <v>104020.00416108406</v>
      </c>
      <c r="R14" s="486">
        <f t="shared" si="6"/>
        <v>98010.544161084064</v>
      </c>
      <c r="S14" s="486">
        <f t="shared" si="6"/>
        <v>98010.544161084064</v>
      </c>
      <c r="T14" s="486">
        <f t="shared" si="6"/>
        <v>104020.00416108406</v>
      </c>
      <c r="U14" s="486">
        <f t="shared" si="6"/>
        <v>98010.544161084064</v>
      </c>
      <c r="V14" s="486">
        <f t="shared" si="6"/>
        <v>104020.00416108406</v>
      </c>
      <c r="W14" s="486">
        <f t="shared" si="6"/>
        <v>98010.544161084064</v>
      </c>
      <c r="X14" s="486">
        <f t="shared" si="6"/>
        <v>98010.544161084064</v>
      </c>
      <c r="Y14" s="486">
        <f t="shared" si="6"/>
        <v>104020.00416108406</v>
      </c>
      <c r="Z14" s="486">
        <f t="shared" si="6"/>
        <v>98010.544161084064</v>
      </c>
      <c r="AA14" s="486">
        <f t="shared" si="6"/>
        <v>104020.00416108406</v>
      </c>
      <c r="AB14" s="486">
        <f t="shared" si="6"/>
        <v>98010.544161084064</v>
      </c>
      <c r="AC14" s="486">
        <f t="shared" si="6"/>
        <v>98010.544161084064</v>
      </c>
      <c r="AD14" s="486">
        <f t="shared" si="6"/>
        <v>104020.00416108406</v>
      </c>
      <c r="AE14" s="486">
        <f t="shared" si="6"/>
        <v>98010.544161084064</v>
      </c>
      <c r="AF14" s="486">
        <f t="shared" si="6"/>
        <v>104020.00416108406</v>
      </c>
      <c r="AG14" s="486">
        <f t="shared" si="6"/>
        <v>98010.544161084064</v>
      </c>
      <c r="AH14" s="486">
        <f t="shared" si="6"/>
        <v>98010.544161084064</v>
      </c>
      <c r="AI14" s="486">
        <f t="shared" si="6"/>
        <v>104020.00416108406</v>
      </c>
      <c r="AJ14" s="486">
        <f t="shared" si="6"/>
        <v>98010.544161084064</v>
      </c>
      <c r="AK14" s="486">
        <f t="shared" si="6"/>
        <v>104020.00416108406</v>
      </c>
      <c r="AL14" s="486">
        <f t="shared" si="6"/>
        <v>98010.544161084064</v>
      </c>
      <c r="AM14" s="486">
        <f t="shared" si="6"/>
        <v>91199.411501642564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f>'Fluxo Rateio'!$F$33</f>
        <v>5.6140854113322293E-2</v>
      </c>
      <c r="H16" s="397" t="s">
        <v>5361</v>
      </c>
      <c r="I16" s="398"/>
      <c r="J16" s="427"/>
      <c r="K16" s="399">
        <f t="shared" ref="K16:K18" si="7">L16/$L$14</f>
        <v>0.46671176022802435</v>
      </c>
      <c r="L16" s="431">
        <f t="shared" ref="L16:L23" si="8">SUM(O16:AV16)</f>
        <v>1144377.0092163573</v>
      </c>
      <c r="M16" s="184"/>
      <c r="N16" s="200"/>
      <c r="O16" s="424">
        <v>22326.795956648952</v>
      </c>
      <c r="P16" s="424">
        <v>44653.591913297911</v>
      </c>
      <c r="Q16" s="424">
        <v>50663.05191329791</v>
      </c>
      <c r="R16" s="424">
        <v>44653.591913297911</v>
      </c>
      <c r="S16" s="424">
        <v>44653.591913297911</v>
      </c>
      <c r="T16" s="424">
        <v>50663.05191329791</v>
      </c>
      <c r="U16" s="424">
        <v>44653.591913297911</v>
      </c>
      <c r="V16" s="424">
        <v>50663.05191329791</v>
      </c>
      <c r="W16" s="424">
        <v>44653.591913297911</v>
      </c>
      <c r="X16" s="424">
        <v>44653.591913297911</v>
      </c>
      <c r="Y16" s="424">
        <v>50663.05191329791</v>
      </c>
      <c r="Z16" s="424">
        <v>44653.591913297911</v>
      </c>
      <c r="AA16" s="424">
        <v>50663.05191329791</v>
      </c>
      <c r="AB16" s="424">
        <v>44653.591913297911</v>
      </c>
      <c r="AC16" s="424">
        <v>44653.591913297911</v>
      </c>
      <c r="AD16" s="424">
        <v>50663.05191329791</v>
      </c>
      <c r="AE16" s="424">
        <v>44653.591913297911</v>
      </c>
      <c r="AF16" s="424">
        <v>50663.05191329791</v>
      </c>
      <c r="AG16" s="424">
        <v>44653.591913297911</v>
      </c>
      <c r="AH16" s="424">
        <v>44653.591913297911</v>
      </c>
      <c r="AI16" s="424">
        <v>50663.05191329791</v>
      </c>
      <c r="AJ16" s="424">
        <v>44653.591913297911</v>
      </c>
      <c r="AK16" s="424">
        <v>50663.05191329791</v>
      </c>
      <c r="AL16" s="424">
        <v>44653.591913297911</v>
      </c>
      <c r="AM16" s="424">
        <v>40932.459253856417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7"/>
        <v>0</v>
      </c>
      <c r="L17" s="421">
        <f t="shared" si="8"/>
        <v>0</v>
      </c>
      <c r="M17" s="184"/>
      <c r="N17" s="200"/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7"/>
        <v>0.29235323903313976</v>
      </c>
      <c r="L18" s="421">
        <f t="shared" si="8"/>
        <v>716850</v>
      </c>
      <c r="M18" s="184"/>
      <c r="N18" s="200"/>
      <c r="O18" s="411">
        <v>19440</v>
      </c>
      <c r="P18" s="411">
        <v>29160</v>
      </c>
      <c r="Q18" s="411">
        <v>29160</v>
      </c>
      <c r="R18" s="411">
        <v>29160</v>
      </c>
      <c r="S18" s="411">
        <v>29160</v>
      </c>
      <c r="T18" s="411">
        <v>29160</v>
      </c>
      <c r="U18" s="411">
        <v>29160</v>
      </c>
      <c r="V18" s="411">
        <v>29160</v>
      </c>
      <c r="W18" s="411">
        <v>29160</v>
      </c>
      <c r="X18" s="411">
        <v>29160</v>
      </c>
      <c r="Y18" s="411">
        <v>29160</v>
      </c>
      <c r="Z18" s="411">
        <v>29160</v>
      </c>
      <c r="AA18" s="411">
        <v>29160</v>
      </c>
      <c r="AB18" s="411">
        <v>29160</v>
      </c>
      <c r="AC18" s="411">
        <v>29160</v>
      </c>
      <c r="AD18" s="411">
        <v>29160</v>
      </c>
      <c r="AE18" s="411">
        <v>29160</v>
      </c>
      <c r="AF18" s="411">
        <v>29160</v>
      </c>
      <c r="AG18" s="411">
        <v>29160</v>
      </c>
      <c r="AH18" s="411">
        <v>29160</v>
      </c>
      <c r="AI18" s="411">
        <v>29160</v>
      </c>
      <c r="AJ18" s="411">
        <v>29160</v>
      </c>
      <c r="AK18" s="411">
        <v>29160</v>
      </c>
      <c r="AL18" s="411">
        <v>29160</v>
      </c>
      <c r="AM18" s="411">
        <v>26730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7.9404583441099685E-2</v>
      </c>
      <c r="L19" s="421">
        <f t="shared" si="8"/>
        <v>194700</v>
      </c>
      <c r="M19" s="183"/>
      <c r="N19" s="1"/>
      <c r="O19" s="411">
        <v>5280</v>
      </c>
      <c r="P19" s="411">
        <v>7920</v>
      </c>
      <c r="Q19" s="411">
        <v>7920</v>
      </c>
      <c r="R19" s="411">
        <v>7920</v>
      </c>
      <c r="S19" s="411">
        <v>7920</v>
      </c>
      <c r="T19" s="411">
        <v>7920</v>
      </c>
      <c r="U19" s="411">
        <v>7920</v>
      </c>
      <c r="V19" s="411">
        <v>7920</v>
      </c>
      <c r="W19" s="411">
        <v>7920</v>
      </c>
      <c r="X19" s="411">
        <v>7920</v>
      </c>
      <c r="Y19" s="411">
        <v>7920</v>
      </c>
      <c r="Z19" s="411">
        <v>7920</v>
      </c>
      <c r="AA19" s="411">
        <v>7920</v>
      </c>
      <c r="AB19" s="411">
        <v>7920</v>
      </c>
      <c r="AC19" s="411">
        <v>7920</v>
      </c>
      <c r="AD19" s="411">
        <v>7920</v>
      </c>
      <c r="AE19" s="411">
        <v>7920</v>
      </c>
      <c r="AF19" s="411">
        <v>7920</v>
      </c>
      <c r="AG19" s="411">
        <v>7920</v>
      </c>
      <c r="AH19" s="411">
        <v>7920</v>
      </c>
      <c r="AI19" s="411">
        <v>7920</v>
      </c>
      <c r="AJ19" s="411">
        <v>7920</v>
      </c>
      <c r="AK19" s="411">
        <v>7920</v>
      </c>
      <c r="AL19" s="411">
        <v>7920</v>
      </c>
      <c r="AM19" s="411">
        <v>7260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8"/>
        <v>0</v>
      </c>
      <c r="M20" s="1"/>
      <c r="N20" s="1"/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393" t="s">
        <v>162</v>
      </c>
      <c r="C21" s="183"/>
      <c r="D21" s="183"/>
      <c r="E21" s="183"/>
      <c r="F21" s="183"/>
      <c r="G21" s="183"/>
      <c r="H21" s="183"/>
      <c r="I21" s="183"/>
      <c r="J21" s="183"/>
      <c r="K21" s="423"/>
      <c r="L21" s="597">
        <f t="shared" si="8"/>
        <v>421056.40584991738</v>
      </c>
      <c r="M21" s="1"/>
      <c r="N21" s="1"/>
      <c r="O21" s="425">
        <f>'Fluxo Rateio'!O12*$G$16</f>
        <v>16842.256233996686</v>
      </c>
      <c r="P21" s="425">
        <f>'Fluxo Rateio'!P12*$G$16</f>
        <v>16842.256233996686</v>
      </c>
      <c r="Q21" s="425">
        <f>'Fluxo Rateio'!Q12*$G$16</f>
        <v>16842.256233996686</v>
      </c>
      <c r="R21" s="425">
        <f>'Fluxo Rateio'!R12*$G$16</f>
        <v>16842.256233996686</v>
      </c>
      <c r="S21" s="425">
        <f>'Fluxo Rateio'!S12*$G$16</f>
        <v>16842.256233996686</v>
      </c>
      <c r="T21" s="425">
        <f>'Fluxo Rateio'!T12*$G$16</f>
        <v>16842.256233996686</v>
      </c>
      <c r="U21" s="425">
        <f>'Fluxo Rateio'!U12*$G$16</f>
        <v>16842.256233996686</v>
      </c>
      <c r="V21" s="425">
        <f>'Fluxo Rateio'!V12*$G$16</f>
        <v>16842.256233996686</v>
      </c>
      <c r="W21" s="425">
        <f>'Fluxo Rateio'!W12*$G$16</f>
        <v>16842.256233996686</v>
      </c>
      <c r="X21" s="425">
        <f>'Fluxo Rateio'!X12*$G$16</f>
        <v>16842.256233996686</v>
      </c>
      <c r="Y21" s="425">
        <f>'Fluxo Rateio'!Y12*$G$16</f>
        <v>16842.256233996686</v>
      </c>
      <c r="Z21" s="425">
        <f>'Fluxo Rateio'!Z12*$G$16</f>
        <v>16842.256233996686</v>
      </c>
      <c r="AA21" s="425">
        <f>'Fluxo Rateio'!AA12*$G$16</f>
        <v>16842.256233996686</v>
      </c>
      <c r="AB21" s="425">
        <f>'Fluxo Rateio'!AB12*$G$16</f>
        <v>16842.256233996686</v>
      </c>
      <c r="AC21" s="425">
        <f>'Fluxo Rateio'!AC12*$G$16</f>
        <v>16842.256233996686</v>
      </c>
      <c r="AD21" s="425">
        <f>'Fluxo Rateio'!AD12*$G$16</f>
        <v>16842.256233996686</v>
      </c>
      <c r="AE21" s="425">
        <f>'Fluxo Rateio'!AE12*$G$16</f>
        <v>16842.256233996686</v>
      </c>
      <c r="AF21" s="425">
        <f>'Fluxo Rateio'!AF12*$G$16</f>
        <v>16842.256233996686</v>
      </c>
      <c r="AG21" s="425">
        <f>'Fluxo Rateio'!AG12*$G$16</f>
        <v>16842.256233996686</v>
      </c>
      <c r="AH21" s="425">
        <f>'Fluxo Rateio'!AH12*$G$16</f>
        <v>16842.256233996686</v>
      </c>
      <c r="AI21" s="425">
        <f>'Fluxo Rateio'!AI12*$G$16</f>
        <v>16842.256233996686</v>
      </c>
      <c r="AJ21" s="425">
        <f>'Fluxo Rateio'!AJ12*$G$16</f>
        <v>16842.256233996686</v>
      </c>
      <c r="AK21" s="425">
        <f>'Fluxo Rateio'!AK12*$G$16</f>
        <v>16842.256233996686</v>
      </c>
      <c r="AL21" s="425">
        <f>'Fluxo Rateio'!AL12*$G$16</f>
        <v>16842.256233996686</v>
      </c>
      <c r="AM21" s="425">
        <f>'Fluxo Rateio'!AM12*$G$16</f>
        <v>16842.256233996686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611">
        <f t="shared" si="8"/>
        <v>396072.50469612953</v>
      </c>
      <c r="M22" s="1"/>
      <c r="N22" s="1"/>
      <c r="O22" s="612">
        <f>O75*$G$22</f>
        <v>5425.6507492620403</v>
      </c>
      <c r="P22" s="619">
        <f t="shared" ref="P22:AM22" si="9">P75*$G$22</f>
        <v>16276.952247786141</v>
      </c>
      <c r="Q22" s="612">
        <f t="shared" si="9"/>
        <v>16276.952247786141</v>
      </c>
      <c r="R22" s="612">
        <f t="shared" si="9"/>
        <v>16276.952247786141</v>
      </c>
      <c r="S22" s="612">
        <f t="shared" si="9"/>
        <v>16276.952247786141</v>
      </c>
      <c r="T22" s="612">
        <f t="shared" si="9"/>
        <v>16276.952247786141</v>
      </c>
      <c r="U22" s="612">
        <f t="shared" si="9"/>
        <v>16276.952247786141</v>
      </c>
      <c r="V22" s="612">
        <f t="shared" si="9"/>
        <v>16276.952247786141</v>
      </c>
      <c r="W22" s="612">
        <f t="shared" si="9"/>
        <v>16276.952247786141</v>
      </c>
      <c r="X22" s="612">
        <f t="shared" si="9"/>
        <v>16276.952247786141</v>
      </c>
      <c r="Y22" s="612">
        <f t="shared" si="9"/>
        <v>16276.952247786141</v>
      </c>
      <c r="Z22" s="612">
        <f t="shared" si="9"/>
        <v>16276.952247786141</v>
      </c>
      <c r="AA22" s="612">
        <f t="shared" si="9"/>
        <v>16276.952247786141</v>
      </c>
      <c r="AB22" s="612">
        <f t="shared" si="9"/>
        <v>16276.952247786141</v>
      </c>
      <c r="AC22" s="612">
        <f t="shared" si="9"/>
        <v>16276.952247786141</v>
      </c>
      <c r="AD22" s="612">
        <f t="shared" si="9"/>
        <v>16276.952247786141</v>
      </c>
      <c r="AE22" s="612">
        <f t="shared" si="9"/>
        <v>16276.952247786141</v>
      </c>
      <c r="AF22" s="612">
        <f t="shared" si="9"/>
        <v>16276.952247786141</v>
      </c>
      <c r="AG22" s="612">
        <f t="shared" si="9"/>
        <v>16276.952247786141</v>
      </c>
      <c r="AH22" s="612">
        <f t="shared" si="9"/>
        <v>16276.952247786141</v>
      </c>
      <c r="AI22" s="612">
        <f t="shared" si="9"/>
        <v>16276.952247786141</v>
      </c>
      <c r="AJ22" s="612">
        <f t="shared" si="9"/>
        <v>16276.952247786141</v>
      </c>
      <c r="AK22" s="612">
        <f t="shared" si="9"/>
        <v>16276.952247786141</v>
      </c>
      <c r="AL22" s="612">
        <f t="shared" si="9"/>
        <v>16276.952247786141</v>
      </c>
      <c r="AM22" s="612">
        <f t="shared" si="9"/>
        <v>16276.952247786141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609" t="s">
        <v>5363</v>
      </c>
      <c r="H23" s="599"/>
      <c r="I23" s="599"/>
      <c r="J23" s="599"/>
      <c r="K23" s="600"/>
      <c r="L23" s="611">
        <f t="shared" si="8"/>
        <v>84211.281169983456</v>
      </c>
      <c r="M23" s="1"/>
      <c r="N23" s="1"/>
      <c r="O23" s="604">
        <f>$G$16*'Fluxo Rateio'!O13</f>
        <v>3368.4512467993377</v>
      </c>
      <c r="P23" s="604">
        <f>$G$16*'Fluxo Rateio'!P13</f>
        <v>3368.4512467993377</v>
      </c>
      <c r="Q23" s="604">
        <f>$G$16*'Fluxo Rateio'!Q13</f>
        <v>3368.4512467993377</v>
      </c>
      <c r="R23" s="604">
        <f>$G$16*'Fluxo Rateio'!R13</f>
        <v>3368.4512467993377</v>
      </c>
      <c r="S23" s="604">
        <f>$G$16*'Fluxo Rateio'!S13</f>
        <v>3368.4512467993377</v>
      </c>
      <c r="T23" s="604">
        <f>$G$16*'Fluxo Rateio'!T13</f>
        <v>3368.4512467993377</v>
      </c>
      <c r="U23" s="604">
        <f>$G$16*'Fluxo Rateio'!U13</f>
        <v>3368.4512467993377</v>
      </c>
      <c r="V23" s="604">
        <f>$G$16*'Fluxo Rateio'!V13</f>
        <v>3368.4512467993377</v>
      </c>
      <c r="W23" s="604">
        <f>$G$16*'Fluxo Rateio'!W13</f>
        <v>3368.4512467993377</v>
      </c>
      <c r="X23" s="604">
        <f>$G$16*'Fluxo Rateio'!X13</f>
        <v>3368.4512467993377</v>
      </c>
      <c r="Y23" s="604">
        <f>$G$16*'Fluxo Rateio'!Y13</f>
        <v>3368.4512467993377</v>
      </c>
      <c r="Z23" s="604">
        <f>$G$16*'Fluxo Rateio'!Z13</f>
        <v>3368.4512467993377</v>
      </c>
      <c r="AA23" s="604">
        <f>$G$16*'Fluxo Rateio'!AA13</f>
        <v>3368.4512467993377</v>
      </c>
      <c r="AB23" s="604">
        <f>$G$16*'Fluxo Rateio'!AB13</f>
        <v>3368.4512467993377</v>
      </c>
      <c r="AC23" s="604">
        <f>$G$16*'Fluxo Rateio'!AC13</f>
        <v>3368.4512467993377</v>
      </c>
      <c r="AD23" s="604">
        <f>$G$16*'Fluxo Rateio'!AD13</f>
        <v>3368.4512467993377</v>
      </c>
      <c r="AE23" s="604">
        <f>$G$16*'Fluxo Rateio'!AE13</f>
        <v>3368.4512467993377</v>
      </c>
      <c r="AF23" s="604">
        <f>$G$16*'Fluxo Rateio'!AF13</f>
        <v>3368.4512467993377</v>
      </c>
      <c r="AG23" s="604">
        <f>$G$16*'Fluxo Rateio'!AG13</f>
        <v>3368.4512467993377</v>
      </c>
      <c r="AH23" s="604">
        <f>$G$16*'Fluxo Rateio'!AH13</f>
        <v>3368.4512467993377</v>
      </c>
      <c r="AI23" s="604">
        <f>$G$16*'Fluxo Rateio'!AI13</f>
        <v>3368.4512467993377</v>
      </c>
      <c r="AJ23" s="604">
        <f>$G$16*'Fluxo Rateio'!AJ13</f>
        <v>3368.4512467993377</v>
      </c>
      <c r="AK23" s="604">
        <f>$G$16*'Fluxo Rateio'!AK13</f>
        <v>3368.4512467993377</v>
      </c>
      <c r="AL23" s="604">
        <f>$G$16*'Fluxo Rateio'!AL13</f>
        <v>3368.4512467993377</v>
      </c>
      <c r="AM23" s="604">
        <f>$G$16*'Fluxo Rateio'!AM13</f>
        <v>3368.4512467993377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(SUM(O29:AM29))*(1+$C$325/100)</f>
        <v>2972866.2161122118</v>
      </c>
      <c r="M29" s="1"/>
      <c r="N29" s="1"/>
      <c r="O29" s="300">
        <f t="shared" ref="O29:AM29" si="10">(O30+O31)*(1+$C$325/100)</f>
        <v>930249.03240698786</v>
      </c>
      <c r="P29" s="300">
        <f t="shared" si="10"/>
        <v>0</v>
      </c>
      <c r="Q29" s="300">
        <f t="shared" si="10"/>
        <v>0</v>
      </c>
      <c r="R29" s="300">
        <f t="shared" si="10"/>
        <v>0</v>
      </c>
      <c r="S29" s="300">
        <f t="shared" si="10"/>
        <v>410575.7476647172</v>
      </c>
      <c r="T29" s="300">
        <f t="shared" si="10"/>
        <v>0</v>
      </c>
      <c r="U29" s="300">
        <f t="shared" si="10"/>
        <v>0</v>
      </c>
      <c r="V29" s="300">
        <f t="shared" si="10"/>
        <v>37556.889073990758</v>
      </c>
      <c r="W29" s="300">
        <f t="shared" si="10"/>
        <v>55670.453799383526</v>
      </c>
      <c r="X29" s="300">
        <f t="shared" si="10"/>
        <v>0</v>
      </c>
      <c r="Y29" s="300">
        <f t="shared" si="10"/>
        <v>407727.82318908576</v>
      </c>
      <c r="Z29" s="300">
        <f t="shared" si="10"/>
        <v>0</v>
      </c>
      <c r="AA29" s="300">
        <f t="shared" si="10"/>
        <v>179232.30624117795</v>
      </c>
      <c r="AB29" s="300">
        <f t="shared" si="10"/>
        <v>0</v>
      </c>
      <c r="AC29" s="300">
        <f t="shared" si="10"/>
        <v>0</v>
      </c>
      <c r="AD29" s="300">
        <f t="shared" si="10"/>
        <v>445243.83049311116</v>
      </c>
      <c r="AE29" s="300">
        <f t="shared" si="10"/>
        <v>9080.9027056661143</v>
      </c>
      <c r="AF29" s="300">
        <f t="shared" si="10"/>
        <v>46630.432863682727</v>
      </c>
      <c r="AG29" s="300">
        <f t="shared" si="10"/>
        <v>0</v>
      </c>
      <c r="AH29" s="300">
        <f t="shared" si="10"/>
        <v>0</v>
      </c>
      <c r="AI29" s="300">
        <f t="shared" si="10"/>
        <v>410534.86589475186</v>
      </c>
      <c r="AJ29" s="300">
        <f t="shared" si="10"/>
        <v>0</v>
      </c>
      <c r="AK29" s="300">
        <f t="shared" si="10"/>
        <v>37556.889073990758</v>
      </c>
      <c r="AL29" s="300">
        <f t="shared" si="10"/>
        <v>0</v>
      </c>
      <c r="AM29" s="300">
        <f t="shared" si="10"/>
        <v>2807.0427056661147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1368222.2796406744</v>
      </c>
      <c r="M30" s="1"/>
      <c r="N30" s="1"/>
      <c r="O30" s="414">
        <f>O32</f>
        <v>491912.98873807071</v>
      </c>
      <c r="P30" s="414">
        <f t="shared" ref="P30:AM30" si="11">P32</f>
        <v>0</v>
      </c>
      <c r="Q30" s="414">
        <f t="shared" si="11"/>
        <v>0</v>
      </c>
      <c r="R30" s="414">
        <f t="shared" si="11"/>
        <v>0</v>
      </c>
      <c r="S30" s="414">
        <f t="shared" si="11"/>
        <v>183996.58117647056</v>
      </c>
      <c r="T30" s="414">
        <f t="shared" si="11"/>
        <v>0</v>
      </c>
      <c r="U30" s="414">
        <f t="shared" si="11"/>
        <v>0</v>
      </c>
      <c r="V30" s="414">
        <f t="shared" si="11"/>
        <v>0</v>
      </c>
      <c r="W30" s="414">
        <f t="shared" si="11"/>
        <v>6273.86</v>
      </c>
      <c r="X30" s="414">
        <f t="shared" si="11"/>
        <v>0</v>
      </c>
      <c r="Y30" s="414">
        <f t="shared" si="11"/>
        <v>183996.58117647056</v>
      </c>
      <c r="Z30" s="414">
        <f t="shared" si="11"/>
        <v>0</v>
      </c>
      <c r="AA30" s="414">
        <f t="shared" si="11"/>
        <v>127775.2461967213</v>
      </c>
      <c r="AB30" s="414">
        <f t="shared" si="11"/>
        <v>0</v>
      </c>
      <c r="AC30" s="414">
        <f t="shared" si="11"/>
        <v>0</v>
      </c>
      <c r="AD30" s="414">
        <f t="shared" si="11"/>
        <v>183996.58117647056</v>
      </c>
      <c r="AE30" s="414">
        <f t="shared" si="11"/>
        <v>6273.86</v>
      </c>
      <c r="AF30" s="414">
        <f t="shared" si="11"/>
        <v>0</v>
      </c>
      <c r="AG30" s="414">
        <f t="shared" si="11"/>
        <v>0</v>
      </c>
      <c r="AH30" s="414">
        <f t="shared" si="11"/>
        <v>0</v>
      </c>
      <c r="AI30" s="414">
        <f t="shared" si="11"/>
        <v>183996.58117647056</v>
      </c>
      <c r="AJ30" s="414">
        <f t="shared" si="11"/>
        <v>0</v>
      </c>
      <c r="AK30" s="414">
        <f t="shared" si="11"/>
        <v>0</v>
      </c>
      <c r="AL30" s="414">
        <f t="shared" si="11"/>
        <v>0</v>
      </c>
      <c r="AM30" s="414">
        <f t="shared" si="11"/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1604643.9364715372</v>
      </c>
      <c r="M31" s="1"/>
      <c r="N31" s="1"/>
      <c r="O31" s="414">
        <f>'Fluxo Rateio'!O15*$G$34</f>
        <v>438336.04366891709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226579.16648824664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37556.889073990758</v>
      </c>
      <c r="W31" s="414">
        <f>'Fluxo Rateio'!W15*$G$34</f>
        <v>49396.593799383525</v>
      </c>
      <c r="X31" s="414">
        <f>'Fluxo Rateio'!X15*$G$34</f>
        <v>0</v>
      </c>
      <c r="Y31" s="414">
        <f>'Fluxo Rateio'!Y15*$G$34</f>
        <v>223731.2420126152</v>
      </c>
      <c r="Z31" s="414">
        <f>'Fluxo Rateio'!Z15*$G$34</f>
        <v>0</v>
      </c>
      <c r="AA31" s="414">
        <f>'Fluxo Rateio'!AA15*$G$34</f>
        <v>51457.060044456652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261247.24931664058</v>
      </c>
      <c r="AE31" s="414">
        <f>'Fluxo Rateio'!AE15*$G$34</f>
        <v>2807.0427056661147</v>
      </c>
      <c r="AF31" s="414">
        <f>'Fluxo Rateio'!AF15*$G$34</f>
        <v>46630.432863682727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226538.2847182813</v>
      </c>
      <c r="AJ31" s="414">
        <f>'Fluxo Rateio'!AJ15*$G$34</f>
        <v>0</v>
      </c>
      <c r="AK31" s="414">
        <f>'Fluxo Rateio'!AK15*$G$34</f>
        <v>37556.889073990758</v>
      </c>
      <c r="AL31" s="414">
        <f>'Fluxo Rateio'!AL15*$G$34</f>
        <v>0</v>
      </c>
      <c r="AM31" s="414">
        <f>'Fluxo Rateio'!AM15*$G$34</f>
        <v>2807.0427056661147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(L34+L35+L38+L36+L37+L39)*(1+$C$325/100)</f>
        <v>1368222.2796406744</v>
      </c>
      <c r="M32" s="1"/>
      <c r="N32" s="1"/>
      <c r="O32" s="92">
        <f t="shared" ref="O32:AM32" si="12">(O34+O35+O38+O36+O37+O39)*(1+$C$325/100)</f>
        <v>491912.98873807071</v>
      </c>
      <c r="P32" s="92">
        <f t="shared" si="12"/>
        <v>0</v>
      </c>
      <c r="Q32" s="92">
        <f t="shared" si="12"/>
        <v>0</v>
      </c>
      <c r="R32" s="92">
        <f t="shared" si="12"/>
        <v>0</v>
      </c>
      <c r="S32" s="92">
        <f t="shared" si="12"/>
        <v>183996.58117647056</v>
      </c>
      <c r="T32" s="92">
        <f t="shared" si="12"/>
        <v>0</v>
      </c>
      <c r="U32" s="92">
        <f t="shared" si="12"/>
        <v>0</v>
      </c>
      <c r="V32" s="92">
        <f t="shared" si="12"/>
        <v>0</v>
      </c>
      <c r="W32" s="92">
        <f t="shared" si="12"/>
        <v>6273.86</v>
      </c>
      <c r="X32" s="92">
        <f t="shared" si="12"/>
        <v>0</v>
      </c>
      <c r="Y32" s="92">
        <f t="shared" si="12"/>
        <v>183996.58117647056</v>
      </c>
      <c r="Z32" s="92">
        <f t="shared" si="12"/>
        <v>0</v>
      </c>
      <c r="AA32" s="92">
        <f t="shared" si="12"/>
        <v>127775.2461967213</v>
      </c>
      <c r="AB32" s="92">
        <f t="shared" si="12"/>
        <v>0</v>
      </c>
      <c r="AC32" s="92">
        <f t="shared" si="12"/>
        <v>0</v>
      </c>
      <c r="AD32" s="92">
        <f t="shared" si="12"/>
        <v>183996.58117647056</v>
      </c>
      <c r="AE32" s="92">
        <f t="shared" si="12"/>
        <v>6273.86</v>
      </c>
      <c r="AF32" s="92">
        <f t="shared" si="12"/>
        <v>0</v>
      </c>
      <c r="AG32" s="92">
        <f t="shared" si="12"/>
        <v>0</v>
      </c>
      <c r="AH32" s="92">
        <f t="shared" si="12"/>
        <v>0</v>
      </c>
      <c r="AI32" s="92">
        <f t="shared" si="12"/>
        <v>183996.58117647056</v>
      </c>
      <c r="AJ32" s="92">
        <f t="shared" si="12"/>
        <v>0</v>
      </c>
      <c r="AK32" s="92">
        <f t="shared" si="12"/>
        <v>0</v>
      </c>
      <c r="AL32" s="92">
        <f t="shared" si="12"/>
        <v>0</v>
      </c>
      <c r="AM32" s="92">
        <f t="shared" si="12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f>'Fluxo Rateio'!$F$33</f>
        <v>5.6140854113322293E-2</v>
      </c>
      <c r="H34" s="350"/>
      <c r="I34" s="401"/>
      <c r="J34" s="401"/>
      <c r="K34" s="402">
        <f>L34/$L$32</f>
        <v>0.15992199106269095</v>
      </c>
      <c r="L34" s="403">
        <f>SUM(O34:AM34)</f>
        <v>218808.83117647056</v>
      </c>
      <c r="M34" s="165"/>
      <c r="N34" s="165"/>
      <c r="O34" s="410">
        <v>218808.83117647056</v>
      </c>
      <c r="P34" s="410">
        <v>0</v>
      </c>
      <c r="Q34" s="410">
        <v>0</v>
      </c>
      <c r="R34" s="410">
        <v>0</v>
      </c>
      <c r="S34" s="410">
        <v>0</v>
      </c>
      <c r="T34" s="410">
        <v>0</v>
      </c>
      <c r="U34" s="410">
        <v>0</v>
      </c>
      <c r="V34" s="410">
        <v>0</v>
      </c>
      <c r="W34" s="410">
        <v>0</v>
      </c>
      <c r="X34" s="410">
        <v>0</v>
      </c>
      <c r="Y34" s="410">
        <v>0</v>
      </c>
      <c r="Z34" s="410">
        <v>0</v>
      </c>
      <c r="AA34" s="410">
        <v>0</v>
      </c>
      <c r="AB34" s="410">
        <v>0</v>
      </c>
      <c r="AC34" s="410">
        <v>0</v>
      </c>
      <c r="AD34" s="410">
        <v>0</v>
      </c>
      <c r="AE34" s="410">
        <v>0</v>
      </c>
      <c r="AF34" s="410">
        <v>0</v>
      </c>
      <c r="AG34" s="410">
        <v>0</v>
      </c>
      <c r="AH34" s="410">
        <v>0</v>
      </c>
      <c r="AI34" s="410">
        <v>0</v>
      </c>
      <c r="AJ34" s="410">
        <v>0</v>
      </c>
      <c r="AK34" s="410">
        <v>0</v>
      </c>
      <c r="AL34" s="410">
        <v>0</v>
      </c>
      <c r="AM34" s="410"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>L35/$L$32</f>
        <v>9.2630267817306502E-2</v>
      </c>
      <c r="L35" s="405">
        <f>SUM(O35:AM35)</f>
        <v>126738.79619672129</v>
      </c>
      <c r="M35" s="1"/>
      <c r="N35" s="1"/>
      <c r="O35" s="411">
        <v>126738.79619672129</v>
      </c>
      <c r="P35" s="411">
        <v>0</v>
      </c>
      <c r="Q35" s="411">
        <v>0</v>
      </c>
      <c r="R35" s="411">
        <v>0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>L36/$L$32</f>
        <v>1.8696669671771601E-3</v>
      </c>
      <c r="L36" s="405">
        <f t="shared" ref="L36:L39" si="13">SUM(O36:AM36)</f>
        <v>2558.12</v>
      </c>
      <c r="M36" s="1"/>
      <c r="N36" s="1"/>
      <c r="O36" s="411">
        <v>2558.12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>L37/$L$32</f>
        <v>0.10510517443309418</v>
      </c>
      <c r="L37" s="405">
        <f t="shared" si="13"/>
        <v>143807.24136487884</v>
      </c>
      <c r="M37" s="1"/>
      <c r="N37" s="1"/>
      <c r="O37" s="411">
        <v>143807.24136487884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>
        <v>0</v>
      </c>
      <c r="X37" s="411">
        <v>0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0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>L38/$L$32</f>
        <v>0</v>
      </c>
      <c r="L38" s="405">
        <f t="shared" si="13"/>
        <v>0</v>
      </c>
      <c r="M38" s="1"/>
      <c r="N38" s="1"/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408"/>
      <c r="L39" s="409">
        <f t="shared" si="13"/>
        <v>876309.29090260365</v>
      </c>
      <c r="M39" s="1"/>
      <c r="N39" s="1"/>
      <c r="O39" s="412">
        <v>0</v>
      </c>
      <c r="P39" s="412">
        <v>0</v>
      </c>
      <c r="Q39" s="412">
        <v>0</v>
      </c>
      <c r="R39" s="412">
        <v>0</v>
      </c>
      <c r="S39" s="412">
        <v>183996.58117647056</v>
      </c>
      <c r="T39" s="412">
        <v>0</v>
      </c>
      <c r="U39" s="412">
        <v>0</v>
      </c>
      <c r="V39" s="412">
        <v>0</v>
      </c>
      <c r="W39" s="412">
        <v>6273.86</v>
      </c>
      <c r="X39" s="412">
        <v>0</v>
      </c>
      <c r="Y39" s="412">
        <v>183996.58117647056</v>
      </c>
      <c r="Z39" s="412">
        <v>0</v>
      </c>
      <c r="AA39" s="412">
        <v>127775.2461967213</v>
      </c>
      <c r="AB39" s="412">
        <v>0</v>
      </c>
      <c r="AC39" s="412">
        <v>0</v>
      </c>
      <c r="AD39" s="412">
        <v>183996.58117647056</v>
      </c>
      <c r="AE39" s="412">
        <v>6273.86</v>
      </c>
      <c r="AF39" s="412">
        <v>0</v>
      </c>
      <c r="AG39" s="412">
        <v>0</v>
      </c>
      <c r="AH39" s="412">
        <v>0</v>
      </c>
      <c r="AI39" s="412">
        <v>183996.58117647056</v>
      </c>
      <c r="AJ39" s="412">
        <v>0</v>
      </c>
      <c r="AK39" s="412">
        <v>0</v>
      </c>
      <c r="AL39" s="412">
        <v>0</v>
      </c>
      <c r="AM39" s="412"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33684.512467993372</v>
      </c>
      <c r="M41" s="1"/>
      <c r="N41" s="1"/>
      <c r="O41" s="15">
        <f t="shared" ref="O41:AM41" si="14">SUM(O42:O47)</f>
        <v>33684.512467993372</v>
      </c>
      <c r="P41" s="15">
        <f t="shared" si="14"/>
        <v>0</v>
      </c>
      <c r="Q41" s="15">
        <f t="shared" si="14"/>
        <v>0</v>
      </c>
      <c r="R41" s="15">
        <f t="shared" si="14"/>
        <v>0</v>
      </c>
      <c r="S41" s="15">
        <f t="shared" si="14"/>
        <v>0</v>
      </c>
      <c r="T41" s="15">
        <f t="shared" si="14"/>
        <v>0</v>
      </c>
      <c r="U41" s="15">
        <f t="shared" si="14"/>
        <v>0</v>
      </c>
      <c r="V41" s="15">
        <f t="shared" si="14"/>
        <v>0</v>
      </c>
      <c r="W41" s="15">
        <f t="shared" si="14"/>
        <v>0</v>
      </c>
      <c r="X41" s="15">
        <f t="shared" si="14"/>
        <v>0</v>
      </c>
      <c r="Y41" s="15">
        <f t="shared" si="14"/>
        <v>0</v>
      </c>
      <c r="Z41" s="15">
        <f t="shared" si="14"/>
        <v>0</v>
      </c>
      <c r="AA41" s="15">
        <f t="shared" si="14"/>
        <v>0</v>
      </c>
      <c r="AB41" s="15">
        <f t="shared" si="14"/>
        <v>0</v>
      </c>
      <c r="AC41" s="15">
        <f t="shared" si="14"/>
        <v>0</v>
      </c>
      <c r="AD41" s="15">
        <f t="shared" si="14"/>
        <v>0</v>
      </c>
      <c r="AE41" s="15">
        <f t="shared" si="14"/>
        <v>0</v>
      </c>
      <c r="AF41" s="15">
        <f t="shared" si="14"/>
        <v>0</v>
      </c>
      <c r="AG41" s="15">
        <f t="shared" si="14"/>
        <v>0</v>
      </c>
      <c r="AH41" s="15">
        <f t="shared" si="14"/>
        <v>0</v>
      </c>
      <c r="AI41" s="15">
        <f t="shared" si="14"/>
        <v>0</v>
      </c>
      <c r="AJ41" s="15">
        <f t="shared" si="14"/>
        <v>0</v>
      </c>
      <c r="AK41" s="15">
        <f t="shared" si="14"/>
        <v>0</v>
      </c>
      <c r="AL41" s="15">
        <f t="shared" si="14"/>
        <v>0</v>
      </c>
      <c r="AM41" s="15">
        <f t="shared" si="14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5">SUM(O42:AV42)</f>
        <v>33684.512467993372</v>
      </c>
      <c r="M42" s="1"/>
      <c r="N42" s="1"/>
      <c r="O42" s="44">
        <f>'Fluxo Rateio'!O24*$G$34</f>
        <v>33684.512467993372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5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5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5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5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5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 t="shared" ref="O49:AM49" si="16">O50+O59</f>
        <v>0</v>
      </c>
      <c r="P49" s="13">
        <f t="shared" si="16"/>
        <v>0</v>
      </c>
      <c r="Q49" s="13">
        <f t="shared" si="16"/>
        <v>0</v>
      </c>
      <c r="R49" s="13">
        <f t="shared" si="16"/>
        <v>0</v>
      </c>
      <c r="S49" s="13">
        <f t="shared" si="16"/>
        <v>0</v>
      </c>
      <c r="T49" s="13">
        <f t="shared" si="16"/>
        <v>0</v>
      </c>
      <c r="U49" s="13">
        <f t="shared" si="16"/>
        <v>0</v>
      </c>
      <c r="V49" s="13">
        <f t="shared" si="16"/>
        <v>0</v>
      </c>
      <c r="W49" s="13">
        <f t="shared" si="16"/>
        <v>0</v>
      </c>
      <c r="X49" s="13">
        <f t="shared" si="16"/>
        <v>0</v>
      </c>
      <c r="Y49" s="13">
        <f t="shared" si="16"/>
        <v>0</v>
      </c>
      <c r="Z49" s="13">
        <f t="shared" si="16"/>
        <v>0</v>
      </c>
      <c r="AA49" s="13">
        <f t="shared" si="16"/>
        <v>0</v>
      </c>
      <c r="AB49" s="13">
        <f t="shared" si="16"/>
        <v>0</v>
      </c>
      <c r="AC49" s="13">
        <f t="shared" si="16"/>
        <v>0</v>
      </c>
      <c r="AD49" s="13">
        <f t="shared" si="16"/>
        <v>0</v>
      </c>
      <c r="AE49" s="13">
        <f t="shared" si="16"/>
        <v>0</v>
      </c>
      <c r="AF49" s="13">
        <f t="shared" si="16"/>
        <v>0</v>
      </c>
      <c r="AG49" s="13">
        <f t="shared" si="16"/>
        <v>0</v>
      </c>
      <c r="AH49" s="13">
        <f t="shared" si="16"/>
        <v>0</v>
      </c>
      <c r="AI49" s="13">
        <f t="shared" si="16"/>
        <v>0</v>
      </c>
      <c r="AJ49" s="13">
        <f t="shared" si="16"/>
        <v>0</v>
      </c>
      <c r="AK49" s="13">
        <f t="shared" si="16"/>
        <v>0</v>
      </c>
      <c r="AL49" s="13">
        <f t="shared" si="16"/>
        <v>0</v>
      </c>
      <c r="AM49" s="13">
        <f t="shared" si="16"/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SUM(O50:AM50)</f>
        <v>0</v>
      </c>
      <c r="M50" s="1"/>
      <c r="N50" s="1"/>
      <c r="O50" s="15">
        <f>'Fluxo Rateio'!O26*$G$16</f>
        <v>0</v>
      </c>
      <c r="P50" s="15">
        <f>'Fluxo Rateio'!P26*$G$16</f>
        <v>0</v>
      </c>
      <c r="Q50" s="15">
        <f>'Fluxo Rateio'!Q26*$G$16</f>
        <v>0</v>
      </c>
      <c r="R50" s="15">
        <f>'Fluxo Rateio'!R26*$G$16</f>
        <v>0</v>
      </c>
      <c r="S50" s="15">
        <f>'Fluxo Rateio'!S26*$G$16</f>
        <v>0</v>
      </c>
      <c r="T50" s="15">
        <f>'Fluxo Rateio'!T26*$G$16</f>
        <v>0</v>
      </c>
      <c r="U50" s="15">
        <f>'Fluxo Rateio'!U26*$G$16</f>
        <v>0</v>
      </c>
      <c r="V50" s="15">
        <f>'Fluxo Rateio'!V26*$G$16</f>
        <v>0</v>
      </c>
      <c r="W50" s="15">
        <f>'Fluxo Rateio'!W26*$G$16</f>
        <v>0</v>
      </c>
      <c r="X50" s="15">
        <f>'Fluxo Rateio'!X26*$G$16</f>
        <v>0</v>
      </c>
      <c r="Y50" s="15">
        <f>'Fluxo Rateio'!Y26*$G$16</f>
        <v>0</v>
      </c>
      <c r="Z50" s="15">
        <f>'Fluxo Rateio'!Z26*$G$16</f>
        <v>0</v>
      </c>
      <c r="AA50" s="15">
        <f>'Fluxo Rateio'!AA26*$G$16</f>
        <v>0</v>
      </c>
      <c r="AB50" s="15">
        <f>'Fluxo Rateio'!AB26*$G$16</f>
        <v>0</v>
      </c>
      <c r="AC50" s="15">
        <f>'Fluxo Rateio'!AC26*$G$16</f>
        <v>0</v>
      </c>
      <c r="AD50" s="15">
        <f>'Fluxo Rateio'!AD26*$G$16</f>
        <v>0</v>
      </c>
      <c r="AE50" s="15">
        <f>'Fluxo Rateio'!AE26*$G$16</f>
        <v>0</v>
      </c>
      <c r="AF50" s="15">
        <f>'Fluxo Rateio'!AF26*$G$16</f>
        <v>0</v>
      </c>
      <c r="AG50" s="15">
        <f>'Fluxo Rateio'!AG26*$G$16</f>
        <v>0</v>
      </c>
      <c r="AH50" s="15">
        <f>'Fluxo Rateio'!AH26*$G$16</f>
        <v>0</v>
      </c>
      <c r="AI50" s="15">
        <f>'Fluxo Rateio'!AI26*$G$16</f>
        <v>0</v>
      </c>
      <c r="AJ50" s="15">
        <f>'Fluxo Rateio'!AJ26*$G$16</f>
        <v>0</v>
      </c>
      <c r="AK50" s="15">
        <f>'Fluxo Rateio'!AK26*$G$16</f>
        <v>0</v>
      </c>
      <c r="AL50" s="15">
        <f>'Fluxo Rateio'!AL26*$G$16</f>
        <v>0</v>
      </c>
      <c r="AM50" s="15">
        <f>'Fluxo Rateio'!AM26*$G$16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7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7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7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7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7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7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7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8">SUM(O60:AV60)</f>
        <v>2972866.2161122118</v>
      </c>
      <c r="M60" s="1"/>
      <c r="N60" s="1"/>
      <c r="O60" s="52">
        <f t="shared" ref="O60:AM60" si="19">O29</f>
        <v>930249.03240698786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410575.7476647172</v>
      </c>
      <c r="T60" s="52">
        <f t="shared" si="19"/>
        <v>0</v>
      </c>
      <c r="U60" s="52">
        <f t="shared" si="19"/>
        <v>0</v>
      </c>
      <c r="V60" s="52">
        <f t="shared" si="19"/>
        <v>37556.889073990758</v>
      </c>
      <c r="W60" s="52">
        <f t="shared" si="19"/>
        <v>55670.453799383526</v>
      </c>
      <c r="X60" s="52">
        <f t="shared" si="19"/>
        <v>0</v>
      </c>
      <c r="Y60" s="52">
        <f t="shared" si="19"/>
        <v>407727.82318908576</v>
      </c>
      <c r="Z60" s="52">
        <f t="shared" si="19"/>
        <v>0</v>
      </c>
      <c r="AA60" s="52">
        <f t="shared" si="19"/>
        <v>179232.30624117795</v>
      </c>
      <c r="AB60" s="52">
        <f t="shared" si="19"/>
        <v>0</v>
      </c>
      <c r="AC60" s="52">
        <f t="shared" si="19"/>
        <v>0</v>
      </c>
      <c r="AD60" s="52">
        <f t="shared" si="19"/>
        <v>445243.83049311116</v>
      </c>
      <c r="AE60" s="52">
        <f t="shared" si="19"/>
        <v>9080.9027056661143</v>
      </c>
      <c r="AF60" s="52">
        <f t="shared" si="19"/>
        <v>46630.432863682727</v>
      </c>
      <c r="AG60" s="52">
        <f t="shared" si="19"/>
        <v>0</v>
      </c>
      <c r="AH60" s="52">
        <f t="shared" si="19"/>
        <v>0</v>
      </c>
      <c r="AI60" s="52">
        <f t="shared" si="19"/>
        <v>410534.86589475186</v>
      </c>
      <c r="AJ60" s="52">
        <f t="shared" si="19"/>
        <v>0</v>
      </c>
      <c r="AK60" s="52">
        <f t="shared" si="19"/>
        <v>37556.889073990758</v>
      </c>
      <c r="AL60" s="52">
        <f t="shared" si="19"/>
        <v>0</v>
      </c>
      <c r="AM60" s="52">
        <f t="shared" si="19"/>
        <v>2807.0427056661147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8"/>
        <v>0</v>
      </c>
      <c r="M61" s="1"/>
      <c r="N61" s="1"/>
      <c r="O61" s="54">
        <f t="shared" ref="O61:AM61" si="20">O49</f>
        <v>0</v>
      </c>
      <c r="P61" s="54">
        <f t="shared" si="20"/>
        <v>0</v>
      </c>
      <c r="Q61" s="54">
        <f t="shared" si="20"/>
        <v>0</v>
      </c>
      <c r="R61" s="54">
        <f t="shared" si="20"/>
        <v>0</v>
      </c>
      <c r="S61" s="54">
        <f t="shared" si="20"/>
        <v>0</v>
      </c>
      <c r="T61" s="54">
        <f t="shared" si="20"/>
        <v>0</v>
      </c>
      <c r="U61" s="54">
        <f t="shared" si="20"/>
        <v>0</v>
      </c>
      <c r="V61" s="54">
        <f t="shared" si="20"/>
        <v>0</v>
      </c>
      <c r="W61" s="54">
        <f t="shared" si="20"/>
        <v>0</v>
      </c>
      <c r="X61" s="54">
        <f t="shared" si="20"/>
        <v>0</v>
      </c>
      <c r="Y61" s="54">
        <f t="shared" si="20"/>
        <v>0</v>
      </c>
      <c r="Z61" s="54">
        <f t="shared" si="20"/>
        <v>0</v>
      </c>
      <c r="AA61" s="54">
        <f t="shared" si="20"/>
        <v>0</v>
      </c>
      <c r="AB61" s="54">
        <f t="shared" si="20"/>
        <v>0</v>
      </c>
      <c r="AC61" s="54">
        <f t="shared" si="20"/>
        <v>0</v>
      </c>
      <c r="AD61" s="54">
        <f t="shared" si="20"/>
        <v>0</v>
      </c>
      <c r="AE61" s="54">
        <f t="shared" si="20"/>
        <v>0</v>
      </c>
      <c r="AF61" s="54">
        <f t="shared" si="20"/>
        <v>0</v>
      </c>
      <c r="AG61" s="54">
        <f t="shared" si="20"/>
        <v>0</v>
      </c>
      <c r="AH61" s="54">
        <f t="shared" si="20"/>
        <v>0</v>
      </c>
      <c r="AI61" s="54">
        <f t="shared" si="20"/>
        <v>0</v>
      </c>
      <c r="AJ61" s="54">
        <f t="shared" si="20"/>
        <v>0</v>
      </c>
      <c r="AK61" s="54">
        <f t="shared" si="20"/>
        <v>0</v>
      </c>
      <c r="AL61" s="54">
        <f t="shared" si="20"/>
        <v>0</v>
      </c>
      <c r="AM61" s="54">
        <f t="shared" si="20"/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8"/>
        <v>11316357.277032264</v>
      </c>
      <c r="M62" s="1"/>
      <c r="N62" s="1"/>
      <c r="O62" s="54">
        <f t="shared" ref="O62:AM62" si="21">O75</f>
        <v>155018.59283605829</v>
      </c>
      <c r="P62" s="54">
        <f t="shared" si="21"/>
        <v>465055.7785081754</v>
      </c>
      <c r="Q62" s="54">
        <f t="shared" si="21"/>
        <v>465055.7785081754</v>
      </c>
      <c r="R62" s="54">
        <f t="shared" si="21"/>
        <v>465055.7785081754</v>
      </c>
      <c r="S62" s="54">
        <f t="shared" si="21"/>
        <v>465055.7785081754</v>
      </c>
      <c r="T62" s="54">
        <f t="shared" si="21"/>
        <v>465055.7785081754</v>
      </c>
      <c r="U62" s="54">
        <f t="shared" si="21"/>
        <v>465055.7785081754</v>
      </c>
      <c r="V62" s="54">
        <f t="shared" si="21"/>
        <v>465055.7785081754</v>
      </c>
      <c r="W62" s="54">
        <f t="shared" si="21"/>
        <v>465055.7785081754</v>
      </c>
      <c r="X62" s="54">
        <f t="shared" si="21"/>
        <v>465055.7785081754</v>
      </c>
      <c r="Y62" s="54">
        <f t="shared" si="21"/>
        <v>465055.7785081754</v>
      </c>
      <c r="Z62" s="54">
        <f t="shared" si="21"/>
        <v>465055.7785081754</v>
      </c>
      <c r="AA62" s="54">
        <f t="shared" si="21"/>
        <v>465055.7785081754</v>
      </c>
      <c r="AB62" s="54">
        <f t="shared" si="21"/>
        <v>465055.7785081754</v>
      </c>
      <c r="AC62" s="54">
        <f t="shared" si="21"/>
        <v>465055.7785081754</v>
      </c>
      <c r="AD62" s="54">
        <f t="shared" si="21"/>
        <v>465055.7785081754</v>
      </c>
      <c r="AE62" s="54">
        <f t="shared" si="21"/>
        <v>465055.7785081754</v>
      </c>
      <c r="AF62" s="54">
        <f t="shared" si="21"/>
        <v>465055.7785081754</v>
      </c>
      <c r="AG62" s="54">
        <f t="shared" si="21"/>
        <v>465055.7785081754</v>
      </c>
      <c r="AH62" s="54">
        <f t="shared" si="21"/>
        <v>465055.7785081754</v>
      </c>
      <c r="AI62" s="54">
        <f t="shared" si="21"/>
        <v>465055.7785081754</v>
      </c>
      <c r="AJ62" s="54">
        <f t="shared" si="21"/>
        <v>465055.7785081754</v>
      </c>
      <c r="AK62" s="54">
        <f t="shared" si="21"/>
        <v>465055.7785081754</v>
      </c>
      <c r="AL62" s="54">
        <f t="shared" si="21"/>
        <v>465055.7785081754</v>
      </c>
      <c r="AM62" s="54">
        <f t="shared" si="21"/>
        <v>465055.7785081754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 t="s">
        <v>34</v>
      </c>
      <c r="H63" s="57">
        <v>0.32578942</v>
      </c>
      <c r="I63" s="55"/>
      <c r="J63" s="55"/>
      <c r="K63" s="58"/>
      <c r="L63" s="59">
        <f>SUM(O63:AV63)</f>
        <v>3686749.4737971225</v>
      </c>
      <c r="M63" s="1"/>
      <c r="N63" s="1"/>
      <c r="O63" s="59">
        <f t="shared" ref="O63:AM63" si="22">$H63*O62</f>
        <v>50503.417449275585</v>
      </c>
      <c r="P63" s="59">
        <f t="shared" si="22"/>
        <v>151510.25234782693</v>
      </c>
      <c r="Q63" s="59">
        <f t="shared" si="22"/>
        <v>151510.25234782693</v>
      </c>
      <c r="R63" s="59">
        <f t="shared" si="22"/>
        <v>151510.25234782693</v>
      </c>
      <c r="S63" s="59">
        <f t="shared" si="22"/>
        <v>151510.25234782693</v>
      </c>
      <c r="T63" s="59">
        <f t="shared" si="22"/>
        <v>151510.25234782693</v>
      </c>
      <c r="U63" s="59">
        <f t="shared" si="22"/>
        <v>151510.25234782693</v>
      </c>
      <c r="V63" s="59">
        <f t="shared" si="22"/>
        <v>151510.25234782693</v>
      </c>
      <c r="W63" s="59">
        <f t="shared" si="22"/>
        <v>151510.25234782693</v>
      </c>
      <c r="X63" s="59">
        <f t="shared" si="22"/>
        <v>151510.25234782693</v>
      </c>
      <c r="Y63" s="59">
        <f t="shared" si="22"/>
        <v>151510.25234782693</v>
      </c>
      <c r="Z63" s="59">
        <f t="shared" si="22"/>
        <v>151510.25234782693</v>
      </c>
      <c r="AA63" s="59">
        <f t="shared" si="22"/>
        <v>151510.25234782693</v>
      </c>
      <c r="AB63" s="59">
        <f t="shared" si="22"/>
        <v>151510.25234782693</v>
      </c>
      <c r="AC63" s="59">
        <f t="shared" si="22"/>
        <v>151510.25234782693</v>
      </c>
      <c r="AD63" s="59">
        <f t="shared" si="22"/>
        <v>151510.25234782693</v>
      </c>
      <c r="AE63" s="59">
        <f t="shared" si="22"/>
        <v>151510.25234782693</v>
      </c>
      <c r="AF63" s="59">
        <f t="shared" si="22"/>
        <v>151510.25234782693</v>
      </c>
      <c r="AG63" s="59">
        <f t="shared" si="22"/>
        <v>151510.25234782693</v>
      </c>
      <c r="AH63" s="59">
        <f t="shared" si="22"/>
        <v>151510.25234782693</v>
      </c>
      <c r="AI63" s="59">
        <f t="shared" si="22"/>
        <v>151510.25234782693</v>
      </c>
      <c r="AJ63" s="59">
        <f t="shared" si="22"/>
        <v>151510.25234782693</v>
      </c>
      <c r="AK63" s="59">
        <f t="shared" si="22"/>
        <v>151510.25234782693</v>
      </c>
      <c r="AL63" s="59">
        <f t="shared" si="22"/>
        <v>151510.25234782693</v>
      </c>
      <c r="AM63" s="59">
        <f t="shared" si="22"/>
        <v>151510.25234782693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61"/>
      <c r="I64" s="61"/>
      <c r="J64" s="61"/>
      <c r="K64" s="61"/>
      <c r="L64" s="62">
        <v>0</v>
      </c>
      <c r="M64" s="1"/>
      <c r="N64" s="1"/>
      <c r="O64" s="62">
        <v>0</v>
      </c>
      <c r="P64" s="62">
        <f t="shared" ref="P64:AM64" si="23">O69</f>
        <v>-879745.61495771224</v>
      </c>
      <c r="Q64" s="62">
        <f t="shared" si="23"/>
        <v>-263179.58410170989</v>
      </c>
      <c r="R64" s="62">
        <f t="shared" si="23"/>
        <v>-137808.56069834126</v>
      </c>
      <c r="S64" s="62">
        <f t="shared" si="23"/>
        <v>14.423577779583866</v>
      </c>
      <c r="T64" s="62">
        <f t="shared" si="23"/>
        <v>-259049.63917661514</v>
      </c>
      <c r="U64" s="62">
        <f t="shared" si="23"/>
        <v>-133268.42599240344</v>
      </c>
      <c r="V64" s="62">
        <f t="shared" si="23"/>
        <v>5005.4884762027068</v>
      </c>
      <c r="W64" s="62">
        <f t="shared" si="23"/>
        <v>119456.00129036092</v>
      </c>
      <c r="X64" s="62">
        <f t="shared" si="23"/>
        <v>227160.2754863968</v>
      </c>
      <c r="Y64" s="62">
        <f t="shared" si="23"/>
        <v>401232.28720584122</v>
      </c>
      <c r="Z64" s="62">
        <f t="shared" si="23"/>
        <v>184865.46182031243</v>
      </c>
      <c r="AA64" s="62">
        <f t="shared" si="23"/>
        <v>354736.71525770973</v>
      </c>
      <c r="AB64" s="62">
        <f t="shared" si="23"/>
        <v>362247.42551198683</v>
      </c>
      <c r="AC64" s="62">
        <f t="shared" si="23"/>
        <v>549736.41238938516</v>
      </c>
      <c r="AD64" s="62">
        <f t="shared" si="23"/>
        <v>755846.97118422703</v>
      </c>
      <c r="AE64" s="62">
        <f t="shared" si="23"/>
        <v>537184.78238776245</v>
      </c>
      <c r="AF64" s="62">
        <f t="shared" si="23"/>
        <v>732967.79948950151</v>
      </c>
      <c r="AG64" s="62">
        <f t="shared" si="23"/>
        <v>910646.62876449456</v>
      </c>
      <c r="AH64" s="62">
        <f t="shared" si="23"/>
        <v>1152603.1092953365</v>
      </c>
      <c r="AI64" s="62">
        <f t="shared" si="23"/>
        <v>1418590.9213626962</v>
      </c>
      <c r="AJ64" s="62">
        <f t="shared" si="23"/>
        <v>1300462.012163792</v>
      </c>
      <c r="AK64" s="62">
        <f t="shared" si="23"/>
        <v>1581135.3011717238</v>
      </c>
      <c r="AL64" s="62">
        <f t="shared" si="23"/>
        <v>1852128.4202858922</v>
      </c>
      <c r="AM64" s="62">
        <f t="shared" si="23"/>
        <v>2187593.7046231334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24">SUM(O65:AV65)</f>
        <v>-2972866.2161122118</v>
      </c>
      <c r="M65" s="1"/>
      <c r="N65" s="1"/>
      <c r="O65" s="54">
        <f t="shared" ref="O65:AM65" si="25">-O60</f>
        <v>-930249.03240698786</v>
      </c>
      <c r="P65" s="54">
        <f t="shared" si="25"/>
        <v>0</v>
      </c>
      <c r="Q65" s="54">
        <f t="shared" si="25"/>
        <v>0</v>
      </c>
      <c r="R65" s="54">
        <f t="shared" si="25"/>
        <v>0</v>
      </c>
      <c r="S65" s="54">
        <f t="shared" si="25"/>
        <v>-410575.7476647172</v>
      </c>
      <c r="T65" s="54">
        <f t="shared" si="25"/>
        <v>0</v>
      </c>
      <c r="U65" s="54">
        <f t="shared" si="25"/>
        <v>0</v>
      </c>
      <c r="V65" s="54">
        <f t="shared" si="25"/>
        <v>-37556.889073990758</v>
      </c>
      <c r="W65" s="54">
        <f t="shared" si="25"/>
        <v>-55670.453799383526</v>
      </c>
      <c r="X65" s="54">
        <f t="shared" si="25"/>
        <v>0</v>
      </c>
      <c r="Y65" s="54">
        <f t="shared" si="25"/>
        <v>-407727.82318908576</v>
      </c>
      <c r="Z65" s="54">
        <f t="shared" si="25"/>
        <v>0</v>
      </c>
      <c r="AA65" s="54">
        <f t="shared" si="25"/>
        <v>-179232.30624117795</v>
      </c>
      <c r="AB65" s="54">
        <f t="shared" si="25"/>
        <v>0</v>
      </c>
      <c r="AC65" s="54">
        <f t="shared" si="25"/>
        <v>0</v>
      </c>
      <c r="AD65" s="54">
        <f t="shared" si="25"/>
        <v>-445243.83049311116</v>
      </c>
      <c r="AE65" s="54">
        <f t="shared" si="25"/>
        <v>-9080.9027056661143</v>
      </c>
      <c r="AF65" s="54">
        <f t="shared" si="25"/>
        <v>-46630.432863682727</v>
      </c>
      <c r="AG65" s="54">
        <f t="shared" si="25"/>
        <v>0</v>
      </c>
      <c r="AH65" s="54">
        <f t="shared" si="25"/>
        <v>0</v>
      </c>
      <c r="AI65" s="54">
        <f t="shared" si="25"/>
        <v>-410534.86589475186</v>
      </c>
      <c r="AJ65" s="54">
        <f t="shared" si="25"/>
        <v>0</v>
      </c>
      <c r="AK65" s="54">
        <f t="shared" si="25"/>
        <v>-37556.889073990758</v>
      </c>
      <c r="AL65" s="54">
        <f t="shared" si="25"/>
        <v>0</v>
      </c>
      <c r="AM65" s="54">
        <f t="shared" si="25"/>
        <v>-2807.0427056661147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24"/>
        <v>0</v>
      </c>
      <c r="M66" s="1"/>
      <c r="N66" s="1"/>
      <c r="O66" s="54">
        <f t="shared" ref="O66:AM66" si="26">O61</f>
        <v>0</v>
      </c>
      <c r="P66" s="54">
        <f t="shared" si="26"/>
        <v>0</v>
      </c>
      <c r="Q66" s="54">
        <f t="shared" si="26"/>
        <v>0</v>
      </c>
      <c r="R66" s="54">
        <f t="shared" si="26"/>
        <v>0</v>
      </c>
      <c r="S66" s="54">
        <f t="shared" si="26"/>
        <v>0</v>
      </c>
      <c r="T66" s="54">
        <f t="shared" si="26"/>
        <v>0</v>
      </c>
      <c r="U66" s="54">
        <f t="shared" si="26"/>
        <v>0</v>
      </c>
      <c r="V66" s="54">
        <f t="shared" si="26"/>
        <v>0</v>
      </c>
      <c r="W66" s="54">
        <f t="shared" si="26"/>
        <v>0</v>
      </c>
      <c r="X66" s="54">
        <f t="shared" si="26"/>
        <v>0</v>
      </c>
      <c r="Y66" s="54">
        <f t="shared" si="26"/>
        <v>0</v>
      </c>
      <c r="Z66" s="54">
        <f t="shared" si="26"/>
        <v>0</v>
      </c>
      <c r="AA66" s="54">
        <f t="shared" si="26"/>
        <v>0</v>
      </c>
      <c r="AB66" s="54">
        <f t="shared" si="26"/>
        <v>0</v>
      </c>
      <c r="AC66" s="54">
        <f t="shared" si="26"/>
        <v>0</v>
      </c>
      <c r="AD66" s="54">
        <f t="shared" si="26"/>
        <v>0</v>
      </c>
      <c r="AE66" s="54">
        <f t="shared" si="26"/>
        <v>0</v>
      </c>
      <c r="AF66" s="54">
        <f t="shared" si="26"/>
        <v>0</v>
      </c>
      <c r="AG66" s="54">
        <f t="shared" si="26"/>
        <v>0</v>
      </c>
      <c r="AH66" s="54">
        <f t="shared" si="26"/>
        <v>0</v>
      </c>
      <c r="AI66" s="54">
        <f t="shared" si="26"/>
        <v>0</v>
      </c>
      <c r="AJ66" s="54">
        <f t="shared" si="26"/>
        <v>0</v>
      </c>
      <c r="AK66" s="54">
        <f t="shared" si="26"/>
        <v>0</v>
      </c>
      <c r="AL66" s="54">
        <f t="shared" si="26"/>
        <v>0</v>
      </c>
      <c r="AM66" s="54">
        <f t="shared" si="26"/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24"/>
        <v>1839687.3971624083</v>
      </c>
      <c r="M67" s="1"/>
      <c r="N67" s="1"/>
      <c r="O67" s="54">
        <f>$H67*O64</f>
        <v>0</v>
      </c>
      <c r="P67" s="54">
        <f>P62</f>
        <v>465055.7785081754</v>
      </c>
      <c r="Q67" s="54">
        <f t="shared" ref="Q67:AM67" si="27">$H67*Q64</f>
        <v>-26139.228944458315</v>
      </c>
      <c r="R67" s="54">
        <f t="shared" si="27"/>
        <v>-13687.268071706094</v>
      </c>
      <c r="S67" s="54">
        <f t="shared" si="27"/>
        <v>1.4325624955507135</v>
      </c>
      <c r="T67" s="54">
        <f t="shared" si="27"/>
        <v>-25729.039163615227</v>
      </c>
      <c r="U67" s="54">
        <f t="shared" si="27"/>
        <v>-13236.337879220779</v>
      </c>
      <c r="V67" s="54">
        <f t="shared" si="27"/>
        <v>497.14954032203849</v>
      </c>
      <c r="W67" s="54">
        <f t="shared" si="27"/>
        <v>11864.475647592473</v>
      </c>
      <c r="X67" s="54">
        <f t="shared" si="27"/>
        <v>22561.759371617496</v>
      </c>
      <c r="Y67" s="54">
        <f t="shared" si="27"/>
        <v>39850.745455730037</v>
      </c>
      <c r="Z67" s="54">
        <f t="shared" si="27"/>
        <v>18361.001089570342</v>
      </c>
      <c r="AA67" s="54">
        <f t="shared" si="27"/>
        <v>35232.764147628084</v>
      </c>
      <c r="AB67" s="54">
        <f t="shared" si="27"/>
        <v>35978.734529571419</v>
      </c>
      <c r="AC67" s="54">
        <f t="shared" si="27"/>
        <v>54600.306447014897</v>
      </c>
      <c r="AD67" s="54">
        <f t="shared" si="27"/>
        <v>75071.389348819677</v>
      </c>
      <c r="AE67" s="54">
        <f t="shared" si="27"/>
        <v>53353.667459578268</v>
      </c>
      <c r="AF67" s="54">
        <f t="shared" si="27"/>
        <v>72799.00979084881</v>
      </c>
      <c r="AG67" s="54">
        <f t="shared" si="27"/>
        <v>90446.22818301509</v>
      </c>
      <c r="AH67" s="54">
        <f t="shared" si="27"/>
        <v>114477.55971953284</v>
      </c>
      <c r="AI67" s="54">
        <f t="shared" si="27"/>
        <v>140895.70434802075</v>
      </c>
      <c r="AJ67" s="54">
        <f t="shared" si="27"/>
        <v>129163.03666010483</v>
      </c>
      <c r="AK67" s="54">
        <f t="shared" si="27"/>
        <v>157039.75584033236</v>
      </c>
      <c r="AL67" s="54">
        <f t="shared" si="27"/>
        <v>183955.03198941451</v>
      </c>
      <c r="AM67" s="54">
        <f t="shared" si="27"/>
        <v>217273.74058202372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24"/>
        <v>3686749.4737971225</v>
      </c>
      <c r="M68" s="1"/>
      <c r="N68" s="1"/>
      <c r="O68" s="54">
        <f t="shared" ref="O68:AM68" si="28">O63</f>
        <v>50503.417449275585</v>
      </c>
      <c r="P68" s="54">
        <f t="shared" si="28"/>
        <v>151510.25234782693</v>
      </c>
      <c r="Q68" s="54">
        <f t="shared" si="28"/>
        <v>151510.25234782693</v>
      </c>
      <c r="R68" s="54">
        <f t="shared" si="28"/>
        <v>151510.25234782693</v>
      </c>
      <c r="S68" s="54">
        <f t="shared" si="28"/>
        <v>151510.25234782693</v>
      </c>
      <c r="T68" s="54">
        <f t="shared" si="28"/>
        <v>151510.25234782693</v>
      </c>
      <c r="U68" s="54">
        <f t="shared" si="28"/>
        <v>151510.25234782693</v>
      </c>
      <c r="V68" s="54">
        <f t="shared" si="28"/>
        <v>151510.25234782693</v>
      </c>
      <c r="W68" s="54">
        <f t="shared" si="28"/>
        <v>151510.25234782693</v>
      </c>
      <c r="X68" s="54">
        <f t="shared" si="28"/>
        <v>151510.25234782693</v>
      </c>
      <c r="Y68" s="54">
        <f t="shared" si="28"/>
        <v>151510.25234782693</v>
      </c>
      <c r="Z68" s="54">
        <f t="shared" si="28"/>
        <v>151510.25234782693</v>
      </c>
      <c r="AA68" s="54">
        <f t="shared" si="28"/>
        <v>151510.25234782693</v>
      </c>
      <c r="AB68" s="54">
        <f t="shared" si="28"/>
        <v>151510.25234782693</v>
      </c>
      <c r="AC68" s="54">
        <f t="shared" si="28"/>
        <v>151510.25234782693</v>
      </c>
      <c r="AD68" s="54">
        <f t="shared" si="28"/>
        <v>151510.25234782693</v>
      </c>
      <c r="AE68" s="54">
        <f t="shared" si="28"/>
        <v>151510.25234782693</v>
      </c>
      <c r="AF68" s="54">
        <f t="shared" si="28"/>
        <v>151510.25234782693</v>
      </c>
      <c r="AG68" s="54">
        <f t="shared" si="28"/>
        <v>151510.25234782693</v>
      </c>
      <c r="AH68" s="54">
        <f t="shared" si="28"/>
        <v>151510.25234782693</v>
      </c>
      <c r="AI68" s="54">
        <f t="shared" si="28"/>
        <v>151510.25234782693</v>
      </c>
      <c r="AJ68" s="54">
        <f t="shared" si="28"/>
        <v>151510.25234782693</v>
      </c>
      <c r="AK68" s="54">
        <f t="shared" si="28"/>
        <v>151510.25234782693</v>
      </c>
      <c r="AL68" s="54">
        <f t="shared" si="28"/>
        <v>151510.25234782693</v>
      </c>
      <c r="AM68" s="54">
        <f t="shared" si="28"/>
        <v>151510.25234782693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2553570.6548473192</v>
      </c>
      <c r="M69" s="1"/>
      <c r="N69" s="1"/>
      <c r="O69" s="67">
        <f t="shared" ref="O69:AM69" si="29">SUM(O64:O68)</f>
        <v>-879745.61495771224</v>
      </c>
      <c r="P69" s="67">
        <f t="shared" si="29"/>
        <v>-263179.58410170989</v>
      </c>
      <c r="Q69" s="67">
        <f t="shared" si="29"/>
        <v>-137808.56069834126</v>
      </c>
      <c r="R69" s="67">
        <f t="shared" si="29"/>
        <v>14.423577779583866</v>
      </c>
      <c r="S69" s="67">
        <f t="shared" si="29"/>
        <v>-259049.63917661514</v>
      </c>
      <c r="T69" s="67">
        <f t="shared" si="29"/>
        <v>-133268.42599240344</v>
      </c>
      <c r="U69" s="67">
        <f t="shared" si="29"/>
        <v>5005.4884762027068</v>
      </c>
      <c r="V69" s="67">
        <f t="shared" si="29"/>
        <v>119456.00129036092</v>
      </c>
      <c r="W69" s="67">
        <f t="shared" si="29"/>
        <v>227160.2754863968</v>
      </c>
      <c r="X69" s="67">
        <f t="shared" si="29"/>
        <v>401232.28720584122</v>
      </c>
      <c r="Y69" s="67">
        <f t="shared" si="29"/>
        <v>184865.46182031243</v>
      </c>
      <c r="Z69" s="67">
        <f t="shared" si="29"/>
        <v>354736.71525770973</v>
      </c>
      <c r="AA69" s="67">
        <f t="shared" si="29"/>
        <v>362247.42551198683</v>
      </c>
      <c r="AB69" s="67">
        <f t="shared" si="29"/>
        <v>549736.41238938516</v>
      </c>
      <c r="AC69" s="67">
        <f t="shared" si="29"/>
        <v>755846.97118422703</v>
      </c>
      <c r="AD69" s="67">
        <f t="shared" si="29"/>
        <v>537184.78238776245</v>
      </c>
      <c r="AE69" s="67">
        <f t="shared" si="29"/>
        <v>732967.79948950151</v>
      </c>
      <c r="AF69" s="67">
        <f t="shared" si="29"/>
        <v>910646.62876449456</v>
      </c>
      <c r="AG69" s="67">
        <f t="shared" si="29"/>
        <v>1152603.1092953365</v>
      </c>
      <c r="AH69" s="67">
        <f t="shared" si="29"/>
        <v>1418590.9213626962</v>
      </c>
      <c r="AI69" s="67">
        <f t="shared" si="29"/>
        <v>1300462.012163792</v>
      </c>
      <c r="AJ69" s="67">
        <f t="shared" si="29"/>
        <v>1581135.3011717238</v>
      </c>
      <c r="AK69" s="67">
        <f t="shared" si="29"/>
        <v>1852128.4202858922</v>
      </c>
      <c r="AL69" s="67">
        <f t="shared" si="29"/>
        <v>2187593.7046231334</v>
      </c>
      <c r="AM69" s="67">
        <f t="shared" si="29"/>
        <v>2553570.6548473178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5526436.8709595306</v>
      </c>
      <c r="M70" s="1"/>
      <c r="N70" s="1"/>
      <c r="O70" s="69">
        <f t="shared" ref="O70:AM70" si="30">MAX(O68+O67,0)</f>
        <v>50503.417449275585</v>
      </c>
      <c r="P70" s="69">
        <f t="shared" si="30"/>
        <v>616566.03085600235</v>
      </c>
      <c r="Q70" s="69">
        <f t="shared" si="30"/>
        <v>125371.02340336861</v>
      </c>
      <c r="R70" s="69">
        <f t="shared" si="30"/>
        <v>137822.98427612084</v>
      </c>
      <c r="S70" s="69">
        <f t="shared" si="30"/>
        <v>151511.68491032248</v>
      </c>
      <c r="T70" s="69">
        <f t="shared" si="30"/>
        <v>125781.21318421169</v>
      </c>
      <c r="U70" s="69">
        <f t="shared" si="30"/>
        <v>138273.91446860615</v>
      </c>
      <c r="V70" s="69">
        <f t="shared" si="30"/>
        <v>152007.40188814898</v>
      </c>
      <c r="W70" s="69">
        <f t="shared" si="30"/>
        <v>163374.72799541941</v>
      </c>
      <c r="X70" s="69">
        <f t="shared" si="30"/>
        <v>174072.01171944442</v>
      </c>
      <c r="Y70" s="69">
        <f t="shared" si="30"/>
        <v>191360.99780355697</v>
      </c>
      <c r="Z70" s="69">
        <f t="shared" si="30"/>
        <v>169871.25343739727</v>
      </c>
      <c r="AA70" s="69">
        <f t="shared" si="30"/>
        <v>186743.016495455</v>
      </c>
      <c r="AB70" s="69">
        <f t="shared" si="30"/>
        <v>187488.98687739833</v>
      </c>
      <c r="AC70" s="69">
        <f t="shared" si="30"/>
        <v>206110.55879484181</v>
      </c>
      <c r="AD70" s="69">
        <f t="shared" si="30"/>
        <v>226581.64169664661</v>
      </c>
      <c r="AE70" s="69">
        <f t="shared" si="30"/>
        <v>204863.91980740521</v>
      </c>
      <c r="AF70" s="69">
        <f t="shared" si="30"/>
        <v>224309.26213867572</v>
      </c>
      <c r="AG70" s="69">
        <f t="shared" si="30"/>
        <v>241956.48053084203</v>
      </c>
      <c r="AH70" s="69">
        <f t="shared" si="30"/>
        <v>265987.8120673598</v>
      </c>
      <c r="AI70" s="69">
        <f t="shared" si="30"/>
        <v>292405.95669584768</v>
      </c>
      <c r="AJ70" s="69">
        <f t="shared" si="30"/>
        <v>280673.28900793177</v>
      </c>
      <c r="AK70" s="69">
        <f t="shared" si="30"/>
        <v>308550.00818815932</v>
      </c>
      <c r="AL70" s="69">
        <f t="shared" si="30"/>
        <v>335465.28433724144</v>
      </c>
      <c r="AM70" s="69">
        <f t="shared" si="30"/>
        <v>368783.99292985065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v>38754.648209014616</v>
      </c>
      <c r="H75" s="71">
        <v>0</v>
      </c>
      <c r="I75" s="174">
        <f>G75*(1+H75)</f>
        <v>38754.648209014616</v>
      </c>
      <c r="J75" s="232">
        <f>I75*12</f>
        <v>465055.7785081754</v>
      </c>
      <c r="K75" s="61"/>
      <c r="L75" s="174">
        <f t="shared" ref="L75:L78" si="31">SUM(O75:AV75)</f>
        <v>11316357.277032264</v>
      </c>
      <c r="M75" s="1"/>
      <c r="N75" s="1"/>
      <c r="O75" s="222">
        <f t="shared" ref="O75:AM75" si="32">SUM(O76)</f>
        <v>155018.59283605829</v>
      </c>
      <c r="P75" s="222">
        <f t="shared" si="32"/>
        <v>465055.7785081754</v>
      </c>
      <c r="Q75" s="62">
        <f t="shared" si="32"/>
        <v>465055.7785081754</v>
      </c>
      <c r="R75" s="62">
        <f t="shared" si="32"/>
        <v>465055.7785081754</v>
      </c>
      <c r="S75" s="62">
        <f t="shared" si="32"/>
        <v>465055.7785081754</v>
      </c>
      <c r="T75" s="62">
        <f t="shared" si="32"/>
        <v>465055.7785081754</v>
      </c>
      <c r="U75" s="62">
        <f t="shared" si="32"/>
        <v>465055.7785081754</v>
      </c>
      <c r="V75" s="62">
        <f t="shared" si="32"/>
        <v>465055.7785081754</v>
      </c>
      <c r="W75" s="62">
        <f t="shared" si="32"/>
        <v>465055.7785081754</v>
      </c>
      <c r="X75" s="62">
        <f t="shared" si="32"/>
        <v>465055.7785081754</v>
      </c>
      <c r="Y75" s="62">
        <f t="shared" si="32"/>
        <v>465055.7785081754</v>
      </c>
      <c r="Z75" s="62">
        <f t="shared" si="32"/>
        <v>465055.7785081754</v>
      </c>
      <c r="AA75" s="62">
        <f t="shared" si="32"/>
        <v>465055.7785081754</v>
      </c>
      <c r="AB75" s="62">
        <f t="shared" si="32"/>
        <v>465055.7785081754</v>
      </c>
      <c r="AC75" s="62">
        <f t="shared" si="32"/>
        <v>465055.7785081754</v>
      </c>
      <c r="AD75" s="62">
        <f t="shared" si="32"/>
        <v>465055.7785081754</v>
      </c>
      <c r="AE75" s="62">
        <f t="shared" si="32"/>
        <v>465055.7785081754</v>
      </c>
      <c r="AF75" s="62">
        <f t="shared" si="32"/>
        <v>465055.7785081754</v>
      </c>
      <c r="AG75" s="62">
        <f t="shared" si="32"/>
        <v>465055.7785081754</v>
      </c>
      <c r="AH75" s="62">
        <f t="shared" si="32"/>
        <v>465055.7785081754</v>
      </c>
      <c r="AI75" s="62">
        <f t="shared" si="32"/>
        <v>465055.7785081754</v>
      </c>
      <c r="AJ75" s="62">
        <f t="shared" si="32"/>
        <v>465055.7785081754</v>
      </c>
      <c r="AK75" s="62">
        <f t="shared" si="32"/>
        <v>465055.7785081754</v>
      </c>
      <c r="AL75" s="62">
        <f t="shared" si="32"/>
        <v>465055.7785081754</v>
      </c>
      <c r="AM75" s="62">
        <f t="shared" si="32"/>
        <v>465055.7785081754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38754.648209014616</v>
      </c>
      <c r="J76" s="51"/>
      <c r="K76" s="51"/>
      <c r="L76" s="227">
        <f t="shared" si="31"/>
        <v>11316357.277032264</v>
      </c>
      <c r="M76" s="1"/>
      <c r="N76" s="1"/>
      <c r="O76" s="52">
        <f t="shared" ref="O76:AM76" si="33">$I76*O78*12</f>
        <v>155018.59283605829</v>
      </c>
      <c r="P76" s="52">
        <f t="shared" si="33"/>
        <v>465055.7785081754</v>
      </c>
      <c r="Q76" s="52">
        <f t="shared" si="33"/>
        <v>465055.7785081754</v>
      </c>
      <c r="R76" s="52">
        <f t="shared" si="33"/>
        <v>465055.7785081754</v>
      </c>
      <c r="S76" s="52">
        <f t="shared" si="33"/>
        <v>465055.7785081754</v>
      </c>
      <c r="T76" s="52">
        <f t="shared" si="33"/>
        <v>465055.7785081754</v>
      </c>
      <c r="U76" s="52">
        <f t="shared" si="33"/>
        <v>465055.7785081754</v>
      </c>
      <c r="V76" s="52">
        <f t="shared" si="33"/>
        <v>465055.7785081754</v>
      </c>
      <c r="W76" s="52">
        <f t="shared" si="33"/>
        <v>465055.7785081754</v>
      </c>
      <c r="X76" s="52">
        <f t="shared" si="33"/>
        <v>465055.7785081754</v>
      </c>
      <c r="Y76" s="52">
        <f t="shared" si="33"/>
        <v>465055.7785081754</v>
      </c>
      <c r="Z76" s="52">
        <f t="shared" si="33"/>
        <v>465055.7785081754</v>
      </c>
      <c r="AA76" s="52">
        <f t="shared" si="33"/>
        <v>465055.7785081754</v>
      </c>
      <c r="AB76" s="52">
        <f t="shared" si="33"/>
        <v>465055.7785081754</v>
      </c>
      <c r="AC76" s="52">
        <f t="shared" si="33"/>
        <v>465055.7785081754</v>
      </c>
      <c r="AD76" s="52">
        <f t="shared" si="33"/>
        <v>465055.7785081754</v>
      </c>
      <c r="AE76" s="52">
        <f t="shared" si="33"/>
        <v>465055.7785081754</v>
      </c>
      <c r="AF76" s="52">
        <f t="shared" si="33"/>
        <v>465055.7785081754</v>
      </c>
      <c r="AG76" s="52">
        <f t="shared" si="33"/>
        <v>465055.7785081754</v>
      </c>
      <c r="AH76" s="52">
        <f t="shared" si="33"/>
        <v>465055.7785081754</v>
      </c>
      <c r="AI76" s="52">
        <f t="shared" si="33"/>
        <v>465055.7785081754</v>
      </c>
      <c r="AJ76" s="52">
        <f t="shared" si="33"/>
        <v>465055.7785081754</v>
      </c>
      <c r="AK76" s="52">
        <f t="shared" si="33"/>
        <v>465055.7785081754</v>
      </c>
      <c r="AL76" s="52">
        <f t="shared" si="33"/>
        <v>465055.7785081754</v>
      </c>
      <c r="AM76" s="52">
        <f t="shared" si="33"/>
        <v>465055.7785081754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74"/>
      <c r="L77" s="75">
        <f t="shared" si="31"/>
        <v>24.333333333333332</v>
      </c>
      <c r="M77" s="1"/>
      <c r="N77" s="1"/>
      <c r="O77" s="75">
        <f t="shared" ref="O77:AM77" si="34">SUM(O78)</f>
        <v>0.33333333333333298</v>
      </c>
      <c r="P77" s="75">
        <f t="shared" si="34"/>
        <v>1</v>
      </c>
      <c r="Q77" s="75">
        <f t="shared" si="34"/>
        <v>1</v>
      </c>
      <c r="R77" s="75">
        <f t="shared" si="34"/>
        <v>1</v>
      </c>
      <c r="S77" s="75">
        <f t="shared" si="34"/>
        <v>1</v>
      </c>
      <c r="T77" s="75">
        <f t="shared" si="34"/>
        <v>1</v>
      </c>
      <c r="U77" s="75">
        <f t="shared" si="34"/>
        <v>1</v>
      </c>
      <c r="V77" s="75">
        <f t="shared" si="34"/>
        <v>1</v>
      </c>
      <c r="W77" s="75">
        <f t="shared" si="34"/>
        <v>1</v>
      </c>
      <c r="X77" s="75">
        <f t="shared" si="34"/>
        <v>1</v>
      </c>
      <c r="Y77" s="75">
        <f t="shared" si="34"/>
        <v>1</v>
      </c>
      <c r="Z77" s="75">
        <f t="shared" si="34"/>
        <v>1</v>
      </c>
      <c r="AA77" s="75">
        <f t="shared" si="34"/>
        <v>1</v>
      </c>
      <c r="AB77" s="75">
        <f t="shared" si="34"/>
        <v>1</v>
      </c>
      <c r="AC77" s="75">
        <f t="shared" si="34"/>
        <v>1</v>
      </c>
      <c r="AD77" s="75">
        <f t="shared" si="34"/>
        <v>1</v>
      </c>
      <c r="AE77" s="75">
        <f t="shared" si="34"/>
        <v>1</v>
      </c>
      <c r="AF77" s="75">
        <f t="shared" si="34"/>
        <v>1</v>
      </c>
      <c r="AG77" s="75">
        <f t="shared" si="34"/>
        <v>1</v>
      </c>
      <c r="AH77" s="75">
        <f t="shared" si="34"/>
        <v>1</v>
      </c>
      <c r="AI77" s="75">
        <f t="shared" si="34"/>
        <v>1</v>
      </c>
      <c r="AJ77" s="75">
        <f t="shared" si="34"/>
        <v>1</v>
      </c>
      <c r="AK77" s="75">
        <f t="shared" si="34"/>
        <v>1</v>
      </c>
      <c r="AL77" s="75">
        <f t="shared" si="34"/>
        <v>1</v>
      </c>
      <c r="AM77" s="75">
        <f t="shared" si="34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31"/>
        <v>24.333333333333332</v>
      </c>
      <c r="M78" s="1"/>
      <c r="N78" s="1"/>
      <c r="O78" s="170">
        <v>0.33333333333333298</v>
      </c>
      <c r="P78" s="78">
        <f t="shared" ref="P78:AM78" si="35">IF(AND( $G78&lt;=P$3,P$3&lt;=$H78),1,0)</f>
        <v>1</v>
      </c>
      <c r="Q78" s="78">
        <f t="shared" si="35"/>
        <v>1</v>
      </c>
      <c r="R78" s="78">
        <f t="shared" si="35"/>
        <v>1</v>
      </c>
      <c r="S78" s="78">
        <f t="shared" si="35"/>
        <v>1</v>
      </c>
      <c r="T78" s="78">
        <f t="shared" si="35"/>
        <v>1</v>
      </c>
      <c r="U78" s="78">
        <f t="shared" si="35"/>
        <v>1</v>
      </c>
      <c r="V78" s="78">
        <f t="shared" si="35"/>
        <v>1</v>
      </c>
      <c r="W78" s="78">
        <f t="shared" si="35"/>
        <v>1</v>
      </c>
      <c r="X78" s="78">
        <f t="shared" si="35"/>
        <v>1</v>
      </c>
      <c r="Y78" s="78">
        <f t="shared" si="35"/>
        <v>1</v>
      </c>
      <c r="Z78" s="78">
        <f t="shared" si="35"/>
        <v>1</v>
      </c>
      <c r="AA78" s="78">
        <f t="shared" si="35"/>
        <v>1</v>
      </c>
      <c r="AB78" s="78">
        <f t="shared" si="35"/>
        <v>1</v>
      </c>
      <c r="AC78" s="78">
        <f t="shared" si="35"/>
        <v>1</v>
      </c>
      <c r="AD78" s="78">
        <f t="shared" si="35"/>
        <v>1</v>
      </c>
      <c r="AE78" s="78">
        <f t="shared" si="35"/>
        <v>1</v>
      </c>
      <c r="AF78" s="78">
        <f t="shared" si="35"/>
        <v>1</v>
      </c>
      <c r="AG78" s="78">
        <f t="shared" si="35"/>
        <v>1</v>
      </c>
      <c r="AH78" s="78">
        <f t="shared" si="35"/>
        <v>1</v>
      </c>
      <c r="AI78" s="78">
        <f t="shared" si="35"/>
        <v>1</v>
      </c>
      <c r="AJ78" s="78">
        <f t="shared" si="35"/>
        <v>1</v>
      </c>
      <c r="AK78" s="78">
        <f t="shared" si="35"/>
        <v>1</v>
      </c>
      <c r="AL78" s="78">
        <f t="shared" si="35"/>
        <v>1</v>
      </c>
      <c r="AM78" s="78">
        <f t="shared" si="35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36">O$3</f>
        <v>1</v>
      </c>
      <c r="P82" s="80">
        <f t="shared" si="36"/>
        <v>2</v>
      </c>
      <c r="Q82" s="80">
        <f t="shared" si="36"/>
        <v>3</v>
      </c>
      <c r="R82" s="80">
        <f t="shared" si="36"/>
        <v>4</v>
      </c>
      <c r="S82" s="80">
        <f t="shared" si="36"/>
        <v>5</v>
      </c>
      <c r="T82" s="80">
        <f t="shared" si="36"/>
        <v>6</v>
      </c>
      <c r="U82" s="80">
        <f t="shared" si="36"/>
        <v>7</v>
      </c>
      <c r="V82" s="80">
        <f t="shared" si="36"/>
        <v>8</v>
      </c>
      <c r="W82" s="80">
        <f t="shared" si="36"/>
        <v>9</v>
      </c>
      <c r="X82" s="80">
        <f t="shared" si="36"/>
        <v>10</v>
      </c>
      <c r="Y82" s="80">
        <f t="shared" si="36"/>
        <v>11</v>
      </c>
      <c r="Z82" s="80">
        <f t="shared" si="36"/>
        <v>12</v>
      </c>
      <c r="AA82" s="80">
        <f t="shared" si="36"/>
        <v>13</v>
      </c>
      <c r="AB82" s="80">
        <f t="shared" si="36"/>
        <v>14</v>
      </c>
      <c r="AC82" s="80">
        <f t="shared" si="36"/>
        <v>15</v>
      </c>
      <c r="AD82" s="80">
        <f t="shared" si="36"/>
        <v>16</v>
      </c>
      <c r="AE82" s="80">
        <f t="shared" si="36"/>
        <v>17</v>
      </c>
      <c r="AF82" s="80">
        <f t="shared" si="36"/>
        <v>18</v>
      </c>
      <c r="AG82" s="80">
        <f t="shared" si="36"/>
        <v>19</v>
      </c>
      <c r="AH82" s="80">
        <f t="shared" si="36"/>
        <v>20</v>
      </c>
      <c r="AI82" s="80">
        <f t="shared" si="36"/>
        <v>21</v>
      </c>
      <c r="AJ82" s="80">
        <f t="shared" si="36"/>
        <v>22</v>
      </c>
      <c r="AK82" s="80">
        <f t="shared" si="36"/>
        <v>23</v>
      </c>
      <c r="AL82" s="80">
        <f t="shared" si="36"/>
        <v>24</v>
      </c>
      <c r="AM82" s="80">
        <f t="shared" si="36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37">O$2</f>
        <v>46023</v>
      </c>
      <c r="P83" s="84">
        <f t="shared" si="37"/>
        <v>46388</v>
      </c>
      <c r="Q83" s="84">
        <f t="shared" si="37"/>
        <v>46753</v>
      </c>
      <c r="R83" s="84">
        <f t="shared" si="37"/>
        <v>47119</v>
      </c>
      <c r="S83" s="84">
        <f t="shared" si="37"/>
        <v>47484</v>
      </c>
      <c r="T83" s="84">
        <f t="shared" si="37"/>
        <v>47849</v>
      </c>
      <c r="U83" s="84">
        <f t="shared" si="37"/>
        <v>48214</v>
      </c>
      <c r="V83" s="84">
        <f t="shared" si="37"/>
        <v>48580</v>
      </c>
      <c r="W83" s="84">
        <f t="shared" si="37"/>
        <v>48945</v>
      </c>
      <c r="X83" s="84">
        <f t="shared" si="37"/>
        <v>49310</v>
      </c>
      <c r="Y83" s="84">
        <f t="shared" si="37"/>
        <v>49675</v>
      </c>
      <c r="Z83" s="84">
        <f t="shared" si="37"/>
        <v>50041</v>
      </c>
      <c r="AA83" s="84">
        <f t="shared" si="37"/>
        <v>50406</v>
      </c>
      <c r="AB83" s="84">
        <f t="shared" si="37"/>
        <v>50771</v>
      </c>
      <c r="AC83" s="84">
        <f t="shared" si="37"/>
        <v>51136</v>
      </c>
      <c r="AD83" s="84">
        <f t="shared" si="37"/>
        <v>51502</v>
      </c>
      <c r="AE83" s="84">
        <f t="shared" si="37"/>
        <v>51867</v>
      </c>
      <c r="AF83" s="84">
        <f t="shared" si="37"/>
        <v>52232</v>
      </c>
      <c r="AG83" s="84">
        <f t="shared" si="37"/>
        <v>52597</v>
      </c>
      <c r="AH83" s="84">
        <f t="shared" si="37"/>
        <v>52963</v>
      </c>
      <c r="AI83" s="84">
        <f t="shared" si="37"/>
        <v>53328</v>
      </c>
      <c r="AJ83" s="84">
        <f t="shared" si="37"/>
        <v>53693</v>
      </c>
      <c r="AK83" s="84">
        <f t="shared" si="37"/>
        <v>54058</v>
      </c>
      <c r="AL83" s="84">
        <f t="shared" si="37"/>
        <v>54424</v>
      </c>
      <c r="AM83" s="84">
        <f t="shared" si="37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38">S84</f>
        <v>3.5000000000000003E-2</v>
      </c>
      <c r="U84" s="85">
        <f t="shared" si="38"/>
        <v>3.5000000000000003E-2</v>
      </c>
      <c r="V84" s="85">
        <f t="shared" si="38"/>
        <v>3.5000000000000003E-2</v>
      </c>
      <c r="W84" s="85">
        <f t="shared" si="38"/>
        <v>3.5000000000000003E-2</v>
      </c>
      <c r="X84" s="85">
        <f t="shared" si="38"/>
        <v>3.5000000000000003E-2</v>
      </c>
      <c r="Y84" s="85">
        <f t="shared" si="38"/>
        <v>3.5000000000000003E-2</v>
      </c>
      <c r="Z84" s="85">
        <f t="shared" si="38"/>
        <v>3.5000000000000003E-2</v>
      </c>
      <c r="AA84" s="85">
        <f t="shared" si="38"/>
        <v>3.5000000000000003E-2</v>
      </c>
      <c r="AB84" s="85">
        <f t="shared" si="38"/>
        <v>3.5000000000000003E-2</v>
      </c>
      <c r="AC84" s="85">
        <f t="shared" si="38"/>
        <v>3.5000000000000003E-2</v>
      </c>
      <c r="AD84" s="85">
        <f t="shared" si="38"/>
        <v>3.5000000000000003E-2</v>
      </c>
      <c r="AE84" s="85">
        <f t="shared" si="38"/>
        <v>3.5000000000000003E-2</v>
      </c>
      <c r="AF84" s="85">
        <f t="shared" si="38"/>
        <v>3.5000000000000003E-2</v>
      </c>
      <c r="AG84" s="85">
        <f t="shared" si="38"/>
        <v>3.5000000000000003E-2</v>
      </c>
      <c r="AH84" s="85">
        <f t="shared" si="38"/>
        <v>3.5000000000000003E-2</v>
      </c>
      <c r="AI84" s="85">
        <f t="shared" si="38"/>
        <v>3.5000000000000003E-2</v>
      </c>
      <c r="AJ84" s="85">
        <f t="shared" si="38"/>
        <v>3.5000000000000003E-2</v>
      </c>
      <c r="AK84" s="85">
        <f t="shared" si="38"/>
        <v>3.5000000000000003E-2</v>
      </c>
      <c r="AL84" s="85">
        <f t="shared" si="38"/>
        <v>3.5000000000000003E-2</v>
      </c>
      <c r="AM84" s="85">
        <f t="shared" si="38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39">O85*(1+O84)</f>
        <v>1.0390999999999999</v>
      </c>
      <c r="Q85" s="88">
        <f t="shared" si="39"/>
        <v>1.0784818899999999</v>
      </c>
      <c r="R85" s="88">
        <f t="shared" si="39"/>
        <v>1.1162287561499999</v>
      </c>
      <c r="S85" s="88">
        <f t="shared" si="39"/>
        <v>1.1552967626152499</v>
      </c>
      <c r="T85" s="88">
        <f t="shared" si="39"/>
        <v>1.1957321493067836</v>
      </c>
      <c r="U85" s="88">
        <f t="shared" si="39"/>
        <v>1.237582774532521</v>
      </c>
      <c r="V85" s="88">
        <f t="shared" si="39"/>
        <v>1.2808981716411592</v>
      </c>
      <c r="W85" s="88">
        <f t="shared" si="39"/>
        <v>1.3257296076485996</v>
      </c>
      <c r="X85" s="88">
        <f t="shared" si="39"/>
        <v>1.3721301439163005</v>
      </c>
      <c r="Y85" s="88">
        <f t="shared" si="39"/>
        <v>1.4201546989533709</v>
      </c>
      <c r="Z85" s="88">
        <f t="shared" si="39"/>
        <v>1.4698601134167388</v>
      </c>
      <c r="AA85" s="88">
        <f t="shared" si="39"/>
        <v>1.5213052173863246</v>
      </c>
      <c r="AB85" s="88">
        <f t="shared" si="39"/>
        <v>1.5745508999948459</v>
      </c>
      <c r="AC85" s="88">
        <f t="shared" si="39"/>
        <v>1.6296601814946654</v>
      </c>
      <c r="AD85" s="88">
        <f t="shared" si="39"/>
        <v>1.6866982878469785</v>
      </c>
      <c r="AE85" s="88">
        <f t="shared" si="39"/>
        <v>1.7457327279216226</v>
      </c>
      <c r="AF85" s="88">
        <f t="shared" si="39"/>
        <v>1.8068333733988793</v>
      </c>
      <c r="AG85" s="88">
        <f t="shared" si="39"/>
        <v>1.8700725414678399</v>
      </c>
      <c r="AH85" s="88">
        <f t="shared" si="39"/>
        <v>1.9355250804192141</v>
      </c>
      <c r="AI85" s="88">
        <f t="shared" si="39"/>
        <v>2.0032684582338867</v>
      </c>
      <c r="AJ85" s="88">
        <f t="shared" si="39"/>
        <v>2.0733828542720727</v>
      </c>
      <c r="AK85" s="88">
        <f t="shared" si="39"/>
        <v>2.145951254171595</v>
      </c>
      <c r="AL85" s="88">
        <f t="shared" si="39"/>
        <v>2.2210595480676005</v>
      </c>
      <c r="AM85" s="88">
        <f t="shared" si="39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40">R86</f>
        <v>0.05</v>
      </c>
      <c r="T86" s="85">
        <f t="shared" si="40"/>
        <v>0.05</v>
      </c>
      <c r="U86" s="85">
        <f t="shared" si="40"/>
        <v>0.05</v>
      </c>
      <c r="V86" s="85">
        <f t="shared" si="40"/>
        <v>0.05</v>
      </c>
      <c r="W86" s="85">
        <f t="shared" si="40"/>
        <v>0.05</v>
      </c>
      <c r="X86" s="85">
        <f t="shared" si="40"/>
        <v>0.05</v>
      </c>
      <c r="Y86" s="85">
        <f t="shared" si="40"/>
        <v>0.05</v>
      </c>
      <c r="Z86" s="85">
        <f t="shared" si="40"/>
        <v>0.05</v>
      </c>
      <c r="AA86" s="85">
        <f t="shared" si="40"/>
        <v>0.05</v>
      </c>
      <c r="AB86" s="85">
        <f t="shared" si="40"/>
        <v>0.05</v>
      </c>
      <c r="AC86" s="85">
        <f t="shared" si="40"/>
        <v>0.05</v>
      </c>
      <c r="AD86" s="85">
        <f t="shared" si="40"/>
        <v>0.05</v>
      </c>
      <c r="AE86" s="85">
        <f t="shared" si="40"/>
        <v>0.05</v>
      </c>
      <c r="AF86" s="85">
        <f t="shared" si="40"/>
        <v>0.05</v>
      </c>
      <c r="AG86" s="85">
        <f t="shared" si="40"/>
        <v>0.05</v>
      </c>
      <c r="AH86" s="85">
        <f t="shared" si="40"/>
        <v>0.05</v>
      </c>
      <c r="AI86" s="85">
        <f t="shared" si="40"/>
        <v>0.05</v>
      </c>
      <c r="AJ86" s="85">
        <f t="shared" si="40"/>
        <v>0.05</v>
      </c>
      <c r="AK86" s="85">
        <f t="shared" si="40"/>
        <v>0.05</v>
      </c>
      <c r="AL86" s="85">
        <f t="shared" si="40"/>
        <v>0.05</v>
      </c>
      <c r="AM86" s="85">
        <f t="shared" si="40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41">O87*(1+O86)</f>
        <v>1.0583</v>
      </c>
      <c r="Q87" s="88">
        <f t="shared" si="41"/>
        <v>1.1090984000000002</v>
      </c>
      <c r="R87" s="88">
        <f t="shared" si="41"/>
        <v>1.1566787213600001</v>
      </c>
      <c r="S87" s="88">
        <f t="shared" si="41"/>
        <v>1.2145126574280001</v>
      </c>
      <c r="T87" s="88">
        <f t="shared" si="41"/>
        <v>1.2752382902994002</v>
      </c>
      <c r="U87" s="88">
        <f t="shared" si="41"/>
        <v>1.3390002048143703</v>
      </c>
      <c r="V87" s="88">
        <f t="shared" si="41"/>
        <v>1.4059502150550889</v>
      </c>
      <c r="W87" s="88">
        <f t="shared" si="41"/>
        <v>1.4762477258078435</v>
      </c>
      <c r="X87" s="88">
        <f t="shared" si="41"/>
        <v>1.5500601120982358</v>
      </c>
      <c r="Y87" s="88">
        <f t="shared" si="41"/>
        <v>1.6275631177031478</v>
      </c>
      <c r="Z87" s="88">
        <f t="shared" si="41"/>
        <v>1.7089412735883052</v>
      </c>
      <c r="AA87" s="88">
        <f t="shared" si="41"/>
        <v>1.7943883372677205</v>
      </c>
      <c r="AB87" s="88">
        <f t="shared" si="41"/>
        <v>1.8841077541311066</v>
      </c>
      <c r="AC87" s="88">
        <f t="shared" si="41"/>
        <v>1.978313141837662</v>
      </c>
      <c r="AD87" s="88">
        <f t="shared" si="41"/>
        <v>2.077228798929545</v>
      </c>
      <c r="AE87" s="88">
        <f t="shared" si="41"/>
        <v>2.1810902388760223</v>
      </c>
      <c r="AF87" s="88">
        <f t="shared" si="41"/>
        <v>2.2901447508198234</v>
      </c>
      <c r="AG87" s="88">
        <f t="shared" si="41"/>
        <v>2.4046519883608148</v>
      </c>
      <c r="AH87" s="88">
        <f t="shared" si="41"/>
        <v>2.5248845877788555</v>
      </c>
      <c r="AI87" s="88">
        <f t="shared" si="41"/>
        <v>2.6511288171677982</v>
      </c>
      <c r="AJ87" s="88">
        <f t="shared" si="41"/>
        <v>2.7836852580261882</v>
      </c>
      <c r="AK87" s="88">
        <f t="shared" si="41"/>
        <v>2.9228695209274975</v>
      </c>
      <c r="AL87" s="88">
        <f t="shared" si="41"/>
        <v>3.0690129969738726</v>
      </c>
      <c r="AM87" s="88">
        <f t="shared" si="41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42">R88</f>
        <v>3.73E-2</v>
      </c>
      <c r="T88" s="85">
        <f t="shared" si="42"/>
        <v>3.73E-2</v>
      </c>
      <c r="U88" s="85">
        <f t="shared" si="42"/>
        <v>3.73E-2</v>
      </c>
      <c r="V88" s="85">
        <f t="shared" si="42"/>
        <v>3.73E-2</v>
      </c>
      <c r="W88" s="85">
        <f t="shared" si="42"/>
        <v>3.73E-2</v>
      </c>
      <c r="X88" s="85">
        <f t="shared" si="42"/>
        <v>3.73E-2</v>
      </c>
      <c r="Y88" s="85">
        <f t="shared" si="42"/>
        <v>3.73E-2</v>
      </c>
      <c r="Z88" s="85">
        <f t="shared" si="42"/>
        <v>3.73E-2</v>
      </c>
      <c r="AA88" s="85">
        <f t="shared" si="42"/>
        <v>3.73E-2</v>
      </c>
      <c r="AB88" s="85">
        <f t="shared" si="42"/>
        <v>3.73E-2</v>
      </c>
      <c r="AC88" s="85">
        <f t="shared" si="42"/>
        <v>3.73E-2</v>
      </c>
      <c r="AD88" s="85">
        <f t="shared" si="42"/>
        <v>3.73E-2</v>
      </c>
      <c r="AE88" s="85">
        <f t="shared" si="42"/>
        <v>3.73E-2</v>
      </c>
      <c r="AF88" s="85">
        <f t="shared" si="42"/>
        <v>3.73E-2</v>
      </c>
      <c r="AG88" s="85">
        <f t="shared" si="42"/>
        <v>3.73E-2</v>
      </c>
      <c r="AH88" s="85">
        <f t="shared" si="42"/>
        <v>3.73E-2</v>
      </c>
      <c r="AI88" s="85">
        <f t="shared" si="42"/>
        <v>3.73E-2</v>
      </c>
      <c r="AJ88" s="85">
        <f t="shared" si="42"/>
        <v>3.73E-2</v>
      </c>
      <c r="AK88" s="85">
        <f t="shared" si="42"/>
        <v>3.73E-2</v>
      </c>
      <c r="AL88" s="85">
        <f t="shared" si="42"/>
        <v>3.73E-2</v>
      </c>
      <c r="AM88" s="85">
        <f t="shared" si="42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43">O89*(1+O88)</f>
        <v>1.0318000000000001</v>
      </c>
      <c r="Q89" s="88">
        <f t="shared" si="43"/>
        <v>1.073072</v>
      </c>
      <c r="R89" s="88">
        <f t="shared" si="43"/>
        <v>1.113848736</v>
      </c>
      <c r="S89" s="88">
        <f t="shared" si="43"/>
        <v>1.1553952938528</v>
      </c>
      <c r="T89" s="88">
        <f t="shared" si="43"/>
        <v>1.1984915383135095</v>
      </c>
      <c r="U89" s="88">
        <f t="shared" si="43"/>
        <v>1.2431952726926037</v>
      </c>
      <c r="V89" s="88">
        <f t="shared" si="43"/>
        <v>1.2895664563640379</v>
      </c>
      <c r="W89" s="88">
        <f t="shared" si="43"/>
        <v>1.3376672851864166</v>
      </c>
      <c r="X89" s="88">
        <f t="shared" si="43"/>
        <v>1.3875622749238701</v>
      </c>
      <c r="Y89" s="88">
        <f t="shared" si="43"/>
        <v>1.4393183477785305</v>
      </c>
      <c r="Z89" s="88">
        <f t="shared" si="43"/>
        <v>1.4930049221506698</v>
      </c>
      <c r="AA89" s="88">
        <f t="shared" si="43"/>
        <v>1.5486940057468899</v>
      </c>
      <c r="AB89" s="88">
        <f t="shared" si="43"/>
        <v>1.606460292161249</v>
      </c>
      <c r="AC89" s="88">
        <f t="shared" si="43"/>
        <v>1.6663812610588637</v>
      </c>
      <c r="AD89" s="88">
        <f t="shared" si="43"/>
        <v>1.7285372820963596</v>
      </c>
      <c r="AE89" s="88">
        <f t="shared" si="43"/>
        <v>1.793011722718554</v>
      </c>
      <c r="AF89" s="88">
        <f t="shared" si="43"/>
        <v>1.8598910599759564</v>
      </c>
      <c r="AG89" s="88">
        <f t="shared" si="43"/>
        <v>1.9292649965130597</v>
      </c>
      <c r="AH89" s="88">
        <f t="shared" si="43"/>
        <v>2.0012265808829972</v>
      </c>
      <c r="AI89" s="88">
        <f t="shared" si="43"/>
        <v>2.0758723323499333</v>
      </c>
      <c r="AJ89" s="88">
        <f t="shared" si="43"/>
        <v>2.1533023703465859</v>
      </c>
      <c r="AK89" s="88">
        <f t="shared" si="43"/>
        <v>2.2336205487605136</v>
      </c>
      <c r="AL89" s="88">
        <f t="shared" si="43"/>
        <v>2.3169345952292812</v>
      </c>
      <c r="AM89" s="88">
        <f t="shared" si="43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44">R90</f>
        <v>9.5000000000000001E-2</v>
      </c>
      <c r="T90" s="85">
        <f t="shared" si="44"/>
        <v>9.5000000000000001E-2</v>
      </c>
      <c r="U90" s="85">
        <f t="shared" si="44"/>
        <v>9.5000000000000001E-2</v>
      </c>
      <c r="V90" s="85">
        <f t="shared" si="44"/>
        <v>9.5000000000000001E-2</v>
      </c>
      <c r="W90" s="85">
        <f t="shared" si="44"/>
        <v>9.5000000000000001E-2</v>
      </c>
      <c r="X90" s="85">
        <f t="shared" si="44"/>
        <v>9.5000000000000001E-2</v>
      </c>
      <c r="Y90" s="85">
        <f t="shared" si="44"/>
        <v>9.5000000000000001E-2</v>
      </c>
      <c r="Z90" s="85">
        <f t="shared" si="44"/>
        <v>9.5000000000000001E-2</v>
      </c>
      <c r="AA90" s="85">
        <f t="shared" si="44"/>
        <v>9.5000000000000001E-2</v>
      </c>
      <c r="AB90" s="85">
        <f t="shared" si="44"/>
        <v>9.5000000000000001E-2</v>
      </c>
      <c r="AC90" s="85">
        <f t="shared" si="44"/>
        <v>9.5000000000000001E-2</v>
      </c>
      <c r="AD90" s="85">
        <f t="shared" si="44"/>
        <v>9.5000000000000001E-2</v>
      </c>
      <c r="AE90" s="85">
        <f t="shared" si="44"/>
        <v>9.5000000000000001E-2</v>
      </c>
      <c r="AF90" s="85">
        <f t="shared" si="44"/>
        <v>9.5000000000000001E-2</v>
      </c>
      <c r="AG90" s="85">
        <f t="shared" si="44"/>
        <v>9.5000000000000001E-2</v>
      </c>
      <c r="AH90" s="85">
        <f t="shared" si="44"/>
        <v>9.5000000000000001E-2</v>
      </c>
      <c r="AI90" s="85">
        <f t="shared" si="44"/>
        <v>9.5000000000000001E-2</v>
      </c>
      <c r="AJ90" s="85">
        <f t="shared" si="44"/>
        <v>9.5000000000000001E-2</v>
      </c>
      <c r="AK90" s="85">
        <f t="shared" si="44"/>
        <v>9.5000000000000001E-2</v>
      </c>
      <c r="AL90" s="85">
        <f t="shared" si="44"/>
        <v>9.5000000000000001E-2</v>
      </c>
      <c r="AM90" s="85">
        <f t="shared" si="44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45">O91*(1+O90)</f>
        <v>1.1200000000000001</v>
      </c>
      <c r="Q91" s="88">
        <f t="shared" si="45"/>
        <v>1.2376</v>
      </c>
      <c r="R91" s="88">
        <f t="shared" si="45"/>
        <v>1.3613600000000001</v>
      </c>
      <c r="S91" s="88">
        <f t="shared" si="45"/>
        <v>1.4906892</v>
      </c>
      <c r="T91" s="88">
        <f t="shared" si="45"/>
        <v>1.632304674</v>
      </c>
      <c r="U91" s="88">
        <f t="shared" si="45"/>
        <v>1.7873736180299999</v>
      </c>
      <c r="V91" s="88">
        <f t="shared" si="45"/>
        <v>1.9571741117428498</v>
      </c>
      <c r="W91" s="88">
        <f t="shared" si="45"/>
        <v>2.1431056523584204</v>
      </c>
      <c r="X91" s="88">
        <f t="shared" si="45"/>
        <v>2.3467006893324704</v>
      </c>
      <c r="Y91" s="88">
        <f t="shared" si="45"/>
        <v>2.5696372548190549</v>
      </c>
      <c r="Z91" s="88">
        <f t="shared" si="45"/>
        <v>2.8137527940268652</v>
      </c>
      <c r="AA91" s="88">
        <f t="shared" si="45"/>
        <v>3.0810593094594174</v>
      </c>
      <c r="AB91" s="88">
        <f t="shared" si="45"/>
        <v>3.3737599438580621</v>
      </c>
      <c r="AC91" s="88">
        <f t="shared" si="45"/>
        <v>3.694267138524578</v>
      </c>
      <c r="AD91" s="88">
        <f t="shared" si="45"/>
        <v>4.0452225166844125</v>
      </c>
      <c r="AE91" s="88">
        <f t="shared" si="45"/>
        <v>4.4295186557694315</v>
      </c>
      <c r="AF91" s="88">
        <f t="shared" si="45"/>
        <v>4.8503229280675271</v>
      </c>
      <c r="AG91" s="88">
        <f t="shared" si="45"/>
        <v>5.3111036062339423</v>
      </c>
      <c r="AH91" s="88">
        <f t="shared" si="45"/>
        <v>5.8156584488261664</v>
      </c>
      <c r="AI91" s="88">
        <f t="shared" si="45"/>
        <v>6.3681460014646518</v>
      </c>
      <c r="AJ91" s="88">
        <f t="shared" si="45"/>
        <v>6.9731198716037932</v>
      </c>
      <c r="AK91" s="88">
        <f t="shared" si="45"/>
        <v>7.6355662594061533</v>
      </c>
      <c r="AL91" s="88">
        <f t="shared" si="45"/>
        <v>8.3609450540497381</v>
      </c>
      <c r="AM91" s="88">
        <f t="shared" si="45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46">O84</f>
        <v>3.9100000000000003E-2</v>
      </c>
      <c r="P92" s="85">
        <f t="shared" si="46"/>
        <v>3.7900000000000003E-2</v>
      </c>
      <c r="Q92" s="85">
        <f t="shared" si="46"/>
        <v>3.5000000000000003E-2</v>
      </c>
      <c r="R92" s="85">
        <f t="shared" si="46"/>
        <v>3.5000000000000003E-2</v>
      </c>
      <c r="S92" s="85">
        <f t="shared" si="46"/>
        <v>3.5000000000000003E-2</v>
      </c>
      <c r="T92" s="85">
        <f t="shared" si="46"/>
        <v>3.5000000000000003E-2</v>
      </c>
      <c r="U92" s="85">
        <f t="shared" si="46"/>
        <v>3.5000000000000003E-2</v>
      </c>
      <c r="V92" s="85">
        <f t="shared" si="46"/>
        <v>3.5000000000000003E-2</v>
      </c>
      <c r="W92" s="85">
        <f t="shared" si="46"/>
        <v>3.5000000000000003E-2</v>
      </c>
      <c r="X92" s="85">
        <f t="shared" si="46"/>
        <v>3.5000000000000003E-2</v>
      </c>
      <c r="Y92" s="85">
        <f t="shared" si="46"/>
        <v>3.5000000000000003E-2</v>
      </c>
      <c r="Z92" s="85">
        <f t="shared" si="46"/>
        <v>3.5000000000000003E-2</v>
      </c>
      <c r="AA92" s="85">
        <f t="shared" si="46"/>
        <v>3.5000000000000003E-2</v>
      </c>
      <c r="AB92" s="85">
        <f t="shared" si="46"/>
        <v>3.5000000000000003E-2</v>
      </c>
      <c r="AC92" s="85">
        <f t="shared" si="46"/>
        <v>3.5000000000000003E-2</v>
      </c>
      <c r="AD92" s="85">
        <f t="shared" si="46"/>
        <v>3.5000000000000003E-2</v>
      </c>
      <c r="AE92" s="85">
        <f t="shared" si="46"/>
        <v>3.5000000000000003E-2</v>
      </c>
      <c r="AF92" s="85">
        <f t="shared" si="46"/>
        <v>3.5000000000000003E-2</v>
      </c>
      <c r="AG92" s="85">
        <f t="shared" si="46"/>
        <v>3.5000000000000003E-2</v>
      </c>
      <c r="AH92" s="85">
        <f t="shared" si="46"/>
        <v>3.5000000000000003E-2</v>
      </c>
      <c r="AI92" s="85">
        <f t="shared" si="46"/>
        <v>3.5000000000000003E-2</v>
      </c>
      <c r="AJ92" s="85">
        <f t="shared" si="46"/>
        <v>3.5000000000000003E-2</v>
      </c>
      <c r="AK92" s="85">
        <f t="shared" si="46"/>
        <v>3.5000000000000003E-2</v>
      </c>
      <c r="AL92" s="85">
        <f t="shared" si="46"/>
        <v>3.5000000000000003E-2</v>
      </c>
      <c r="AM92" s="85">
        <f t="shared" si="46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47">O93*(1+O92)</f>
        <v>1.0390999999999999</v>
      </c>
      <c r="Q93" s="88">
        <f t="shared" si="47"/>
        <v>1.0784818899999999</v>
      </c>
      <c r="R93" s="88">
        <f t="shared" si="47"/>
        <v>1.1162287561499999</v>
      </c>
      <c r="S93" s="88">
        <f t="shared" si="47"/>
        <v>1.1552967626152499</v>
      </c>
      <c r="T93" s="88">
        <f t="shared" si="47"/>
        <v>1.1957321493067836</v>
      </c>
      <c r="U93" s="88">
        <f t="shared" si="47"/>
        <v>1.237582774532521</v>
      </c>
      <c r="V93" s="88">
        <f t="shared" si="47"/>
        <v>1.2808981716411592</v>
      </c>
      <c r="W93" s="88">
        <f t="shared" si="47"/>
        <v>1.3257296076485996</v>
      </c>
      <c r="X93" s="88">
        <f t="shared" si="47"/>
        <v>1.3721301439163005</v>
      </c>
      <c r="Y93" s="88">
        <f t="shared" si="47"/>
        <v>1.4201546989533709</v>
      </c>
      <c r="Z93" s="88">
        <f t="shared" si="47"/>
        <v>1.4698601134167388</v>
      </c>
      <c r="AA93" s="88">
        <f t="shared" si="47"/>
        <v>1.5213052173863246</v>
      </c>
      <c r="AB93" s="88">
        <f t="shared" si="47"/>
        <v>1.5745508999948459</v>
      </c>
      <c r="AC93" s="88">
        <f t="shared" si="47"/>
        <v>1.6296601814946654</v>
      </c>
      <c r="AD93" s="88">
        <f t="shared" si="47"/>
        <v>1.6866982878469785</v>
      </c>
      <c r="AE93" s="88">
        <f t="shared" si="47"/>
        <v>1.7457327279216226</v>
      </c>
      <c r="AF93" s="88">
        <f t="shared" si="47"/>
        <v>1.8068333733988793</v>
      </c>
      <c r="AG93" s="88">
        <f t="shared" si="47"/>
        <v>1.8700725414678399</v>
      </c>
      <c r="AH93" s="88">
        <f t="shared" si="47"/>
        <v>1.9355250804192141</v>
      </c>
      <c r="AI93" s="88">
        <f t="shared" si="47"/>
        <v>2.0032684582338867</v>
      </c>
      <c r="AJ93" s="88">
        <f t="shared" si="47"/>
        <v>2.0733828542720727</v>
      </c>
      <c r="AK93" s="88">
        <f t="shared" si="47"/>
        <v>2.145951254171595</v>
      </c>
      <c r="AL93" s="88">
        <f t="shared" si="47"/>
        <v>2.2210595480676005</v>
      </c>
      <c r="AM93" s="88">
        <f t="shared" si="47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48">O$3</f>
        <v>1</v>
      </c>
      <c r="P95" s="80">
        <f t="shared" si="48"/>
        <v>2</v>
      </c>
      <c r="Q95" s="80">
        <f t="shared" si="48"/>
        <v>3</v>
      </c>
      <c r="R95" s="80">
        <f t="shared" si="48"/>
        <v>4</v>
      </c>
      <c r="S95" s="80">
        <f t="shared" si="48"/>
        <v>5</v>
      </c>
      <c r="T95" s="80">
        <f t="shared" si="48"/>
        <v>6</v>
      </c>
      <c r="U95" s="80">
        <f t="shared" si="48"/>
        <v>7</v>
      </c>
      <c r="V95" s="80">
        <f t="shared" si="48"/>
        <v>8</v>
      </c>
      <c r="W95" s="80">
        <f t="shared" si="48"/>
        <v>9</v>
      </c>
      <c r="X95" s="80">
        <f t="shared" si="48"/>
        <v>10</v>
      </c>
      <c r="Y95" s="80">
        <f t="shared" si="48"/>
        <v>11</v>
      </c>
      <c r="Z95" s="80">
        <f t="shared" si="48"/>
        <v>12</v>
      </c>
      <c r="AA95" s="80">
        <f t="shared" si="48"/>
        <v>13</v>
      </c>
      <c r="AB95" s="80">
        <f t="shared" si="48"/>
        <v>14</v>
      </c>
      <c r="AC95" s="80">
        <f t="shared" si="48"/>
        <v>15</v>
      </c>
      <c r="AD95" s="80">
        <f t="shared" si="48"/>
        <v>16</v>
      </c>
      <c r="AE95" s="80">
        <f t="shared" si="48"/>
        <v>17</v>
      </c>
      <c r="AF95" s="80">
        <f t="shared" si="48"/>
        <v>18</v>
      </c>
      <c r="AG95" s="80">
        <f t="shared" si="48"/>
        <v>19</v>
      </c>
      <c r="AH95" s="80">
        <f t="shared" si="48"/>
        <v>20</v>
      </c>
      <c r="AI95" s="80">
        <f t="shared" si="48"/>
        <v>21</v>
      </c>
      <c r="AJ95" s="80">
        <f t="shared" si="48"/>
        <v>22</v>
      </c>
      <c r="AK95" s="80">
        <f t="shared" si="48"/>
        <v>23</v>
      </c>
      <c r="AL95" s="80">
        <f t="shared" si="48"/>
        <v>24</v>
      </c>
      <c r="AM95" s="80">
        <f t="shared" si="48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49">O$2</f>
        <v>46023</v>
      </c>
      <c r="P96" s="91">
        <f t="shared" si="49"/>
        <v>46388</v>
      </c>
      <c r="Q96" s="91">
        <f t="shared" si="49"/>
        <v>46753</v>
      </c>
      <c r="R96" s="91">
        <f t="shared" si="49"/>
        <v>47119</v>
      </c>
      <c r="S96" s="91">
        <f t="shared" si="49"/>
        <v>47484</v>
      </c>
      <c r="T96" s="91">
        <f t="shared" si="49"/>
        <v>47849</v>
      </c>
      <c r="U96" s="91">
        <f t="shared" si="49"/>
        <v>48214</v>
      </c>
      <c r="V96" s="91">
        <f t="shared" si="49"/>
        <v>48580</v>
      </c>
      <c r="W96" s="91">
        <f t="shared" si="49"/>
        <v>48945</v>
      </c>
      <c r="X96" s="91">
        <f t="shared" si="49"/>
        <v>49310</v>
      </c>
      <c r="Y96" s="91">
        <f t="shared" si="49"/>
        <v>49675</v>
      </c>
      <c r="Z96" s="91">
        <f t="shared" si="49"/>
        <v>50041</v>
      </c>
      <c r="AA96" s="91">
        <f t="shared" si="49"/>
        <v>50406</v>
      </c>
      <c r="AB96" s="91">
        <f t="shared" si="49"/>
        <v>50771</v>
      </c>
      <c r="AC96" s="91">
        <f t="shared" si="49"/>
        <v>51136</v>
      </c>
      <c r="AD96" s="91">
        <f t="shared" si="49"/>
        <v>51502</v>
      </c>
      <c r="AE96" s="91">
        <f t="shared" si="49"/>
        <v>51867</v>
      </c>
      <c r="AF96" s="91">
        <f t="shared" si="49"/>
        <v>52232</v>
      </c>
      <c r="AG96" s="91">
        <f t="shared" si="49"/>
        <v>52597</v>
      </c>
      <c r="AH96" s="91">
        <f t="shared" si="49"/>
        <v>52963</v>
      </c>
      <c r="AI96" s="91">
        <f t="shared" si="49"/>
        <v>53328</v>
      </c>
      <c r="AJ96" s="91">
        <f t="shared" si="49"/>
        <v>53693</v>
      </c>
      <c r="AK96" s="91">
        <f t="shared" si="49"/>
        <v>54058</v>
      </c>
      <c r="AL96" s="91">
        <f t="shared" si="49"/>
        <v>54424</v>
      </c>
      <c r="AM96" s="91">
        <f t="shared" si="49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50">SUM(K99:K101)</f>
        <v>4745704.3719986388</v>
      </c>
      <c r="L98" s="69">
        <f t="shared" si="50"/>
        <v>12442161.416509764</v>
      </c>
      <c r="M98" s="1"/>
      <c r="N98" s="1"/>
      <c r="O98" s="69">
        <f>SUM(O99:O101)</f>
        <v>1034764.2077937706</v>
      </c>
      <c r="P98" s="69">
        <f t="shared" ref="P98:AM98" si="51">SUM(P99:P100)</f>
        <v>313545.5261603485</v>
      </c>
      <c r="Q98" s="69">
        <f t="shared" si="51"/>
        <v>313545.5261603485</v>
      </c>
      <c r="R98" s="69">
        <f t="shared" si="51"/>
        <v>313545.5261603485</v>
      </c>
      <c r="S98" s="69">
        <f t="shared" si="51"/>
        <v>724121.2738250657</v>
      </c>
      <c r="T98" s="69">
        <f t="shared" si="51"/>
        <v>313545.5261603485</v>
      </c>
      <c r="U98" s="69">
        <f t="shared" si="51"/>
        <v>313545.5261603485</v>
      </c>
      <c r="V98" s="69">
        <f t="shared" si="51"/>
        <v>351102.41523433925</v>
      </c>
      <c r="W98" s="69">
        <f t="shared" si="51"/>
        <v>369215.97995973204</v>
      </c>
      <c r="X98" s="69">
        <f t="shared" si="51"/>
        <v>313545.5261603485</v>
      </c>
      <c r="Y98" s="69">
        <f t="shared" si="51"/>
        <v>721273.34934943425</v>
      </c>
      <c r="Z98" s="69">
        <f t="shared" si="51"/>
        <v>313545.5261603485</v>
      </c>
      <c r="AA98" s="69">
        <f t="shared" si="51"/>
        <v>492777.83240152645</v>
      </c>
      <c r="AB98" s="69">
        <f t="shared" si="51"/>
        <v>313545.5261603485</v>
      </c>
      <c r="AC98" s="69">
        <f t="shared" si="51"/>
        <v>313545.5261603485</v>
      </c>
      <c r="AD98" s="69">
        <f t="shared" si="51"/>
        <v>758789.3566534596</v>
      </c>
      <c r="AE98" s="69">
        <f t="shared" si="51"/>
        <v>322626.42886601458</v>
      </c>
      <c r="AF98" s="69">
        <f t="shared" si="51"/>
        <v>360175.95902403124</v>
      </c>
      <c r="AG98" s="69">
        <f t="shared" si="51"/>
        <v>313545.5261603485</v>
      </c>
      <c r="AH98" s="69">
        <f t="shared" si="51"/>
        <v>313545.5261603485</v>
      </c>
      <c r="AI98" s="69">
        <f t="shared" si="51"/>
        <v>724080.3920551003</v>
      </c>
      <c r="AJ98" s="69">
        <f t="shared" si="51"/>
        <v>313545.5261603485</v>
      </c>
      <c r="AK98" s="69">
        <f t="shared" si="51"/>
        <v>351102.41523433925</v>
      </c>
      <c r="AL98" s="69">
        <f t="shared" si="51"/>
        <v>313545.5261603485</v>
      </c>
      <c r="AM98" s="69">
        <f t="shared" si="51"/>
        <v>316352.5688660146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>
        <f>1-H63</f>
        <v>0.67421058</v>
      </c>
      <c r="I99" s="95"/>
      <c r="J99" s="94"/>
      <c r="K99" s="97">
        <f>NPV(WACC!$D$35,O99:AV99)</f>
        <v>2670847.1358898729</v>
      </c>
      <c r="L99" s="97">
        <f t="shared" ref="L99:L101" si="52">SUM(O99:AV99)</f>
        <v>7629607.8032351444</v>
      </c>
      <c r="M99" s="1"/>
      <c r="N99" s="1"/>
      <c r="O99" s="97">
        <f t="shared" ref="O99:AM99" si="53">$H$99*O76</f>
        <v>104515.17538678271</v>
      </c>
      <c r="P99" s="97">
        <f t="shared" si="53"/>
        <v>313545.5261603485</v>
      </c>
      <c r="Q99" s="97">
        <f t="shared" si="53"/>
        <v>313545.5261603485</v>
      </c>
      <c r="R99" s="97">
        <f t="shared" si="53"/>
        <v>313545.5261603485</v>
      </c>
      <c r="S99" s="97">
        <f t="shared" si="53"/>
        <v>313545.5261603485</v>
      </c>
      <c r="T99" s="97">
        <f t="shared" si="53"/>
        <v>313545.5261603485</v>
      </c>
      <c r="U99" s="97">
        <f t="shared" si="53"/>
        <v>313545.5261603485</v>
      </c>
      <c r="V99" s="97">
        <f t="shared" si="53"/>
        <v>313545.5261603485</v>
      </c>
      <c r="W99" s="97">
        <f t="shared" si="53"/>
        <v>313545.5261603485</v>
      </c>
      <c r="X99" s="97">
        <f t="shared" si="53"/>
        <v>313545.5261603485</v>
      </c>
      <c r="Y99" s="97">
        <f t="shared" si="53"/>
        <v>313545.5261603485</v>
      </c>
      <c r="Z99" s="97">
        <f t="shared" si="53"/>
        <v>313545.5261603485</v>
      </c>
      <c r="AA99" s="97">
        <f t="shared" si="53"/>
        <v>313545.5261603485</v>
      </c>
      <c r="AB99" s="97">
        <f t="shared" si="53"/>
        <v>313545.5261603485</v>
      </c>
      <c r="AC99" s="97">
        <f t="shared" si="53"/>
        <v>313545.5261603485</v>
      </c>
      <c r="AD99" s="97">
        <f t="shared" si="53"/>
        <v>313545.5261603485</v>
      </c>
      <c r="AE99" s="97">
        <f t="shared" si="53"/>
        <v>313545.5261603485</v>
      </c>
      <c r="AF99" s="97">
        <f t="shared" si="53"/>
        <v>313545.5261603485</v>
      </c>
      <c r="AG99" s="97">
        <f t="shared" si="53"/>
        <v>313545.5261603485</v>
      </c>
      <c r="AH99" s="97">
        <f t="shared" si="53"/>
        <v>313545.5261603485</v>
      </c>
      <c r="AI99" s="97">
        <f t="shared" si="53"/>
        <v>313545.5261603485</v>
      </c>
      <c r="AJ99" s="97">
        <f t="shared" si="53"/>
        <v>313545.5261603485</v>
      </c>
      <c r="AK99" s="97">
        <f t="shared" si="53"/>
        <v>313545.5261603485</v>
      </c>
      <c r="AL99" s="97">
        <f t="shared" si="53"/>
        <v>313545.5261603485</v>
      </c>
      <c r="AM99" s="97">
        <f t="shared" si="53"/>
        <v>313545.5261603485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1508365.3836715855</v>
      </c>
      <c r="L100" s="97">
        <f t="shared" si="52"/>
        <v>2972866.2161122118</v>
      </c>
      <c r="M100" s="1"/>
      <c r="N100" s="1"/>
      <c r="O100" s="97">
        <f>O29</f>
        <v>930249.03240698786</v>
      </c>
      <c r="P100" s="97">
        <f t="shared" ref="P100:AM100" si="54">P29</f>
        <v>0</v>
      </c>
      <c r="Q100" s="97">
        <f t="shared" si="54"/>
        <v>0</v>
      </c>
      <c r="R100" s="97">
        <f t="shared" si="54"/>
        <v>0</v>
      </c>
      <c r="S100" s="97">
        <f t="shared" si="54"/>
        <v>410575.7476647172</v>
      </c>
      <c r="T100" s="97">
        <f t="shared" si="54"/>
        <v>0</v>
      </c>
      <c r="U100" s="97">
        <f t="shared" si="54"/>
        <v>0</v>
      </c>
      <c r="V100" s="97">
        <f t="shared" si="54"/>
        <v>37556.889073990758</v>
      </c>
      <c r="W100" s="97">
        <f t="shared" si="54"/>
        <v>55670.453799383526</v>
      </c>
      <c r="X100" s="97">
        <f t="shared" si="54"/>
        <v>0</v>
      </c>
      <c r="Y100" s="97">
        <f t="shared" si="54"/>
        <v>407727.82318908576</v>
      </c>
      <c r="Z100" s="97">
        <f t="shared" si="54"/>
        <v>0</v>
      </c>
      <c r="AA100" s="97">
        <f t="shared" si="54"/>
        <v>179232.30624117795</v>
      </c>
      <c r="AB100" s="97">
        <f t="shared" si="54"/>
        <v>0</v>
      </c>
      <c r="AC100" s="97">
        <f t="shared" si="54"/>
        <v>0</v>
      </c>
      <c r="AD100" s="97">
        <f t="shared" si="54"/>
        <v>445243.83049311116</v>
      </c>
      <c r="AE100" s="97">
        <f t="shared" si="54"/>
        <v>9080.9027056661143</v>
      </c>
      <c r="AF100" s="97">
        <f t="shared" si="54"/>
        <v>46630.432863682727</v>
      </c>
      <c r="AG100" s="97">
        <f t="shared" si="54"/>
        <v>0</v>
      </c>
      <c r="AH100" s="97">
        <f t="shared" si="54"/>
        <v>0</v>
      </c>
      <c r="AI100" s="97">
        <f t="shared" si="54"/>
        <v>410534.86589475186</v>
      </c>
      <c r="AJ100" s="97">
        <f t="shared" si="54"/>
        <v>0</v>
      </c>
      <c r="AK100" s="97">
        <f t="shared" si="54"/>
        <v>37556.889073990758</v>
      </c>
      <c r="AL100" s="97">
        <f t="shared" si="54"/>
        <v>0</v>
      </c>
      <c r="AM100" s="97">
        <f t="shared" si="54"/>
        <v>2807.0427056661147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566491.85243718082</v>
      </c>
      <c r="L101" s="97">
        <f t="shared" si="52"/>
        <v>1839687.3971624083</v>
      </c>
      <c r="M101" s="1"/>
      <c r="N101" s="1"/>
      <c r="O101" s="97">
        <f t="shared" ref="O101:AM101" si="55">O67</f>
        <v>0</v>
      </c>
      <c r="P101" s="97">
        <f t="shared" si="55"/>
        <v>465055.7785081754</v>
      </c>
      <c r="Q101" s="97">
        <f t="shared" si="55"/>
        <v>-26139.228944458315</v>
      </c>
      <c r="R101" s="97">
        <f t="shared" si="55"/>
        <v>-13687.268071706094</v>
      </c>
      <c r="S101" s="97">
        <f t="shared" si="55"/>
        <v>1.4325624955507135</v>
      </c>
      <c r="T101" s="97">
        <f t="shared" si="55"/>
        <v>-25729.039163615227</v>
      </c>
      <c r="U101" s="97">
        <f t="shared" si="55"/>
        <v>-13236.337879220779</v>
      </c>
      <c r="V101" s="97">
        <f t="shared" si="55"/>
        <v>497.14954032203849</v>
      </c>
      <c r="W101" s="97">
        <f t="shared" si="55"/>
        <v>11864.475647592473</v>
      </c>
      <c r="X101" s="97">
        <f t="shared" si="55"/>
        <v>22561.759371617496</v>
      </c>
      <c r="Y101" s="97">
        <f t="shared" si="55"/>
        <v>39850.745455730037</v>
      </c>
      <c r="Z101" s="97">
        <f t="shared" si="55"/>
        <v>18361.001089570342</v>
      </c>
      <c r="AA101" s="97">
        <f t="shared" si="55"/>
        <v>35232.764147628084</v>
      </c>
      <c r="AB101" s="97">
        <f t="shared" si="55"/>
        <v>35978.734529571419</v>
      </c>
      <c r="AC101" s="97">
        <f t="shared" si="55"/>
        <v>54600.306447014897</v>
      </c>
      <c r="AD101" s="97">
        <f t="shared" si="55"/>
        <v>75071.389348819677</v>
      </c>
      <c r="AE101" s="97">
        <f t="shared" si="55"/>
        <v>53353.667459578268</v>
      </c>
      <c r="AF101" s="97">
        <f t="shared" si="55"/>
        <v>72799.00979084881</v>
      </c>
      <c r="AG101" s="97">
        <f t="shared" si="55"/>
        <v>90446.22818301509</v>
      </c>
      <c r="AH101" s="97">
        <f t="shared" si="55"/>
        <v>114477.55971953284</v>
      </c>
      <c r="AI101" s="97">
        <f t="shared" si="55"/>
        <v>140895.70434802075</v>
      </c>
      <c r="AJ101" s="97">
        <f t="shared" si="55"/>
        <v>129163.03666010483</v>
      </c>
      <c r="AK101" s="97">
        <f t="shared" si="55"/>
        <v>157039.75584033236</v>
      </c>
      <c r="AL101" s="97">
        <f t="shared" si="55"/>
        <v>183955.03198941451</v>
      </c>
      <c r="AM101" s="97">
        <f t="shared" si="55"/>
        <v>217273.74058202372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-223821.55910068596</v>
      </c>
      <c r="L102" s="99">
        <f t="shared" ref="L102" si="56">SUM(L103:L104)</f>
        <v>-639374.18615232292</v>
      </c>
      <c r="M102" s="1"/>
      <c r="N102" s="1"/>
      <c r="O102" s="99">
        <f t="shared" ref="O102:AM102" si="57">SUM(O103:O104)</f>
        <v>-8758.5504952372939</v>
      </c>
      <c r="P102" s="99">
        <f t="shared" si="57"/>
        <v>-26275.651485711911</v>
      </c>
      <c r="Q102" s="99">
        <f t="shared" si="57"/>
        <v>-26275.651485711911</v>
      </c>
      <c r="R102" s="99">
        <f t="shared" si="57"/>
        <v>-26275.651485711911</v>
      </c>
      <c r="S102" s="99">
        <f t="shared" si="57"/>
        <v>-26275.651485711911</v>
      </c>
      <c r="T102" s="99">
        <f t="shared" si="57"/>
        <v>-26275.651485711911</v>
      </c>
      <c r="U102" s="99">
        <f t="shared" si="57"/>
        <v>-26275.651485711911</v>
      </c>
      <c r="V102" s="99">
        <f t="shared" si="57"/>
        <v>-26275.651485711911</v>
      </c>
      <c r="W102" s="99">
        <f t="shared" si="57"/>
        <v>-26275.651485711911</v>
      </c>
      <c r="X102" s="99">
        <f t="shared" si="57"/>
        <v>-26275.651485711911</v>
      </c>
      <c r="Y102" s="99">
        <f t="shared" si="57"/>
        <v>-26275.651485711911</v>
      </c>
      <c r="Z102" s="99">
        <f t="shared" si="57"/>
        <v>-26275.651485711911</v>
      </c>
      <c r="AA102" s="99">
        <f t="shared" si="57"/>
        <v>-26275.651485711911</v>
      </c>
      <c r="AB102" s="99">
        <f t="shared" si="57"/>
        <v>-26275.651485711911</v>
      </c>
      <c r="AC102" s="99">
        <f t="shared" si="57"/>
        <v>-26275.651485711911</v>
      </c>
      <c r="AD102" s="99">
        <f t="shared" si="57"/>
        <v>-26275.651485711911</v>
      </c>
      <c r="AE102" s="99">
        <f t="shared" si="57"/>
        <v>-26275.651485711911</v>
      </c>
      <c r="AF102" s="99">
        <f t="shared" si="57"/>
        <v>-26275.651485711911</v>
      </c>
      <c r="AG102" s="99">
        <f t="shared" si="57"/>
        <v>-26275.651485711911</v>
      </c>
      <c r="AH102" s="99">
        <f t="shared" si="57"/>
        <v>-26275.651485711911</v>
      </c>
      <c r="AI102" s="99">
        <f t="shared" si="57"/>
        <v>-26275.651485711911</v>
      </c>
      <c r="AJ102" s="99">
        <f t="shared" si="57"/>
        <v>-26275.651485711911</v>
      </c>
      <c r="AK102" s="99">
        <f t="shared" si="57"/>
        <v>-26275.651485711911</v>
      </c>
      <c r="AL102" s="99">
        <f t="shared" si="57"/>
        <v>-26275.651485711911</v>
      </c>
      <c r="AM102" s="99">
        <f t="shared" si="57"/>
        <v>-26275.651485711911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-144592.68862256702</v>
      </c>
      <c r="L103" s="54">
        <f t="shared" ref="L103:L104" si="58">SUM(O103:AV103)</f>
        <v>-413047.04061167757</v>
      </c>
      <c r="M103" s="1"/>
      <c r="N103" s="1"/>
      <c r="O103" s="54">
        <f t="shared" ref="O103:AM104" si="59">-O205</f>
        <v>-5658.1786385161276</v>
      </c>
      <c r="P103" s="54">
        <f t="shared" si="59"/>
        <v>-16974.5359155484</v>
      </c>
      <c r="Q103" s="54">
        <f t="shared" si="59"/>
        <v>-16974.5359155484</v>
      </c>
      <c r="R103" s="54">
        <f t="shared" si="59"/>
        <v>-16974.5359155484</v>
      </c>
      <c r="S103" s="54">
        <f t="shared" si="59"/>
        <v>-16974.5359155484</v>
      </c>
      <c r="T103" s="54">
        <f t="shared" si="59"/>
        <v>-16974.5359155484</v>
      </c>
      <c r="U103" s="54">
        <f t="shared" si="59"/>
        <v>-16974.5359155484</v>
      </c>
      <c r="V103" s="54">
        <f t="shared" si="59"/>
        <v>-16974.5359155484</v>
      </c>
      <c r="W103" s="54">
        <f t="shared" si="59"/>
        <v>-16974.5359155484</v>
      </c>
      <c r="X103" s="54">
        <f t="shared" si="59"/>
        <v>-16974.5359155484</v>
      </c>
      <c r="Y103" s="54">
        <f t="shared" si="59"/>
        <v>-16974.5359155484</v>
      </c>
      <c r="Z103" s="54">
        <f t="shared" si="59"/>
        <v>-16974.5359155484</v>
      </c>
      <c r="AA103" s="54">
        <f t="shared" si="59"/>
        <v>-16974.5359155484</v>
      </c>
      <c r="AB103" s="54">
        <f t="shared" si="59"/>
        <v>-16974.5359155484</v>
      </c>
      <c r="AC103" s="54">
        <f t="shared" si="59"/>
        <v>-16974.5359155484</v>
      </c>
      <c r="AD103" s="54">
        <f t="shared" si="59"/>
        <v>-16974.5359155484</v>
      </c>
      <c r="AE103" s="54">
        <f t="shared" si="59"/>
        <v>-16974.5359155484</v>
      </c>
      <c r="AF103" s="54">
        <f t="shared" si="59"/>
        <v>-16974.5359155484</v>
      </c>
      <c r="AG103" s="54">
        <f t="shared" si="59"/>
        <v>-16974.5359155484</v>
      </c>
      <c r="AH103" s="54">
        <f t="shared" si="59"/>
        <v>-16974.5359155484</v>
      </c>
      <c r="AI103" s="54">
        <f t="shared" si="59"/>
        <v>-16974.5359155484</v>
      </c>
      <c r="AJ103" s="54">
        <f t="shared" si="59"/>
        <v>-16974.5359155484</v>
      </c>
      <c r="AK103" s="54">
        <f t="shared" si="59"/>
        <v>-16974.5359155484</v>
      </c>
      <c r="AL103" s="54">
        <f t="shared" si="59"/>
        <v>-16974.5359155484</v>
      </c>
      <c r="AM103" s="54">
        <f t="shared" si="59"/>
        <v>-16974.5359155484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-79228.870478118944</v>
      </c>
      <c r="L104" s="102">
        <f t="shared" si="58"/>
        <v>-226327.14554064532</v>
      </c>
      <c r="M104" s="1"/>
      <c r="N104" s="1"/>
      <c r="O104" s="102">
        <f t="shared" si="59"/>
        <v>-3100.3718567211658</v>
      </c>
      <c r="P104" s="102">
        <f t="shared" si="59"/>
        <v>-9301.1155701635089</v>
      </c>
      <c r="Q104" s="102">
        <f t="shared" si="59"/>
        <v>-9301.1155701635089</v>
      </c>
      <c r="R104" s="102">
        <f t="shared" si="59"/>
        <v>-9301.1155701635089</v>
      </c>
      <c r="S104" s="102">
        <f t="shared" si="59"/>
        <v>-9301.1155701635089</v>
      </c>
      <c r="T104" s="102">
        <f t="shared" si="59"/>
        <v>-9301.1155701635089</v>
      </c>
      <c r="U104" s="102">
        <f t="shared" si="59"/>
        <v>-9301.1155701635089</v>
      </c>
      <c r="V104" s="102">
        <f t="shared" si="59"/>
        <v>-9301.1155701635089</v>
      </c>
      <c r="W104" s="102">
        <f t="shared" si="59"/>
        <v>-9301.1155701635089</v>
      </c>
      <c r="X104" s="102">
        <f t="shared" si="59"/>
        <v>-9301.1155701635089</v>
      </c>
      <c r="Y104" s="102">
        <f t="shared" si="59"/>
        <v>-9301.1155701635089</v>
      </c>
      <c r="Z104" s="102">
        <f t="shared" si="59"/>
        <v>-9301.1155701635089</v>
      </c>
      <c r="AA104" s="102">
        <f t="shared" si="59"/>
        <v>-9301.1155701635089</v>
      </c>
      <c r="AB104" s="102">
        <f t="shared" si="59"/>
        <v>-9301.1155701635089</v>
      </c>
      <c r="AC104" s="102">
        <f t="shared" si="59"/>
        <v>-9301.1155701635089</v>
      </c>
      <c r="AD104" s="102">
        <f t="shared" si="59"/>
        <v>-9301.1155701635089</v>
      </c>
      <c r="AE104" s="102">
        <f t="shared" si="59"/>
        <v>-9301.1155701635089</v>
      </c>
      <c r="AF104" s="102">
        <f t="shared" si="59"/>
        <v>-9301.1155701635089</v>
      </c>
      <c r="AG104" s="102">
        <f t="shared" si="59"/>
        <v>-9301.1155701635089</v>
      </c>
      <c r="AH104" s="102">
        <f t="shared" si="59"/>
        <v>-9301.1155701635089</v>
      </c>
      <c r="AI104" s="102">
        <f t="shared" si="59"/>
        <v>-9301.1155701635089</v>
      </c>
      <c r="AJ104" s="102">
        <f t="shared" si="59"/>
        <v>-9301.1155701635089</v>
      </c>
      <c r="AK104" s="102">
        <f t="shared" si="59"/>
        <v>-9301.1155701635089</v>
      </c>
      <c r="AL104" s="102">
        <f t="shared" si="59"/>
        <v>-9301.1155701635089</v>
      </c>
      <c r="AM104" s="102">
        <f t="shared" si="59"/>
        <v>-9301.1155701635089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60">K98+K102</f>
        <v>4521882.8128979532</v>
      </c>
      <c r="L105" s="69">
        <f t="shared" si="60"/>
        <v>11802787.230357442</v>
      </c>
      <c r="M105" s="1"/>
      <c r="N105" s="1"/>
      <c r="O105" s="69">
        <f t="shared" ref="O105:AM105" si="61">O98+O102</f>
        <v>1026005.6572985332</v>
      </c>
      <c r="P105" s="69">
        <f t="shared" si="61"/>
        <v>287269.87467463658</v>
      </c>
      <c r="Q105" s="69">
        <f t="shared" si="61"/>
        <v>287269.87467463658</v>
      </c>
      <c r="R105" s="69">
        <f t="shared" si="61"/>
        <v>287269.87467463658</v>
      </c>
      <c r="S105" s="69">
        <f t="shared" si="61"/>
        <v>697845.62233935378</v>
      </c>
      <c r="T105" s="69">
        <f t="shared" si="61"/>
        <v>287269.87467463658</v>
      </c>
      <c r="U105" s="69">
        <f t="shared" si="61"/>
        <v>287269.87467463658</v>
      </c>
      <c r="V105" s="69">
        <f t="shared" si="61"/>
        <v>324826.76374862733</v>
      </c>
      <c r="W105" s="69">
        <f t="shared" si="61"/>
        <v>342940.32847402012</v>
      </c>
      <c r="X105" s="69">
        <f t="shared" si="61"/>
        <v>287269.87467463658</v>
      </c>
      <c r="Y105" s="69">
        <f t="shared" si="61"/>
        <v>694997.69786372234</v>
      </c>
      <c r="Z105" s="69">
        <f t="shared" si="61"/>
        <v>287269.87467463658</v>
      </c>
      <c r="AA105" s="69">
        <f t="shared" si="61"/>
        <v>466502.18091581453</v>
      </c>
      <c r="AB105" s="69">
        <f t="shared" si="61"/>
        <v>287269.87467463658</v>
      </c>
      <c r="AC105" s="69">
        <f t="shared" si="61"/>
        <v>287269.87467463658</v>
      </c>
      <c r="AD105" s="69">
        <f t="shared" si="61"/>
        <v>732513.70516774768</v>
      </c>
      <c r="AE105" s="69">
        <f t="shared" si="61"/>
        <v>296350.77738030266</v>
      </c>
      <c r="AF105" s="69">
        <f t="shared" si="61"/>
        <v>333900.30753831932</v>
      </c>
      <c r="AG105" s="69">
        <f t="shared" si="61"/>
        <v>287269.87467463658</v>
      </c>
      <c r="AH105" s="69">
        <f t="shared" si="61"/>
        <v>287269.87467463658</v>
      </c>
      <c r="AI105" s="69">
        <f t="shared" si="61"/>
        <v>697804.74056938838</v>
      </c>
      <c r="AJ105" s="69">
        <f t="shared" si="61"/>
        <v>287269.87467463658</v>
      </c>
      <c r="AK105" s="69">
        <f t="shared" si="61"/>
        <v>324826.76374862733</v>
      </c>
      <c r="AL105" s="69">
        <f t="shared" si="61"/>
        <v>287269.87467463658</v>
      </c>
      <c r="AM105" s="69">
        <f t="shared" si="61"/>
        <v>290076.91738030268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-1894376.5172268339</v>
      </c>
      <c r="L106" s="97">
        <f t="shared" ref="L106:L107" si="62">SUM(O106:AV106)</f>
        <v>-5291912.3215502268</v>
      </c>
      <c r="M106" s="1"/>
      <c r="N106" s="1"/>
      <c r="O106" s="97">
        <f t="shared" ref="O106:AM106" si="63">-SUM(O11)</f>
        <v>-136074.89976813929</v>
      </c>
      <c r="P106" s="97">
        <f t="shared" si="63"/>
        <v>-213382.74547759569</v>
      </c>
      <c r="Q106" s="97">
        <f t="shared" si="63"/>
        <v>-220515.3824356478</v>
      </c>
      <c r="R106" s="97">
        <f t="shared" si="63"/>
        <v>-213243.22874404321</v>
      </c>
      <c r="S106" s="97">
        <f t="shared" si="63"/>
        <v>-214366.40570209533</v>
      </c>
      <c r="T106" s="97">
        <f t="shared" si="63"/>
        <v>-219113.17201049073</v>
      </c>
      <c r="U106" s="97">
        <f t="shared" si="63"/>
        <v>-214226.88896854289</v>
      </c>
      <c r="V106" s="97">
        <f t="shared" si="63"/>
        <v>-218973.65527693828</v>
      </c>
      <c r="W106" s="97">
        <f t="shared" si="63"/>
        <v>-214087.37223499044</v>
      </c>
      <c r="X106" s="97">
        <f t="shared" si="63"/>
        <v>-212824.67854338587</v>
      </c>
      <c r="Y106" s="97">
        <f t="shared" si="63"/>
        <v>-219957.31550143799</v>
      </c>
      <c r="Z106" s="97">
        <f t="shared" si="63"/>
        <v>-212685.16180983343</v>
      </c>
      <c r="AA106" s="97">
        <f t="shared" si="63"/>
        <v>-219817.79876788551</v>
      </c>
      <c r="AB106" s="97">
        <f t="shared" si="63"/>
        <v>-212545.64507628095</v>
      </c>
      <c r="AC106" s="97">
        <f t="shared" si="63"/>
        <v>-213668.82203433308</v>
      </c>
      <c r="AD106" s="97">
        <f t="shared" si="63"/>
        <v>-218415.58834272847</v>
      </c>
      <c r="AE106" s="97">
        <f t="shared" si="63"/>
        <v>-213529.30530078063</v>
      </c>
      <c r="AF106" s="97">
        <f t="shared" si="63"/>
        <v>-218276.07160917603</v>
      </c>
      <c r="AG106" s="97">
        <f t="shared" si="63"/>
        <v>-213389.78856722818</v>
      </c>
      <c r="AH106" s="97">
        <f t="shared" si="63"/>
        <v>-212127.09487562362</v>
      </c>
      <c r="AI106" s="97">
        <f t="shared" si="63"/>
        <v>-219259.7318336757</v>
      </c>
      <c r="AJ106" s="97">
        <f t="shared" si="63"/>
        <v>-211987.57814207114</v>
      </c>
      <c r="AK106" s="97">
        <f t="shared" si="63"/>
        <v>-219120.21510012326</v>
      </c>
      <c r="AL106" s="97">
        <f t="shared" si="63"/>
        <v>-211848.0614085187</v>
      </c>
      <c r="AM106" s="97">
        <f t="shared" si="63"/>
        <v>-198475.7140186601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-1508365.3836715855</v>
      </c>
      <c r="L107" s="102">
        <f t="shared" si="62"/>
        <v>-2972866.2161122118</v>
      </c>
      <c r="M107" s="1"/>
      <c r="N107" s="1"/>
      <c r="O107" s="102">
        <f>-O29</f>
        <v>-930249.03240698786</v>
      </c>
      <c r="P107" s="102">
        <f t="shared" ref="P107:AM107" si="64">-P29</f>
        <v>0</v>
      </c>
      <c r="Q107" s="102">
        <f t="shared" si="64"/>
        <v>0</v>
      </c>
      <c r="R107" s="102">
        <f t="shared" si="64"/>
        <v>0</v>
      </c>
      <c r="S107" s="102">
        <f t="shared" si="64"/>
        <v>-410575.7476647172</v>
      </c>
      <c r="T107" s="102">
        <f t="shared" si="64"/>
        <v>0</v>
      </c>
      <c r="U107" s="102">
        <f t="shared" si="64"/>
        <v>0</v>
      </c>
      <c r="V107" s="102">
        <f t="shared" si="64"/>
        <v>-37556.889073990758</v>
      </c>
      <c r="W107" s="102">
        <f t="shared" si="64"/>
        <v>-55670.453799383526</v>
      </c>
      <c r="X107" s="102">
        <f t="shared" si="64"/>
        <v>0</v>
      </c>
      <c r="Y107" s="102">
        <f t="shared" si="64"/>
        <v>-407727.82318908576</v>
      </c>
      <c r="Z107" s="102">
        <f t="shared" si="64"/>
        <v>0</v>
      </c>
      <c r="AA107" s="102">
        <f t="shared" si="64"/>
        <v>-179232.30624117795</v>
      </c>
      <c r="AB107" s="102">
        <f t="shared" si="64"/>
        <v>0</v>
      </c>
      <c r="AC107" s="102">
        <f t="shared" si="64"/>
        <v>0</v>
      </c>
      <c r="AD107" s="102">
        <f t="shared" si="64"/>
        <v>-445243.83049311116</v>
      </c>
      <c r="AE107" s="102">
        <f t="shared" si="64"/>
        <v>-9080.9027056661143</v>
      </c>
      <c r="AF107" s="102">
        <f t="shared" si="64"/>
        <v>-46630.432863682727</v>
      </c>
      <c r="AG107" s="102">
        <f t="shared" si="64"/>
        <v>0</v>
      </c>
      <c r="AH107" s="102">
        <f t="shared" si="64"/>
        <v>0</v>
      </c>
      <c r="AI107" s="102">
        <f t="shared" si="64"/>
        <v>-410534.86589475186</v>
      </c>
      <c r="AJ107" s="102">
        <f t="shared" si="64"/>
        <v>0</v>
      </c>
      <c r="AK107" s="102">
        <f t="shared" si="64"/>
        <v>-37556.889073990758</v>
      </c>
      <c r="AL107" s="102">
        <f t="shared" si="64"/>
        <v>0</v>
      </c>
      <c r="AM107" s="102">
        <f t="shared" si="64"/>
        <v>-2807.0427056661147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65">K105+SUM(K106:K107)</f>
        <v>1119140.9119995339</v>
      </c>
      <c r="L108" s="75">
        <f t="shared" si="65"/>
        <v>3538008.692695003</v>
      </c>
      <c r="M108" s="1"/>
      <c r="N108" s="1"/>
      <c r="O108" s="75">
        <f t="shared" ref="O108:AM108" si="66">O105+SUM(O106:O107)</f>
        <v>-40318.274876593845</v>
      </c>
      <c r="P108" s="75">
        <f t="shared" si="66"/>
        <v>73887.129197040893</v>
      </c>
      <c r="Q108" s="75">
        <f t="shared" si="66"/>
        <v>66754.49223898878</v>
      </c>
      <c r="R108" s="75">
        <f t="shared" si="66"/>
        <v>74026.645930593368</v>
      </c>
      <c r="S108" s="75">
        <f t="shared" si="66"/>
        <v>72903.468972541275</v>
      </c>
      <c r="T108" s="75">
        <f t="shared" si="66"/>
        <v>68156.702664145851</v>
      </c>
      <c r="U108" s="75">
        <f t="shared" si="66"/>
        <v>73042.985706093692</v>
      </c>
      <c r="V108" s="75">
        <f t="shared" si="66"/>
        <v>68296.219397698296</v>
      </c>
      <c r="W108" s="75">
        <f t="shared" si="66"/>
        <v>73182.502439646167</v>
      </c>
      <c r="X108" s="75">
        <f t="shared" si="66"/>
        <v>74445.196131250705</v>
      </c>
      <c r="Y108" s="75">
        <f t="shared" si="66"/>
        <v>67312.559173198533</v>
      </c>
      <c r="Z108" s="75">
        <f t="shared" si="66"/>
        <v>74584.71286480315</v>
      </c>
      <c r="AA108" s="75">
        <f t="shared" si="66"/>
        <v>67452.075906751037</v>
      </c>
      <c r="AB108" s="75">
        <f t="shared" si="66"/>
        <v>74724.229598355625</v>
      </c>
      <c r="AC108" s="75">
        <f t="shared" si="66"/>
        <v>73601.052640303504</v>
      </c>
      <c r="AD108" s="75">
        <f t="shared" si="66"/>
        <v>68854.286331908079</v>
      </c>
      <c r="AE108" s="75">
        <f t="shared" si="66"/>
        <v>73740.56937385592</v>
      </c>
      <c r="AF108" s="75">
        <f t="shared" si="66"/>
        <v>68993.803065460583</v>
      </c>
      <c r="AG108" s="75">
        <f t="shared" si="66"/>
        <v>73880.086107408395</v>
      </c>
      <c r="AH108" s="75">
        <f t="shared" si="66"/>
        <v>75142.779799012962</v>
      </c>
      <c r="AI108" s="75">
        <f t="shared" si="66"/>
        <v>68010.142840960878</v>
      </c>
      <c r="AJ108" s="75">
        <f t="shared" si="66"/>
        <v>75282.296532565437</v>
      </c>
      <c r="AK108" s="75">
        <f t="shared" si="66"/>
        <v>68149.659574513324</v>
      </c>
      <c r="AL108" s="75">
        <f t="shared" si="66"/>
        <v>75421.813266117882</v>
      </c>
      <c r="AM108" s="75">
        <f t="shared" si="66"/>
        <v>88794.160655976448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>
        <f t="shared" ref="K109:L109" si="67">IFERROR(K108/K$105,0)</f>
        <v>0.24749445271057491</v>
      </c>
      <c r="L109" s="105">
        <f t="shared" si="67"/>
        <v>0.29976043994041024</v>
      </c>
      <c r="M109" s="1"/>
      <c r="N109" s="1"/>
      <c r="O109" s="105">
        <f t="shared" ref="O109:AM109" si="68">IFERROR(O108/O$105,0)</f>
        <v>-3.9296347529653608E-2</v>
      </c>
      <c r="P109" s="105">
        <f t="shared" si="68"/>
        <v>0.25720458603856688</v>
      </c>
      <c r="Q109" s="105">
        <f t="shared" si="68"/>
        <v>0.23237553995035254</v>
      </c>
      <c r="R109" s="105">
        <f t="shared" si="68"/>
        <v>0.25769025037671056</v>
      </c>
      <c r="S109" s="105">
        <f t="shared" si="68"/>
        <v>0.10446933625255188</v>
      </c>
      <c r="T109" s="105">
        <f t="shared" si="68"/>
        <v>0.23725670065940782</v>
      </c>
      <c r="U109" s="105">
        <f t="shared" si="68"/>
        <v>0.25426608268208623</v>
      </c>
      <c r="V109" s="105">
        <f t="shared" si="68"/>
        <v>0.21025428634492224</v>
      </c>
      <c r="W109" s="105">
        <f t="shared" si="68"/>
        <v>0.21339719001636812</v>
      </c>
      <c r="X109" s="105">
        <f t="shared" si="68"/>
        <v>0.25914724339114131</v>
      </c>
      <c r="Y109" s="105">
        <f t="shared" si="68"/>
        <v>9.685292394507676E-2</v>
      </c>
      <c r="Z109" s="105">
        <f t="shared" si="68"/>
        <v>0.25963290772928488</v>
      </c>
      <c r="AA109" s="105">
        <f t="shared" si="68"/>
        <v>0.14459112661452597</v>
      </c>
      <c r="AB109" s="105">
        <f t="shared" si="68"/>
        <v>0.26011857206742856</v>
      </c>
      <c r="AC109" s="105">
        <f t="shared" si="68"/>
        <v>0.25620874003466065</v>
      </c>
      <c r="AD109" s="105">
        <f t="shared" si="68"/>
        <v>9.3997267008322061E-2</v>
      </c>
      <c r="AE109" s="105">
        <f t="shared" si="68"/>
        <v>0.24882866859912336</v>
      </c>
      <c r="AF109" s="105">
        <f t="shared" si="68"/>
        <v>0.20662994764550394</v>
      </c>
      <c r="AG109" s="105">
        <f t="shared" si="68"/>
        <v>0.25718006871094778</v>
      </c>
      <c r="AH109" s="105">
        <f t="shared" si="68"/>
        <v>0.26157556508185931</v>
      </c>
      <c r="AI109" s="105">
        <f t="shared" si="68"/>
        <v>9.7462999155704472E-2</v>
      </c>
      <c r="AJ109" s="105">
        <f t="shared" si="68"/>
        <v>0.26206122942000298</v>
      </c>
      <c r="AK109" s="105">
        <f t="shared" si="68"/>
        <v>0.20980309254089693</v>
      </c>
      <c r="AL109" s="105">
        <f t="shared" si="68"/>
        <v>0.26254689375814655</v>
      </c>
      <c r="AM109" s="105">
        <f t="shared" si="68"/>
        <v>0.30610557178378889</v>
      </c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69">SUM(O110:AV110)</f>
        <v>0</v>
      </c>
      <c r="M110" s="1"/>
      <c r="N110" s="1"/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1857088.2404532556</v>
      </c>
      <c r="L111" s="102">
        <f t="shared" si="69"/>
        <v>5526436.8709595306</v>
      </c>
      <c r="M111" s="1"/>
      <c r="N111" s="1"/>
      <c r="O111" s="102">
        <f t="shared" ref="O111:AM111" si="70">O70</f>
        <v>50503.417449275585</v>
      </c>
      <c r="P111" s="102">
        <f t="shared" si="70"/>
        <v>616566.03085600235</v>
      </c>
      <c r="Q111" s="102">
        <f t="shared" si="70"/>
        <v>125371.02340336861</v>
      </c>
      <c r="R111" s="102">
        <f t="shared" si="70"/>
        <v>137822.98427612084</v>
      </c>
      <c r="S111" s="102">
        <f t="shared" si="70"/>
        <v>151511.68491032248</v>
      </c>
      <c r="T111" s="102">
        <f t="shared" si="70"/>
        <v>125781.21318421169</v>
      </c>
      <c r="U111" s="102">
        <f t="shared" si="70"/>
        <v>138273.91446860615</v>
      </c>
      <c r="V111" s="102">
        <f t="shared" si="70"/>
        <v>152007.40188814898</v>
      </c>
      <c r="W111" s="102">
        <f t="shared" si="70"/>
        <v>163374.72799541941</v>
      </c>
      <c r="X111" s="102">
        <f t="shared" si="70"/>
        <v>174072.01171944442</v>
      </c>
      <c r="Y111" s="102">
        <f t="shared" si="70"/>
        <v>191360.99780355697</v>
      </c>
      <c r="Z111" s="102">
        <f t="shared" si="70"/>
        <v>169871.25343739727</v>
      </c>
      <c r="AA111" s="102">
        <f t="shared" si="70"/>
        <v>186743.016495455</v>
      </c>
      <c r="AB111" s="102">
        <f t="shared" si="70"/>
        <v>187488.98687739833</v>
      </c>
      <c r="AC111" s="102">
        <f t="shared" si="70"/>
        <v>206110.55879484181</v>
      </c>
      <c r="AD111" s="102">
        <f t="shared" si="70"/>
        <v>226581.64169664661</v>
      </c>
      <c r="AE111" s="102">
        <f t="shared" si="70"/>
        <v>204863.91980740521</v>
      </c>
      <c r="AF111" s="102">
        <f t="shared" si="70"/>
        <v>224309.26213867572</v>
      </c>
      <c r="AG111" s="102">
        <f t="shared" si="70"/>
        <v>241956.48053084203</v>
      </c>
      <c r="AH111" s="102">
        <f t="shared" si="70"/>
        <v>265987.8120673598</v>
      </c>
      <c r="AI111" s="102">
        <f t="shared" si="70"/>
        <v>292405.95669584768</v>
      </c>
      <c r="AJ111" s="102">
        <f t="shared" si="70"/>
        <v>280673.28900793177</v>
      </c>
      <c r="AK111" s="102">
        <f t="shared" si="70"/>
        <v>308550.00818815932</v>
      </c>
      <c r="AL111" s="102">
        <f t="shared" si="70"/>
        <v>335465.28433724144</v>
      </c>
      <c r="AM111" s="102">
        <f t="shared" si="70"/>
        <v>368783.99292985065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71">K108+K110+K111</f>
        <v>2976229.1524527892</v>
      </c>
      <c r="L112" s="75">
        <f t="shared" si="71"/>
        <v>9064445.5636545345</v>
      </c>
      <c r="M112" s="1"/>
      <c r="N112" s="1"/>
      <c r="O112" s="75">
        <f t="shared" ref="O112:AM112" si="72">O108+O110+O111</f>
        <v>10185.14257268174</v>
      </c>
      <c r="P112" s="75">
        <f t="shared" si="72"/>
        <v>690453.16005304328</v>
      </c>
      <c r="Q112" s="75">
        <f t="shared" si="72"/>
        <v>192125.51564235741</v>
      </c>
      <c r="R112" s="75">
        <f t="shared" si="72"/>
        <v>211849.63020671421</v>
      </c>
      <c r="S112" s="75">
        <f t="shared" si="72"/>
        <v>224415.15388286376</v>
      </c>
      <c r="T112" s="75">
        <f t="shared" si="72"/>
        <v>193937.91584835754</v>
      </c>
      <c r="U112" s="75">
        <f t="shared" si="72"/>
        <v>211316.90017469984</v>
      </c>
      <c r="V112" s="75">
        <f t="shared" si="72"/>
        <v>220303.62128584727</v>
      </c>
      <c r="W112" s="75">
        <f t="shared" si="72"/>
        <v>236557.23043506558</v>
      </c>
      <c r="X112" s="75">
        <f t="shared" si="72"/>
        <v>248517.20785069512</v>
      </c>
      <c r="Y112" s="75">
        <f t="shared" si="72"/>
        <v>258673.5569767555</v>
      </c>
      <c r="Z112" s="75">
        <f t="shared" si="72"/>
        <v>244455.96630220042</v>
      </c>
      <c r="AA112" s="75">
        <f t="shared" si="72"/>
        <v>254195.09240220604</v>
      </c>
      <c r="AB112" s="75">
        <f t="shared" si="72"/>
        <v>262213.21647575393</v>
      </c>
      <c r="AC112" s="75">
        <f t="shared" si="72"/>
        <v>279711.61143514531</v>
      </c>
      <c r="AD112" s="75">
        <f t="shared" si="72"/>
        <v>295435.92802855466</v>
      </c>
      <c r="AE112" s="75">
        <f t="shared" si="72"/>
        <v>278604.48918126116</v>
      </c>
      <c r="AF112" s="75">
        <f t="shared" si="72"/>
        <v>293303.06520413631</v>
      </c>
      <c r="AG112" s="75">
        <f t="shared" si="72"/>
        <v>315836.56663825043</v>
      </c>
      <c r="AH112" s="75">
        <f t="shared" si="72"/>
        <v>341130.59186637274</v>
      </c>
      <c r="AI112" s="75">
        <f t="shared" si="72"/>
        <v>360416.09953680856</v>
      </c>
      <c r="AJ112" s="75">
        <f t="shared" si="72"/>
        <v>355955.58554049721</v>
      </c>
      <c r="AK112" s="75">
        <f t="shared" si="72"/>
        <v>376699.66776267265</v>
      </c>
      <c r="AL112" s="75">
        <f t="shared" si="72"/>
        <v>410887.09760335932</v>
      </c>
      <c r="AM112" s="75">
        <f t="shared" si="72"/>
        <v>457578.15358582709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>
        <f t="shared" ref="K113:L113" si="73">IFERROR(K112/K$105,0)</f>
        <v>0.65818360970425149</v>
      </c>
      <c r="L113" s="105">
        <f t="shared" si="73"/>
        <v>0.76799194857467767</v>
      </c>
      <c r="M113" s="1"/>
      <c r="N113" s="1"/>
      <c r="O113" s="105">
        <f t="shared" ref="O113:AM113" si="74">IFERROR(O112/O$105,0)</f>
        <v>9.9269848077633005E-3</v>
      </c>
      <c r="P113" s="105">
        <f t="shared" si="74"/>
        <v>2.4035000566455298</v>
      </c>
      <c r="Q113" s="105">
        <f t="shared" si="74"/>
        <v>0.66879799303689536</v>
      </c>
      <c r="R113" s="105">
        <f t="shared" si="74"/>
        <v>0.73745856730245818</v>
      </c>
      <c r="S113" s="105">
        <f t="shared" si="74"/>
        <v>0.32158280671098544</v>
      </c>
      <c r="T113" s="105">
        <f t="shared" si="74"/>
        <v>0.67510704374418895</v>
      </c>
      <c r="U113" s="105">
        <f t="shared" si="74"/>
        <v>0.7356041089029558</v>
      </c>
      <c r="V113" s="105">
        <f t="shared" si="74"/>
        <v>0.67821881036974208</v>
      </c>
      <c r="W113" s="105">
        <f t="shared" si="74"/>
        <v>0.68979122836813367</v>
      </c>
      <c r="X113" s="105">
        <f t="shared" si="74"/>
        <v>0.86510013669956543</v>
      </c>
      <c r="Y113" s="105">
        <f t="shared" si="74"/>
        <v>0.3721934011750887</v>
      </c>
      <c r="Z113" s="105">
        <f t="shared" si="74"/>
        <v>0.85096276307800311</v>
      </c>
      <c r="AA113" s="105">
        <f t="shared" si="74"/>
        <v>0.54489582857508301</v>
      </c>
      <c r="AB113" s="105">
        <f t="shared" si="74"/>
        <v>0.91277658951443497</v>
      </c>
      <c r="AC113" s="105">
        <f t="shared" si="74"/>
        <v>0.97368932872598701</v>
      </c>
      <c r="AD113" s="105">
        <f t="shared" si="74"/>
        <v>0.4033179528851259</v>
      </c>
      <c r="AE113" s="105">
        <f t="shared" si="74"/>
        <v>0.94011728818153917</v>
      </c>
      <c r="AF113" s="105">
        <f t="shared" si="74"/>
        <v>0.87841507953830211</v>
      </c>
      <c r="AG113" s="105">
        <f t="shared" si="74"/>
        <v>1.0994420037811783</v>
      </c>
      <c r="AH113" s="105">
        <f t="shared" si="74"/>
        <v>1.1874917001051333</v>
      </c>
      <c r="AI113" s="105">
        <f t="shared" si="74"/>
        <v>0.51649992982667259</v>
      </c>
      <c r="AJ113" s="105">
        <f t="shared" si="74"/>
        <v>1.2390982031918747</v>
      </c>
      <c r="AK113" s="105">
        <f t="shared" si="74"/>
        <v>1.1596940578892325</v>
      </c>
      <c r="AL113" s="105">
        <f t="shared" si="74"/>
        <v>1.430317390811453</v>
      </c>
      <c r="AM113" s="105">
        <f t="shared" si="74"/>
        <v>1.5774373146206717</v>
      </c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75">K112+K114</f>
        <v>2976229.1524527892</v>
      </c>
      <c r="L115" s="75">
        <f t="shared" si="75"/>
        <v>9064445.5636545345</v>
      </c>
      <c r="M115" s="1"/>
      <c r="N115" s="1"/>
      <c r="O115" s="75">
        <f t="shared" ref="O115:AM115" si="76">O112+O114</f>
        <v>10185.14257268174</v>
      </c>
      <c r="P115" s="75">
        <f t="shared" si="76"/>
        <v>690453.16005304328</v>
      </c>
      <c r="Q115" s="75">
        <f t="shared" si="76"/>
        <v>192125.51564235741</v>
      </c>
      <c r="R115" s="75">
        <f t="shared" si="76"/>
        <v>211849.63020671421</v>
      </c>
      <c r="S115" s="75">
        <f t="shared" si="76"/>
        <v>224415.15388286376</v>
      </c>
      <c r="T115" s="75">
        <f t="shared" si="76"/>
        <v>193937.91584835754</v>
      </c>
      <c r="U115" s="75">
        <f t="shared" si="76"/>
        <v>211316.90017469984</v>
      </c>
      <c r="V115" s="75">
        <f t="shared" si="76"/>
        <v>220303.62128584727</v>
      </c>
      <c r="W115" s="75">
        <f t="shared" si="76"/>
        <v>236557.23043506558</v>
      </c>
      <c r="X115" s="75">
        <f t="shared" si="76"/>
        <v>248517.20785069512</v>
      </c>
      <c r="Y115" s="75">
        <f t="shared" si="76"/>
        <v>258673.5569767555</v>
      </c>
      <c r="Z115" s="75">
        <f t="shared" si="76"/>
        <v>244455.96630220042</v>
      </c>
      <c r="AA115" s="75">
        <f t="shared" si="76"/>
        <v>254195.09240220604</v>
      </c>
      <c r="AB115" s="75">
        <f t="shared" si="76"/>
        <v>262213.21647575393</v>
      </c>
      <c r="AC115" s="75">
        <f t="shared" si="76"/>
        <v>279711.61143514531</v>
      </c>
      <c r="AD115" s="75">
        <f t="shared" si="76"/>
        <v>295435.92802855466</v>
      </c>
      <c r="AE115" s="75">
        <f t="shared" si="76"/>
        <v>278604.48918126116</v>
      </c>
      <c r="AF115" s="75">
        <f t="shared" si="76"/>
        <v>293303.06520413631</v>
      </c>
      <c r="AG115" s="75">
        <f t="shared" si="76"/>
        <v>315836.56663825043</v>
      </c>
      <c r="AH115" s="75">
        <f t="shared" si="76"/>
        <v>341130.59186637274</v>
      </c>
      <c r="AI115" s="75">
        <f t="shared" si="76"/>
        <v>360416.09953680856</v>
      </c>
      <c r="AJ115" s="75">
        <f t="shared" si="76"/>
        <v>355955.58554049721</v>
      </c>
      <c r="AK115" s="75">
        <f t="shared" si="76"/>
        <v>376699.66776267265</v>
      </c>
      <c r="AL115" s="75">
        <f t="shared" si="76"/>
        <v>410887.09760335932</v>
      </c>
      <c r="AM115" s="75">
        <f t="shared" si="76"/>
        <v>457578.15358582709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>
        <f t="shared" ref="K116:L116" si="77">IFERROR(K115/K$105,0)</f>
        <v>0.65818360970425149</v>
      </c>
      <c r="L116" s="105">
        <f t="shared" si="77"/>
        <v>0.76799194857467767</v>
      </c>
      <c r="M116" s="1"/>
      <c r="N116" s="1"/>
      <c r="O116" s="105">
        <f t="shared" ref="O116:AM116" si="78">IFERROR(O115/O$105,0)</f>
        <v>9.9269848077633005E-3</v>
      </c>
      <c r="P116" s="105">
        <f t="shared" si="78"/>
        <v>2.4035000566455298</v>
      </c>
      <c r="Q116" s="105">
        <f t="shared" si="78"/>
        <v>0.66879799303689536</v>
      </c>
      <c r="R116" s="105">
        <f t="shared" si="78"/>
        <v>0.73745856730245818</v>
      </c>
      <c r="S116" s="105">
        <f t="shared" si="78"/>
        <v>0.32158280671098544</v>
      </c>
      <c r="T116" s="105">
        <f t="shared" si="78"/>
        <v>0.67510704374418895</v>
      </c>
      <c r="U116" s="105">
        <f t="shared" si="78"/>
        <v>0.7356041089029558</v>
      </c>
      <c r="V116" s="105">
        <f t="shared" si="78"/>
        <v>0.67821881036974208</v>
      </c>
      <c r="W116" s="105">
        <f t="shared" si="78"/>
        <v>0.68979122836813367</v>
      </c>
      <c r="X116" s="105">
        <f t="shared" si="78"/>
        <v>0.86510013669956543</v>
      </c>
      <c r="Y116" s="105">
        <f t="shared" si="78"/>
        <v>0.3721934011750887</v>
      </c>
      <c r="Z116" s="105">
        <f t="shared" si="78"/>
        <v>0.85096276307800311</v>
      </c>
      <c r="AA116" s="105">
        <f t="shared" si="78"/>
        <v>0.54489582857508301</v>
      </c>
      <c r="AB116" s="105">
        <f t="shared" si="78"/>
        <v>0.91277658951443497</v>
      </c>
      <c r="AC116" s="105">
        <f t="shared" si="78"/>
        <v>0.97368932872598701</v>
      </c>
      <c r="AD116" s="105">
        <f t="shared" si="78"/>
        <v>0.4033179528851259</v>
      </c>
      <c r="AE116" s="105">
        <f t="shared" si="78"/>
        <v>0.94011728818153917</v>
      </c>
      <c r="AF116" s="105">
        <f t="shared" si="78"/>
        <v>0.87841507953830211</v>
      </c>
      <c r="AG116" s="105">
        <f t="shared" si="78"/>
        <v>1.0994420037811783</v>
      </c>
      <c r="AH116" s="105">
        <f t="shared" si="78"/>
        <v>1.1874917001051333</v>
      </c>
      <c r="AI116" s="105">
        <f t="shared" si="78"/>
        <v>0.51649992982667259</v>
      </c>
      <c r="AJ116" s="105">
        <f t="shared" si="78"/>
        <v>1.2390982031918747</v>
      </c>
      <c r="AK116" s="105">
        <f t="shared" si="78"/>
        <v>1.1596940578892325</v>
      </c>
      <c r="AL116" s="105">
        <f t="shared" si="78"/>
        <v>1.430317390811453</v>
      </c>
      <c r="AM116" s="105">
        <f t="shared" si="78"/>
        <v>1.5774373146206717</v>
      </c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-304238.86263597681</v>
      </c>
      <c r="L117" s="108">
        <f>SUM(O117:AV117)</f>
        <v>-869096.23887607804</v>
      </c>
      <c r="M117" s="1"/>
      <c r="N117" s="1"/>
      <c r="O117" s="108">
        <f t="shared" ref="O117:AM117" si="79">-O207</f>
        <v>-11905.427929809277</v>
      </c>
      <c r="P117" s="108">
        <f t="shared" si="79"/>
        <v>-35716.283789427878</v>
      </c>
      <c r="Q117" s="108">
        <f t="shared" si="79"/>
        <v>-35716.283789427878</v>
      </c>
      <c r="R117" s="108">
        <f t="shared" si="79"/>
        <v>-35716.283789427878</v>
      </c>
      <c r="S117" s="108">
        <f t="shared" si="79"/>
        <v>-35716.283789427878</v>
      </c>
      <c r="T117" s="108">
        <f t="shared" si="79"/>
        <v>-35716.283789427878</v>
      </c>
      <c r="U117" s="108">
        <f t="shared" si="79"/>
        <v>-35716.283789427878</v>
      </c>
      <c r="V117" s="108">
        <f t="shared" si="79"/>
        <v>-35716.283789427878</v>
      </c>
      <c r="W117" s="108">
        <f t="shared" si="79"/>
        <v>-35716.283789427878</v>
      </c>
      <c r="X117" s="108">
        <f t="shared" si="79"/>
        <v>-35716.283789427878</v>
      </c>
      <c r="Y117" s="108">
        <f t="shared" si="79"/>
        <v>-35716.283789427878</v>
      </c>
      <c r="Z117" s="108">
        <f t="shared" si="79"/>
        <v>-35716.283789427878</v>
      </c>
      <c r="AA117" s="108">
        <f t="shared" si="79"/>
        <v>-35716.283789427878</v>
      </c>
      <c r="AB117" s="108">
        <f t="shared" si="79"/>
        <v>-35716.283789427878</v>
      </c>
      <c r="AC117" s="108">
        <f t="shared" si="79"/>
        <v>-35716.283789427878</v>
      </c>
      <c r="AD117" s="108">
        <f t="shared" si="79"/>
        <v>-35716.283789427878</v>
      </c>
      <c r="AE117" s="108">
        <f t="shared" si="79"/>
        <v>-35716.283789427878</v>
      </c>
      <c r="AF117" s="108">
        <f t="shared" si="79"/>
        <v>-35716.283789427878</v>
      </c>
      <c r="AG117" s="108">
        <f t="shared" si="79"/>
        <v>-35716.283789427878</v>
      </c>
      <c r="AH117" s="108">
        <f t="shared" si="79"/>
        <v>-35716.283789427878</v>
      </c>
      <c r="AI117" s="108">
        <f t="shared" si="79"/>
        <v>-35716.283789427878</v>
      </c>
      <c r="AJ117" s="108">
        <f t="shared" si="79"/>
        <v>-35716.283789427878</v>
      </c>
      <c r="AK117" s="108">
        <f t="shared" si="79"/>
        <v>-35716.283789427878</v>
      </c>
      <c r="AL117" s="108">
        <f t="shared" si="79"/>
        <v>-35716.283789427878</v>
      </c>
      <c r="AM117" s="108">
        <f t="shared" si="79"/>
        <v>-35716.283789427878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80">K115+K117</f>
        <v>2671990.2898168126</v>
      </c>
      <c r="L118" s="109">
        <f t="shared" si="80"/>
        <v>8195349.3247784562</v>
      </c>
      <c r="M118" s="1"/>
      <c r="N118" s="1"/>
      <c r="O118" s="109">
        <f t="shared" ref="O118:AM118" si="81">O115+O117</f>
        <v>-1720.2853571275373</v>
      </c>
      <c r="P118" s="109">
        <f t="shared" si="81"/>
        <v>654736.87626361544</v>
      </c>
      <c r="Q118" s="109">
        <f t="shared" si="81"/>
        <v>156409.23185292952</v>
      </c>
      <c r="R118" s="109">
        <f t="shared" si="81"/>
        <v>176133.34641728632</v>
      </c>
      <c r="S118" s="109">
        <f t="shared" si="81"/>
        <v>188698.87009343586</v>
      </c>
      <c r="T118" s="109">
        <f t="shared" si="81"/>
        <v>158221.63205892965</v>
      </c>
      <c r="U118" s="109">
        <f t="shared" si="81"/>
        <v>175600.61638527195</v>
      </c>
      <c r="V118" s="109">
        <f t="shared" si="81"/>
        <v>184587.33749641938</v>
      </c>
      <c r="W118" s="109">
        <f t="shared" si="81"/>
        <v>200840.94664563768</v>
      </c>
      <c r="X118" s="109">
        <f t="shared" si="81"/>
        <v>212800.92406126723</v>
      </c>
      <c r="Y118" s="109">
        <f t="shared" si="81"/>
        <v>222957.27318732761</v>
      </c>
      <c r="Z118" s="109">
        <f t="shared" si="81"/>
        <v>208739.68251277256</v>
      </c>
      <c r="AA118" s="109">
        <f t="shared" si="81"/>
        <v>218478.80861277814</v>
      </c>
      <c r="AB118" s="109">
        <f t="shared" si="81"/>
        <v>226496.93268632604</v>
      </c>
      <c r="AC118" s="109">
        <f t="shared" si="81"/>
        <v>243995.32764571742</v>
      </c>
      <c r="AD118" s="109">
        <f t="shared" si="81"/>
        <v>259719.64423912676</v>
      </c>
      <c r="AE118" s="109">
        <f t="shared" si="81"/>
        <v>242888.20539183327</v>
      </c>
      <c r="AF118" s="109">
        <f t="shared" si="81"/>
        <v>257586.78141470841</v>
      </c>
      <c r="AG118" s="109">
        <f t="shared" si="81"/>
        <v>280120.28284882254</v>
      </c>
      <c r="AH118" s="109">
        <f t="shared" si="81"/>
        <v>305414.30807694484</v>
      </c>
      <c r="AI118" s="109">
        <f t="shared" si="81"/>
        <v>324699.81574738066</v>
      </c>
      <c r="AJ118" s="109">
        <f t="shared" si="81"/>
        <v>320239.30175106932</v>
      </c>
      <c r="AK118" s="109">
        <f t="shared" si="81"/>
        <v>340983.38397324475</v>
      </c>
      <c r="AL118" s="109">
        <f t="shared" si="81"/>
        <v>375170.81381393143</v>
      </c>
      <c r="AM118" s="109">
        <f t="shared" si="81"/>
        <v>421861.8697963992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>
        <f t="shared" ref="K119:L119" si="82">IFERROR(K118/K$105,0)</f>
        <v>0.59090215301364823</v>
      </c>
      <c r="L119" s="105">
        <f t="shared" si="82"/>
        <v>0.69435711792715793</v>
      </c>
      <c r="M119" s="1"/>
      <c r="N119" s="1"/>
      <c r="O119" s="105">
        <f t="shared" ref="O119:AM119" si="83">IFERROR(O118/O$105,0)</f>
        <v>-1.67668213609761E-3</v>
      </c>
      <c r="P119" s="105">
        <f t="shared" si="83"/>
        <v>2.2791699860807682</v>
      </c>
      <c r="Q119" s="105">
        <f t="shared" si="83"/>
        <v>0.54446792247213338</v>
      </c>
      <c r="R119" s="105">
        <f t="shared" si="83"/>
        <v>0.6131284967376962</v>
      </c>
      <c r="S119" s="105">
        <f t="shared" si="83"/>
        <v>0.27040202596796387</v>
      </c>
      <c r="T119" s="105">
        <f t="shared" si="83"/>
        <v>0.55077697317942698</v>
      </c>
      <c r="U119" s="105">
        <f t="shared" si="83"/>
        <v>0.61127403833819383</v>
      </c>
      <c r="V119" s="105">
        <f t="shared" si="83"/>
        <v>0.56826394280511139</v>
      </c>
      <c r="W119" s="105">
        <f t="shared" si="83"/>
        <v>0.58564400267334737</v>
      </c>
      <c r="X119" s="105">
        <f t="shared" si="83"/>
        <v>0.74077006613480345</v>
      </c>
      <c r="Y119" s="105">
        <f t="shared" si="83"/>
        <v>0.32080289456015704</v>
      </c>
      <c r="Z119" s="105">
        <f t="shared" si="83"/>
        <v>0.72663269251324125</v>
      </c>
      <c r="AA119" s="105">
        <f t="shared" si="83"/>
        <v>0.4683339490157819</v>
      </c>
      <c r="AB119" s="105">
        <f t="shared" si="83"/>
        <v>0.78844651894967299</v>
      </c>
      <c r="AC119" s="105">
        <f t="shared" si="83"/>
        <v>0.84935925816122504</v>
      </c>
      <c r="AD119" s="105">
        <f t="shared" si="83"/>
        <v>0.35455943336875895</v>
      </c>
      <c r="AE119" s="105">
        <f t="shared" si="83"/>
        <v>0.81959699090020721</v>
      </c>
      <c r="AF119" s="105">
        <f t="shared" si="83"/>
        <v>0.77144817060447612</v>
      </c>
      <c r="AG119" s="105">
        <f t="shared" si="83"/>
        <v>0.97511193321641643</v>
      </c>
      <c r="AH119" s="105">
        <f t="shared" si="83"/>
        <v>1.0631616295403712</v>
      </c>
      <c r="AI119" s="105">
        <f t="shared" si="83"/>
        <v>0.46531615059312303</v>
      </c>
      <c r="AJ119" s="105">
        <f t="shared" si="83"/>
        <v>1.1147681326271126</v>
      </c>
      <c r="AK119" s="105">
        <f t="shared" si="83"/>
        <v>1.0497391903246018</v>
      </c>
      <c r="AL119" s="105">
        <f t="shared" si="83"/>
        <v>1.3059873202466912</v>
      </c>
      <c r="AM119" s="105">
        <f t="shared" si="83"/>
        <v>1.4543103725944559</v>
      </c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84">SUM(K123)</f>
        <v>3961443.5239059469</v>
      </c>
      <c r="L122" s="69">
        <f t="shared" si="84"/>
        <v>11316357.277032264</v>
      </c>
      <c r="M122" s="1"/>
      <c r="N122" s="1"/>
      <c r="O122" s="69">
        <f t="shared" ref="O122:AM122" si="85">SUM(O123)</f>
        <v>155018.59283605829</v>
      </c>
      <c r="P122" s="69">
        <f t="shared" si="85"/>
        <v>465055.7785081754</v>
      </c>
      <c r="Q122" s="69">
        <f t="shared" si="85"/>
        <v>465055.7785081754</v>
      </c>
      <c r="R122" s="69">
        <f t="shared" si="85"/>
        <v>465055.7785081754</v>
      </c>
      <c r="S122" s="69">
        <f t="shared" si="85"/>
        <v>465055.7785081754</v>
      </c>
      <c r="T122" s="69">
        <f t="shared" si="85"/>
        <v>465055.7785081754</v>
      </c>
      <c r="U122" s="69">
        <f t="shared" si="85"/>
        <v>465055.7785081754</v>
      </c>
      <c r="V122" s="69">
        <f t="shared" si="85"/>
        <v>465055.7785081754</v>
      </c>
      <c r="W122" s="69">
        <f t="shared" si="85"/>
        <v>465055.7785081754</v>
      </c>
      <c r="X122" s="69">
        <f t="shared" si="85"/>
        <v>465055.7785081754</v>
      </c>
      <c r="Y122" s="69">
        <f t="shared" si="85"/>
        <v>465055.7785081754</v>
      </c>
      <c r="Z122" s="69">
        <f t="shared" si="85"/>
        <v>465055.7785081754</v>
      </c>
      <c r="AA122" s="69">
        <f t="shared" si="85"/>
        <v>465055.7785081754</v>
      </c>
      <c r="AB122" s="69">
        <f t="shared" si="85"/>
        <v>465055.7785081754</v>
      </c>
      <c r="AC122" s="69">
        <f t="shared" si="85"/>
        <v>465055.7785081754</v>
      </c>
      <c r="AD122" s="69">
        <f t="shared" si="85"/>
        <v>465055.7785081754</v>
      </c>
      <c r="AE122" s="69">
        <f t="shared" si="85"/>
        <v>465055.7785081754</v>
      </c>
      <c r="AF122" s="69">
        <f t="shared" si="85"/>
        <v>465055.7785081754</v>
      </c>
      <c r="AG122" s="69">
        <f t="shared" si="85"/>
        <v>465055.7785081754</v>
      </c>
      <c r="AH122" s="69">
        <f t="shared" si="85"/>
        <v>465055.7785081754</v>
      </c>
      <c r="AI122" s="69">
        <f t="shared" si="85"/>
        <v>465055.7785081754</v>
      </c>
      <c r="AJ122" s="69">
        <f t="shared" si="85"/>
        <v>465055.7785081754</v>
      </c>
      <c r="AK122" s="69">
        <f t="shared" si="85"/>
        <v>465055.7785081754</v>
      </c>
      <c r="AL122" s="69">
        <f t="shared" si="85"/>
        <v>465055.7785081754</v>
      </c>
      <c r="AM122" s="69">
        <f t="shared" si="85"/>
        <v>465055.7785081754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3961443.5239059469</v>
      </c>
      <c r="L123" s="97">
        <f>SUM(O123:AV123)</f>
        <v>11316357.277032264</v>
      </c>
      <c r="M123" s="1"/>
      <c r="N123" s="1"/>
      <c r="O123" s="97">
        <f t="shared" ref="O123:AM123" si="86">O75</f>
        <v>155018.59283605829</v>
      </c>
      <c r="P123" s="97">
        <f t="shared" si="86"/>
        <v>465055.7785081754</v>
      </c>
      <c r="Q123" s="97">
        <f t="shared" si="86"/>
        <v>465055.7785081754</v>
      </c>
      <c r="R123" s="97">
        <f t="shared" si="86"/>
        <v>465055.7785081754</v>
      </c>
      <c r="S123" s="97">
        <f t="shared" si="86"/>
        <v>465055.7785081754</v>
      </c>
      <c r="T123" s="97">
        <f t="shared" si="86"/>
        <v>465055.7785081754</v>
      </c>
      <c r="U123" s="97">
        <f t="shared" si="86"/>
        <v>465055.7785081754</v>
      </c>
      <c r="V123" s="97">
        <f t="shared" si="86"/>
        <v>465055.7785081754</v>
      </c>
      <c r="W123" s="97">
        <f t="shared" si="86"/>
        <v>465055.7785081754</v>
      </c>
      <c r="X123" s="97">
        <f t="shared" si="86"/>
        <v>465055.7785081754</v>
      </c>
      <c r="Y123" s="97">
        <f t="shared" si="86"/>
        <v>465055.7785081754</v>
      </c>
      <c r="Z123" s="97">
        <f t="shared" si="86"/>
        <v>465055.7785081754</v>
      </c>
      <c r="AA123" s="97">
        <f t="shared" si="86"/>
        <v>465055.7785081754</v>
      </c>
      <c r="AB123" s="97">
        <f t="shared" si="86"/>
        <v>465055.7785081754</v>
      </c>
      <c r="AC123" s="97">
        <f t="shared" si="86"/>
        <v>465055.7785081754</v>
      </c>
      <c r="AD123" s="97">
        <f t="shared" si="86"/>
        <v>465055.7785081754</v>
      </c>
      <c r="AE123" s="97">
        <f t="shared" si="86"/>
        <v>465055.7785081754</v>
      </c>
      <c r="AF123" s="97">
        <f t="shared" si="86"/>
        <v>465055.7785081754</v>
      </c>
      <c r="AG123" s="97">
        <f t="shared" si="86"/>
        <v>465055.7785081754</v>
      </c>
      <c r="AH123" s="97">
        <f t="shared" si="86"/>
        <v>465055.7785081754</v>
      </c>
      <c r="AI123" s="97">
        <f t="shared" si="86"/>
        <v>465055.7785081754</v>
      </c>
      <c r="AJ123" s="97">
        <f t="shared" si="86"/>
        <v>465055.7785081754</v>
      </c>
      <c r="AK123" s="97">
        <f t="shared" si="86"/>
        <v>465055.7785081754</v>
      </c>
      <c r="AL123" s="97">
        <f t="shared" si="86"/>
        <v>465055.7785081754</v>
      </c>
      <c r="AM123" s="97">
        <f t="shared" si="86"/>
        <v>465055.7785081754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87">SUM(K125:K126)</f>
        <v>-223821.55910068596</v>
      </c>
      <c r="L124" s="99">
        <f t="shared" si="87"/>
        <v>-639374.18615232292</v>
      </c>
      <c r="M124" s="111"/>
      <c r="N124" s="1"/>
      <c r="O124" s="99">
        <f t="shared" ref="O124:AM124" si="88">SUM(O125:O126)</f>
        <v>-8758.5504952372939</v>
      </c>
      <c r="P124" s="99">
        <f t="shared" si="88"/>
        <v>-26275.651485711911</v>
      </c>
      <c r="Q124" s="99">
        <f t="shared" si="88"/>
        <v>-26275.651485711911</v>
      </c>
      <c r="R124" s="99">
        <f t="shared" si="88"/>
        <v>-26275.651485711911</v>
      </c>
      <c r="S124" s="99">
        <f t="shared" si="88"/>
        <v>-26275.651485711911</v>
      </c>
      <c r="T124" s="99">
        <f t="shared" si="88"/>
        <v>-26275.651485711911</v>
      </c>
      <c r="U124" s="99">
        <f t="shared" si="88"/>
        <v>-26275.651485711911</v>
      </c>
      <c r="V124" s="99">
        <f t="shared" si="88"/>
        <v>-26275.651485711911</v>
      </c>
      <c r="W124" s="99">
        <f t="shared" si="88"/>
        <v>-26275.651485711911</v>
      </c>
      <c r="X124" s="99">
        <f t="shared" si="88"/>
        <v>-26275.651485711911</v>
      </c>
      <c r="Y124" s="99">
        <f t="shared" si="88"/>
        <v>-26275.651485711911</v>
      </c>
      <c r="Z124" s="99">
        <f t="shared" si="88"/>
        <v>-26275.651485711911</v>
      </c>
      <c r="AA124" s="99">
        <f t="shared" si="88"/>
        <v>-26275.651485711911</v>
      </c>
      <c r="AB124" s="99">
        <f t="shared" si="88"/>
        <v>-26275.651485711911</v>
      </c>
      <c r="AC124" s="99">
        <f t="shared" si="88"/>
        <v>-26275.651485711911</v>
      </c>
      <c r="AD124" s="99">
        <f t="shared" si="88"/>
        <v>-26275.651485711911</v>
      </c>
      <c r="AE124" s="99">
        <f t="shared" si="88"/>
        <v>-26275.651485711911</v>
      </c>
      <c r="AF124" s="99">
        <f t="shared" si="88"/>
        <v>-26275.651485711911</v>
      </c>
      <c r="AG124" s="99">
        <f t="shared" si="88"/>
        <v>-26275.651485711911</v>
      </c>
      <c r="AH124" s="99">
        <f t="shared" si="88"/>
        <v>-26275.651485711911</v>
      </c>
      <c r="AI124" s="99">
        <f t="shared" si="88"/>
        <v>-26275.651485711911</v>
      </c>
      <c r="AJ124" s="99">
        <f t="shared" si="88"/>
        <v>-26275.651485711911</v>
      </c>
      <c r="AK124" s="99">
        <f t="shared" si="88"/>
        <v>-26275.651485711911</v>
      </c>
      <c r="AL124" s="99">
        <f t="shared" si="88"/>
        <v>-26275.651485711911</v>
      </c>
      <c r="AM124" s="99">
        <f t="shared" si="88"/>
        <v>-26275.651485711911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-144592.68862256702</v>
      </c>
      <c r="L125" s="54">
        <f t="shared" ref="L125:L126" si="89">SUM(O125:AV125)</f>
        <v>-413047.04061167757</v>
      </c>
      <c r="M125" s="1"/>
      <c r="N125" s="1"/>
      <c r="O125" s="54">
        <f t="shared" ref="O125:AM126" si="90">O103</f>
        <v>-5658.1786385161276</v>
      </c>
      <c r="P125" s="54">
        <f t="shared" si="90"/>
        <v>-16974.5359155484</v>
      </c>
      <c r="Q125" s="54">
        <f t="shared" si="90"/>
        <v>-16974.5359155484</v>
      </c>
      <c r="R125" s="54">
        <f t="shared" si="90"/>
        <v>-16974.5359155484</v>
      </c>
      <c r="S125" s="54">
        <f t="shared" si="90"/>
        <v>-16974.5359155484</v>
      </c>
      <c r="T125" s="54">
        <f t="shared" si="90"/>
        <v>-16974.5359155484</v>
      </c>
      <c r="U125" s="54">
        <f t="shared" si="90"/>
        <v>-16974.5359155484</v>
      </c>
      <c r="V125" s="54">
        <f t="shared" si="90"/>
        <v>-16974.5359155484</v>
      </c>
      <c r="W125" s="54">
        <f t="shared" si="90"/>
        <v>-16974.5359155484</v>
      </c>
      <c r="X125" s="54">
        <f t="shared" si="90"/>
        <v>-16974.5359155484</v>
      </c>
      <c r="Y125" s="54">
        <f t="shared" si="90"/>
        <v>-16974.5359155484</v>
      </c>
      <c r="Z125" s="54">
        <f t="shared" si="90"/>
        <v>-16974.5359155484</v>
      </c>
      <c r="AA125" s="54">
        <f t="shared" si="90"/>
        <v>-16974.5359155484</v>
      </c>
      <c r="AB125" s="54">
        <f t="shared" si="90"/>
        <v>-16974.5359155484</v>
      </c>
      <c r="AC125" s="54">
        <f t="shared" si="90"/>
        <v>-16974.5359155484</v>
      </c>
      <c r="AD125" s="54">
        <f t="shared" si="90"/>
        <v>-16974.5359155484</v>
      </c>
      <c r="AE125" s="54">
        <f t="shared" si="90"/>
        <v>-16974.5359155484</v>
      </c>
      <c r="AF125" s="54">
        <f t="shared" si="90"/>
        <v>-16974.5359155484</v>
      </c>
      <c r="AG125" s="54">
        <f t="shared" si="90"/>
        <v>-16974.5359155484</v>
      </c>
      <c r="AH125" s="54">
        <f t="shared" si="90"/>
        <v>-16974.5359155484</v>
      </c>
      <c r="AI125" s="54">
        <f t="shared" si="90"/>
        <v>-16974.5359155484</v>
      </c>
      <c r="AJ125" s="54">
        <f t="shared" si="90"/>
        <v>-16974.5359155484</v>
      </c>
      <c r="AK125" s="54">
        <f t="shared" si="90"/>
        <v>-16974.5359155484</v>
      </c>
      <c r="AL125" s="54">
        <f t="shared" si="90"/>
        <v>-16974.5359155484</v>
      </c>
      <c r="AM125" s="54">
        <f t="shared" si="90"/>
        <v>-16974.5359155484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-79228.870478118944</v>
      </c>
      <c r="L126" s="102">
        <f t="shared" si="89"/>
        <v>-226327.14554064532</v>
      </c>
      <c r="M126" s="1"/>
      <c r="N126" s="1"/>
      <c r="O126" s="54">
        <f t="shared" si="90"/>
        <v>-3100.3718567211658</v>
      </c>
      <c r="P126" s="54">
        <f t="shared" si="90"/>
        <v>-9301.1155701635089</v>
      </c>
      <c r="Q126" s="54">
        <f t="shared" si="90"/>
        <v>-9301.1155701635089</v>
      </c>
      <c r="R126" s="54">
        <f t="shared" si="90"/>
        <v>-9301.1155701635089</v>
      </c>
      <c r="S126" s="54">
        <f t="shared" si="90"/>
        <v>-9301.1155701635089</v>
      </c>
      <c r="T126" s="54">
        <f t="shared" si="90"/>
        <v>-9301.1155701635089</v>
      </c>
      <c r="U126" s="54">
        <f t="shared" si="90"/>
        <v>-9301.1155701635089</v>
      </c>
      <c r="V126" s="54">
        <f t="shared" si="90"/>
        <v>-9301.1155701635089</v>
      </c>
      <c r="W126" s="54">
        <f t="shared" si="90"/>
        <v>-9301.1155701635089</v>
      </c>
      <c r="X126" s="54">
        <f t="shared" si="90"/>
        <v>-9301.1155701635089</v>
      </c>
      <c r="Y126" s="54">
        <f t="shared" si="90"/>
        <v>-9301.1155701635089</v>
      </c>
      <c r="Z126" s="54">
        <f t="shared" si="90"/>
        <v>-9301.1155701635089</v>
      </c>
      <c r="AA126" s="54">
        <f t="shared" si="90"/>
        <v>-9301.1155701635089</v>
      </c>
      <c r="AB126" s="54">
        <f t="shared" si="90"/>
        <v>-9301.1155701635089</v>
      </c>
      <c r="AC126" s="54">
        <f t="shared" si="90"/>
        <v>-9301.1155701635089</v>
      </c>
      <c r="AD126" s="54">
        <f t="shared" si="90"/>
        <v>-9301.1155701635089</v>
      </c>
      <c r="AE126" s="54">
        <f t="shared" si="90"/>
        <v>-9301.1155701635089</v>
      </c>
      <c r="AF126" s="54">
        <f t="shared" si="90"/>
        <v>-9301.1155701635089</v>
      </c>
      <c r="AG126" s="54">
        <f t="shared" si="90"/>
        <v>-9301.1155701635089</v>
      </c>
      <c r="AH126" s="54">
        <f t="shared" si="90"/>
        <v>-9301.1155701635089</v>
      </c>
      <c r="AI126" s="54">
        <f t="shared" si="90"/>
        <v>-9301.1155701635089</v>
      </c>
      <c r="AJ126" s="54">
        <f t="shared" si="90"/>
        <v>-9301.1155701635089</v>
      </c>
      <c r="AK126" s="54">
        <f t="shared" si="90"/>
        <v>-9301.1155701635089</v>
      </c>
      <c r="AL126" s="54">
        <f t="shared" si="90"/>
        <v>-9301.1155701635089</v>
      </c>
      <c r="AM126" s="54">
        <f t="shared" si="90"/>
        <v>-9301.1155701635089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91">K122+K124</f>
        <v>3737621.9648052608</v>
      </c>
      <c r="L127" s="69">
        <f t="shared" si="91"/>
        <v>10676983.090879941</v>
      </c>
      <c r="M127" s="1"/>
      <c r="N127" s="1"/>
      <c r="O127" s="69">
        <f t="shared" ref="O127:AM127" si="92">O122+O124</f>
        <v>146260.042340821</v>
      </c>
      <c r="P127" s="69">
        <f t="shared" si="92"/>
        <v>438780.12702246348</v>
      </c>
      <c r="Q127" s="69">
        <f t="shared" si="92"/>
        <v>438780.12702246348</v>
      </c>
      <c r="R127" s="69">
        <f t="shared" si="92"/>
        <v>438780.12702246348</v>
      </c>
      <c r="S127" s="69">
        <f t="shared" si="92"/>
        <v>438780.12702246348</v>
      </c>
      <c r="T127" s="69">
        <f t="shared" si="92"/>
        <v>438780.12702246348</v>
      </c>
      <c r="U127" s="69">
        <f t="shared" si="92"/>
        <v>438780.12702246348</v>
      </c>
      <c r="V127" s="69">
        <f t="shared" si="92"/>
        <v>438780.12702246348</v>
      </c>
      <c r="W127" s="69">
        <f t="shared" si="92"/>
        <v>438780.12702246348</v>
      </c>
      <c r="X127" s="69">
        <f t="shared" si="92"/>
        <v>438780.12702246348</v>
      </c>
      <c r="Y127" s="69">
        <f t="shared" si="92"/>
        <v>438780.12702246348</v>
      </c>
      <c r="Z127" s="69">
        <f t="shared" si="92"/>
        <v>438780.12702246348</v>
      </c>
      <c r="AA127" s="69">
        <f t="shared" si="92"/>
        <v>438780.12702246348</v>
      </c>
      <c r="AB127" s="69">
        <f t="shared" si="92"/>
        <v>438780.12702246348</v>
      </c>
      <c r="AC127" s="69">
        <f t="shared" si="92"/>
        <v>438780.12702246348</v>
      </c>
      <c r="AD127" s="69">
        <f t="shared" si="92"/>
        <v>438780.12702246348</v>
      </c>
      <c r="AE127" s="69">
        <f t="shared" si="92"/>
        <v>438780.12702246348</v>
      </c>
      <c r="AF127" s="69">
        <f t="shared" si="92"/>
        <v>438780.12702246348</v>
      </c>
      <c r="AG127" s="69">
        <f t="shared" si="92"/>
        <v>438780.12702246348</v>
      </c>
      <c r="AH127" s="69">
        <f t="shared" si="92"/>
        <v>438780.12702246348</v>
      </c>
      <c r="AI127" s="69">
        <f t="shared" si="92"/>
        <v>438780.12702246348</v>
      </c>
      <c r="AJ127" s="69">
        <f t="shared" si="92"/>
        <v>438780.12702246348</v>
      </c>
      <c r="AK127" s="69">
        <f t="shared" si="92"/>
        <v>438780.12702246348</v>
      </c>
      <c r="AL127" s="69">
        <f t="shared" si="92"/>
        <v>438780.12702246348</v>
      </c>
      <c r="AM127" s="69">
        <f t="shared" si="92"/>
        <v>438780.12702246348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-1894376.5172268339</v>
      </c>
      <c r="L128" s="97">
        <f>SUM(O128:AV128)</f>
        <v>-5291912.3215502268</v>
      </c>
      <c r="M128" s="1"/>
      <c r="N128" s="1"/>
      <c r="O128" s="54">
        <f>-O11</f>
        <v>-136074.89976813929</v>
      </c>
      <c r="P128" s="54">
        <f t="shared" ref="P128:AM128" si="93">-P11</f>
        <v>-213382.74547759569</v>
      </c>
      <c r="Q128" s="54">
        <f t="shared" si="93"/>
        <v>-220515.3824356478</v>
      </c>
      <c r="R128" s="54">
        <f t="shared" si="93"/>
        <v>-213243.22874404321</v>
      </c>
      <c r="S128" s="54">
        <f t="shared" si="93"/>
        <v>-214366.40570209533</v>
      </c>
      <c r="T128" s="54">
        <f t="shared" si="93"/>
        <v>-219113.17201049073</v>
      </c>
      <c r="U128" s="54">
        <f t="shared" si="93"/>
        <v>-214226.88896854289</v>
      </c>
      <c r="V128" s="54">
        <f t="shared" si="93"/>
        <v>-218973.65527693828</v>
      </c>
      <c r="W128" s="54">
        <f t="shared" si="93"/>
        <v>-214087.37223499044</v>
      </c>
      <c r="X128" s="54">
        <f t="shared" si="93"/>
        <v>-212824.67854338587</v>
      </c>
      <c r="Y128" s="54">
        <f t="shared" si="93"/>
        <v>-219957.31550143799</v>
      </c>
      <c r="Z128" s="54">
        <f t="shared" si="93"/>
        <v>-212685.16180983343</v>
      </c>
      <c r="AA128" s="54">
        <f t="shared" si="93"/>
        <v>-219817.79876788551</v>
      </c>
      <c r="AB128" s="54">
        <f t="shared" si="93"/>
        <v>-212545.64507628095</v>
      </c>
      <c r="AC128" s="54">
        <f t="shared" si="93"/>
        <v>-213668.82203433308</v>
      </c>
      <c r="AD128" s="54">
        <f t="shared" si="93"/>
        <v>-218415.58834272847</v>
      </c>
      <c r="AE128" s="54">
        <f t="shared" si="93"/>
        <v>-213529.30530078063</v>
      </c>
      <c r="AF128" s="54">
        <f t="shared" si="93"/>
        <v>-218276.07160917603</v>
      </c>
      <c r="AG128" s="54">
        <f t="shared" si="93"/>
        <v>-213389.78856722818</v>
      </c>
      <c r="AH128" s="54">
        <f t="shared" si="93"/>
        <v>-212127.09487562362</v>
      </c>
      <c r="AI128" s="54">
        <f t="shared" si="93"/>
        <v>-219259.7318336757</v>
      </c>
      <c r="AJ128" s="54">
        <f t="shared" si="93"/>
        <v>-211987.57814207114</v>
      </c>
      <c r="AK128" s="54">
        <f t="shared" si="93"/>
        <v>-219120.21510012326</v>
      </c>
      <c r="AL128" s="54">
        <f t="shared" si="93"/>
        <v>-211848.0614085187</v>
      </c>
      <c r="AM128" s="54">
        <f t="shared" si="93"/>
        <v>-198475.7140186601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94">K127+SUM(K128)</f>
        <v>1843245.4475784269</v>
      </c>
      <c r="L129" s="75">
        <f t="shared" si="94"/>
        <v>5385070.7693297146</v>
      </c>
      <c r="M129" s="1"/>
      <c r="N129" s="1"/>
      <c r="O129" s="75">
        <f t="shared" ref="O129:AM129" si="95">O127+SUM(O128)</f>
        <v>10185.142572681711</v>
      </c>
      <c r="P129" s="75">
        <f t="shared" si="95"/>
        <v>225397.38154486779</v>
      </c>
      <c r="Q129" s="75">
        <f t="shared" si="95"/>
        <v>218264.74458681568</v>
      </c>
      <c r="R129" s="75">
        <f t="shared" si="95"/>
        <v>225536.89827842027</v>
      </c>
      <c r="S129" s="75">
        <f t="shared" si="95"/>
        <v>224413.72132036815</v>
      </c>
      <c r="T129" s="75">
        <f t="shared" si="95"/>
        <v>219666.95501197275</v>
      </c>
      <c r="U129" s="75">
        <f t="shared" si="95"/>
        <v>224553.23805392059</v>
      </c>
      <c r="V129" s="75">
        <f t="shared" si="95"/>
        <v>219806.4717455252</v>
      </c>
      <c r="W129" s="75">
        <f t="shared" si="95"/>
        <v>224692.75478747304</v>
      </c>
      <c r="X129" s="75">
        <f t="shared" si="95"/>
        <v>225955.4484790776</v>
      </c>
      <c r="Y129" s="75">
        <f t="shared" si="95"/>
        <v>218822.81152102549</v>
      </c>
      <c r="Z129" s="75">
        <f t="shared" si="95"/>
        <v>226094.96521263005</v>
      </c>
      <c r="AA129" s="75">
        <f t="shared" si="95"/>
        <v>218962.32825457797</v>
      </c>
      <c r="AB129" s="75">
        <f t="shared" si="95"/>
        <v>226234.48194618252</v>
      </c>
      <c r="AC129" s="75">
        <f t="shared" si="95"/>
        <v>225111.3049881304</v>
      </c>
      <c r="AD129" s="75">
        <f t="shared" si="95"/>
        <v>220364.53867973501</v>
      </c>
      <c r="AE129" s="75">
        <f t="shared" si="95"/>
        <v>225250.82172168285</v>
      </c>
      <c r="AF129" s="75">
        <f t="shared" si="95"/>
        <v>220504.05541328745</v>
      </c>
      <c r="AG129" s="75">
        <f t="shared" si="95"/>
        <v>225390.33845523529</v>
      </c>
      <c r="AH129" s="75">
        <f t="shared" si="95"/>
        <v>226653.03214683986</v>
      </c>
      <c r="AI129" s="75">
        <f t="shared" si="95"/>
        <v>219520.39518878778</v>
      </c>
      <c r="AJ129" s="75">
        <f t="shared" si="95"/>
        <v>226792.54888039234</v>
      </c>
      <c r="AK129" s="75">
        <f t="shared" si="95"/>
        <v>219659.91192234022</v>
      </c>
      <c r="AL129" s="75">
        <f t="shared" si="95"/>
        <v>226932.06561394478</v>
      </c>
      <c r="AM129" s="75">
        <f t="shared" si="95"/>
        <v>240304.41300380338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>
        <f t="shared" ref="K130:L130" si="96">IFERROR(K129/K$105,0)</f>
        <v>0.4076278673832196</v>
      </c>
      <c r="L130" s="105">
        <f t="shared" si="96"/>
        <v>0.45625415965129029</v>
      </c>
      <c r="M130" s="1"/>
      <c r="N130" s="1"/>
      <c r="O130" s="105">
        <f t="shared" ref="O130:AM130" si="97">O129/O127</f>
        <v>6.9637218817070246E-2</v>
      </c>
      <c r="P130" s="105">
        <f t="shared" si="97"/>
        <v>0.51369095285696131</v>
      </c>
      <c r="Q130" s="105">
        <f t="shared" si="97"/>
        <v>0.49743534664604705</v>
      </c>
      <c r="R130" s="105">
        <f t="shared" si="97"/>
        <v>0.51400891788080871</v>
      </c>
      <c r="S130" s="105">
        <f t="shared" si="97"/>
        <v>0.5114491461662739</v>
      </c>
      <c r="T130" s="105">
        <f t="shared" si="97"/>
        <v>0.50063104840827677</v>
      </c>
      <c r="U130" s="105">
        <f t="shared" si="97"/>
        <v>0.51176711119012119</v>
      </c>
      <c r="V130" s="105">
        <f t="shared" si="97"/>
        <v>0.50094901343212417</v>
      </c>
      <c r="W130" s="105">
        <f t="shared" si="97"/>
        <v>0.51208507621396859</v>
      </c>
      <c r="X130" s="105">
        <f t="shared" si="97"/>
        <v>0.5149628129523508</v>
      </c>
      <c r="Y130" s="105">
        <f t="shared" si="97"/>
        <v>0.49870720674143654</v>
      </c>
      <c r="Z130" s="105">
        <f t="shared" si="97"/>
        <v>0.5152807779761982</v>
      </c>
      <c r="AA130" s="105">
        <f t="shared" si="97"/>
        <v>0.49902517176528399</v>
      </c>
      <c r="AB130" s="105">
        <f t="shared" si="97"/>
        <v>0.5155987430000456</v>
      </c>
      <c r="AC130" s="105">
        <f t="shared" si="97"/>
        <v>0.51303897128551079</v>
      </c>
      <c r="AD130" s="105">
        <f t="shared" si="97"/>
        <v>0.50222087352751366</v>
      </c>
      <c r="AE130" s="105">
        <f t="shared" si="97"/>
        <v>0.51335693630935808</v>
      </c>
      <c r="AF130" s="105">
        <f t="shared" si="97"/>
        <v>0.50253883855136106</v>
      </c>
      <c r="AG130" s="105">
        <f t="shared" si="97"/>
        <v>0.51367490133320548</v>
      </c>
      <c r="AH130" s="105">
        <f t="shared" si="97"/>
        <v>0.51655263807158769</v>
      </c>
      <c r="AI130" s="105">
        <f t="shared" si="97"/>
        <v>0.50029703186067354</v>
      </c>
      <c r="AJ130" s="105">
        <f t="shared" si="97"/>
        <v>0.51687060309543509</v>
      </c>
      <c r="AK130" s="105">
        <f t="shared" si="97"/>
        <v>0.50061499688452082</v>
      </c>
      <c r="AL130" s="105">
        <f t="shared" si="97"/>
        <v>0.51718856811928249</v>
      </c>
      <c r="AM130" s="105">
        <f t="shared" si="97"/>
        <v>0.54766476010318699</v>
      </c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566491.85243718105</v>
      </c>
      <c r="L131" s="97">
        <f>SUM(O131:AV131)</f>
        <v>1839687.397162409</v>
      </c>
      <c r="M131" s="1"/>
      <c r="N131" s="1"/>
      <c r="O131" s="54">
        <f t="shared" ref="O131:AM131" si="98">O132-O129</f>
        <v>2.9103830456733704E-11</v>
      </c>
      <c r="P131" s="54">
        <f t="shared" si="98"/>
        <v>465055.77850817551</v>
      </c>
      <c r="Q131" s="54">
        <f t="shared" si="98"/>
        <v>-26139.228944458271</v>
      </c>
      <c r="R131" s="54">
        <f t="shared" si="98"/>
        <v>-13687.268071706058</v>
      </c>
      <c r="S131" s="54">
        <f t="shared" si="98"/>
        <v>1.4325624956109095</v>
      </c>
      <c r="T131" s="54">
        <f t="shared" si="98"/>
        <v>-25729.039163615205</v>
      </c>
      <c r="U131" s="54">
        <f t="shared" si="98"/>
        <v>-13236.337879220751</v>
      </c>
      <c r="V131" s="54">
        <f t="shared" si="98"/>
        <v>497.14954032207606</v>
      </c>
      <c r="W131" s="54">
        <f t="shared" si="98"/>
        <v>11864.475647592539</v>
      </c>
      <c r="X131" s="54">
        <f t="shared" si="98"/>
        <v>22561.759371617518</v>
      </c>
      <c r="Y131" s="54">
        <f t="shared" si="98"/>
        <v>39850.745455730008</v>
      </c>
      <c r="Z131" s="54">
        <f t="shared" si="98"/>
        <v>18361.001089570374</v>
      </c>
      <c r="AA131" s="54">
        <f t="shared" si="98"/>
        <v>35232.76414762807</v>
      </c>
      <c r="AB131" s="54">
        <f t="shared" si="98"/>
        <v>35978.734529571404</v>
      </c>
      <c r="AC131" s="54">
        <f t="shared" si="98"/>
        <v>54600.306447014911</v>
      </c>
      <c r="AD131" s="54">
        <f t="shared" si="98"/>
        <v>75071.389348819648</v>
      </c>
      <c r="AE131" s="54">
        <f t="shared" si="98"/>
        <v>53353.667459578312</v>
      </c>
      <c r="AF131" s="54">
        <f t="shared" si="98"/>
        <v>72799.009790848853</v>
      </c>
      <c r="AG131" s="54">
        <f t="shared" si="98"/>
        <v>90446.228183015133</v>
      </c>
      <c r="AH131" s="54">
        <f t="shared" si="98"/>
        <v>114477.55971953287</v>
      </c>
      <c r="AI131" s="54">
        <f t="shared" si="98"/>
        <v>140895.70434802078</v>
      </c>
      <c r="AJ131" s="54">
        <f t="shared" si="98"/>
        <v>129163.03666010487</v>
      </c>
      <c r="AK131" s="54">
        <f t="shared" si="98"/>
        <v>157039.75584033242</v>
      </c>
      <c r="AL131" s="54">
        <f t="shared" si="98"/>
        <v>183955.03198941454</v>
      </c>
      <c r="AM131" s="54">
        <f t="shared" si="98"/>
        <v>217273.74058202372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 t="shared" ref="K132:L132" si="99">K115</f>
        <v>2976229.1524527892</v>
      </c>
      <c r="L132" s="75">
        <f t="shared" si="99"/>
        <v>9064445.5636545345</v>
      </c>
      <c r="M132" s="1"/>
      <c r="N132" s="1"/>
      <c r="O132" s="75">
        <f t="shared" ref="O132:AM132" si="100">O115</f>
        <v>10185.14257268174</v>
      </c>
      <c r="P132" s="75">
        <f t="shared" si="100"/>
        <v>690453.16005304328</v>
      </c>
      <c r="Q132" s="75">
        <f t="shared" si="100"/>
        <v>192125.51564235741</v>
      </c>
      <c r="R132" s="75">
        <f t="shared" si="100"/>
        <v>211849.63020671421</v>
      </c>
      <c r="S132" s="75">
        <f t="shared" si="100"/>
        <v>224415.15388286376</v>
      </c>
      <c r="T132" s="75">
        <f t="shared" si="100"/>
        <v>193937.91584835754</v>
      </c>
      <c r="U132" s="75">
        <f t="shared" si="100"/>
        <v>211316.90017469984</v>
      </c>
      <c r="V132" s="75">
        <f t="shared" si="100"/>
        <v>220303.62128584727</v>
      </c>
      <c r="W132" s="75">
        <f t="shared" si="100"/>
        <v>236557.23043506558</v>
      </c>
      <c r="X132" s="75">
        <f t="shared" si="100"/>
        <v>248517.20785069512</v>
      </c>
      <c r="Y132" s="75">
        <f t="shared" si="100"/>
        <v>258673.5569767555</v>
      </c>
      <c r="Z132" s="75">
        <f t="shared" si="100"/>
        <v>244455.96630220042</v>
      </c>
      <c r="AA132" s="75">
        <f t="shared" si="100"/>
        <v>254195.09240220604</v>
      </c>
      <c r="AB132" s="75">
        <f t="shared" si="100"/>
        <v>262213.21647575393</v>
      </c>
      <c r="AC132" s="75">
        <f t="shared" si="100"/>
        <v>279711.61143514531</v>
      </c>
      <c r="AD132" s="75">
        <f t="shared" si="100"/>
        <v>295435.92802855466</v>
      </c>
      <c r="AE132" s="75">
        <f t="shared" si="100"/>
        <v>278604.48918126116</v>
      </c>
      <c r="AF132" s="75">
        <f t="shared" si="100"/>
        <v>293303.06520413631</v>
      </c>
      <c r="AG132" s="75">
        <f t="shared" si="100"/>
        <v>315836.56663825043</v>
      </c>
      <c r="AH132" s="75">
        <f t="shared" si="100"/>
        <v>341130.59186637274</v>
      </c>
      <c r="AI132" s="75">
        <f t="shared" si="100"/>
        <v>360416.09953680856</v>
      </c>
      <c r="AJ132" s="75">
        <f t="shared" si="100"/>
        <v>355955.58554049721</v>
      </c>
      <c r="AK132" s="75">
        <f t="shared" si="100"/>
        <v>376699.66776267265</v>
      </c>
      <c r="AL132" s="75">
        <f t="shared" si="100"/>
        <v>410887.09760335932</v>
      </c>
      <c r="AM132" s="75">
        <f t="shared" si="100"/>
        <v>457578.15358582709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>
        <f t="shared" ref="K133:L133" si="101">IFERROR(K132/K$105,0)</f>
        <v>0.65818360970425149</v>
      </c>
      <c r="L133" s="105">
        <f t="shared" si="101"/>
        <v>0.76799194857467767</v>
      </c>
      <c r="M133" s="1"/>
      <c r="N133" s="1"/>
      <c r="O133" s="105">
        <f t="shared" ref="O133:AM133" si="102">IFERROR(O132/O$105,0)</f>
        <v>9.9269848077633005E-3</v>
      </c>
      <c r="P133" s="105">
        <f t="shared" si="102"/>
        <v>2.4035000566455298</v>
      </c>
      <c r="Q133" s="105">
        <f t="shared" si="102"/>
        <v>0.66879799303689536</v>
      </c>
      <c r="R133" s="105">
        <f t="shared" si="102"/>
        <v>0.73745856730245818</v>
      </c>
      <c r="S133" s="105">
        <f t="shared" si="102"/>
        <v>0.32158280671098544</v>
      </c>
      <c r="T133" s="105">
        <f t="shared" si="102"/>
        <v>0.67510704374418895</v>
      </c>
      <c r="U133" s="105">
        <f t="shared" si="102"/>
        <v>0.7356041089029558</v>
      </c>
      <c r="V133" s="105">
        <f t="shared" si="102"/>
        <v>0.67821881036974208</v>
      </c>
      <c r="W133" s="105">
        <f t="shared" si="102"/>
        <v>0.68979122836813367</v>
      </c>
      <c r="X133" s="105">
        <f t="shared" si="102"/>
        <v>0.86510013669956543</v>
      </c>
      <c r="Y133" s="105">
        <f t="shared" si="102"/>
        <v>0.3721934011750887</v>
      </c>
      <c r="Z133" s="105">
        <f t="shared" si="102"/>
        <v>0.85096276307800311</v>
      </c>
      <c r="AA133" s="105">
        <f t="shared" si="102"/>
        <v>0.54489582857508301</v>
      </c>
      <c r="AB133" s="105">
        <f t="shared" si="102"/>
        <v>0.91277658951443497</v>
      </c>
      <c r="AC133" s="105">
        <f t="shared" si="102"/>
        <v>0.97368932872598701</v>
      </c>
      <c r="AD133" s="105">
        <f t="shared" si="102"/>
        <v>0.4033179528851259</v>
      </c>
      <c r="AE133" s="105">
        <f t="shared" si="102"/>
        <v>0.94011728818153917</v>
      </c>
      <c r="AF133" s="105">
        <f t="shared" si="102"/>
        <v>0.87841507953830211</v>
      </c>
      <c r="AG133" s="105">
        <f t="shared" si="102"/>
        <v>1.0994420037811783</v>
      </c>
      <c r="AH133" s="105">
        <f t="shared" si="102"/>
        <v>1.1874917001051333</v>
      </c>
      <c r="AI133" s="105">
        <f t="shared" si="102"/>
        <v>0.51649992982667259</v>
      </c>
      <c r="AJ133" s="105">
        <f t="shared" si="102"/>
        <v>1.2390982031918747</v>
      </c>
      <c r="AK133" s="105">
        <f t="shared" si="102"/>
        <v>1.1596940578892325</v>
      </c>
      <c r="AL133" s="105">
        <f t="shared" si="102"/>
        <v>1.430317390811453</v>
      </c>
      <c r="AM133" s="105">
        <f t="shared" si="102"/>
        <v>1.5774373146206717</v>
      </c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103">K132+K134</f>
        <v>2976229.1524527892</v>
      </c>
      <c r="L135" s="75">
        <f t="shared" si="103"/>
        <v>9064445.5636545345</v>
      </c>
      <c r="M135" s="1"/>
      <c r="N135" s="1"/>
      <c r="O135" s="75">
        <f t="shared" ref="O135:AM135" si="104">O132+O134</f>
        <v>10185.14257268174</v>
      </c>
      <c r="P135" s="75">
        <f t="shared" si="104"/>
        <v>690453.16005304328</v>
      </c>
      <c r="Q135" s="75">
        <f t="shared" si="104"/>
        <v>192125.51564235741</v>
      </c>
      <c r="R135" s="75">
        <f t="shared" si="104"/>
        <v>211849.63020671421</v>
      </c>
      <c r="S135" s="75">
        <f t="shared" si="104"/>
        <v>224415.15388286376</v>
      </c>
      <c r="T135" s="75">
        <f t="shared" si="104"/>
        <v>193937.91584835754</v>
      </c>
      <c r="U135" s="75">
        <f t="shared" si="104"/>
        <v>211316.90017469984</v>
      </c>
      <c r="V135" s="75">
        <f t="shared" si="104"/>
        <v>220303.62128584727</v>
      </c>
      <c r="W135" s="75">
        <f t="shared" si="104"/>
        <v>236557.23043506558</v>
      </c>
      <c r="X135" s="75">
        <f t="shared" si="104"/>
        <v>248517.20785069512</v>
      </c>
      <c r="Y135" s="75">
        <f t="shared" si="104"/>
        <v>258673.5569767555</v>
      </c>
      <c r="Z135" s="75">
        <f t="shared" si="104"/>
        <v>244455.96630220042</v>
      </c>
      <c r="AA135" s="75">
        <f t="shared" si="104"/>
        <v>254195.09240220604</v>
      </c>
      <c r="AB135" s="75">
        <f t="shared" si="104"/>
        <v>262213.21647575393</v>
      </c>
      <c r="AC135" s="75">
        <f t="shared" si="104"/>
        <v>279711.61143514531</v>
      </c>
      <c r="AD135" s="75">
        <f t="shared" si="104"/>
        <v>295435.92802855466</v>
      </c>
      <c r="AE135" s="75">
        <f t="shared" si="104"/>
        <v>278604.48918126116</v>
      </c>
      <c r="AF135" s="75">
        <f t="shared" si="104"/>
        <v>293303.06520413631</v>
      </c>
      <c r="AG135" s="75">
        <f t="shared" si="104"/>
        <v>315836.56663825043</v>
      </c>
      <c r="AH135" s="75">
        <f t="shared" si="104"/>
        <v>341130.59186637274</v>
      </c>
      <c r="AI135" s="75">
        <f t="shared" si="104"/>
        <v>360416.09953680856</v>
      </c>
      <c r="AJ135" s="75">
        <f t="shared" si="104"/>
        <v>355955.58554049721</v>
      </c>
      <c r="AK135" s="75">
        <f t="shared" si="104"/>
        <v>376699.66776267265</v>
      </c>
      <c r="AL135" s="75">
        <f t="shared" si="104"/>
        <v>410887.09760335932</v>
      </c>
      <c r="AM135" s="75">
        <f t="shared" si="104"/>
        <v>457578.15358582709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>
        <f t="shared" ref="K136:L136" si="105">IFERROR(K135/K$105,0)</f>
        <v>0.65818360970425149</v>
      </c>
      <c r="L136" s="105">
        <f t="shared" si="105"/>
        <v>0.76799194857467767</v>
      </c>
      <c r="M136" s="1"/>
      <c r="N136" s="1"/>
      <c r="O136" s="105">
        <f t="shared" ref="O136:AM136" si="106">O135/O127</f>
        <v>6.963721881707044E-2</v>
      </c>
      <c r="P136" s="105">
        <f t="shared" si="106"/>
        <v>1.5735743656815508</v>
      </c>
      <c r="Q136" s="105">
        <f t="shared" si="106"/>
        <v>0.43786284703938172</v>
      </c>
      <c r="R136" s="105">
        <f t="shared" si="106"/>
        <v>0.48281500724363596</v>
      </c>
      <c r="S136" s="105">
        <f t="shared" si="106"/>
        <v>0.5114524110417944</v>
      </c>
      <c r="T136" s="105">
        <f t="shared" si="106"/>
        <v>0.44199339009359656</v>
      </c>
      <c r="U136" s="105">
        <f t="shared" si="106"/>
        <v>0.48160089110845583</v>
      </c>
      <c r="V136" s="105">
        <f t="shared" si="106"/>
        <v>0.50208203999760626</v>
      </c>
      <c r="W136" s="105">
        <f t="shared" si="106"/>
        <v>0.53912475945601557</v>
      </c>
      <c r="X136" s="105">
        <f t="shared" si="106"/>
        <v>0.56638209560017794</v>
      </c>
      <c r="Y136" s="105">
        <f t="shared" si="106"/>
        <v>0.58952888028931316</v>
      </c>
      <c r="Z136" s="105">
        <f t="shared" si="106"/>
        <v>0.55712634015825746</v>
      </c>
      <c r="AA136" s="105">
        <f t="shared" si="106"/>
        <v>0.5793222544675376</v>
      </c>
      <c r="AB136" s="105">
        <f t="shared" si="106"/>
        <v>0.59759592635864711</v>
      </c>
      <c r="AC136" s="105">
        <f t="shared" si="106"/>
        <v>0.63747556967370445</v>
      </c>
      <c r="AD136" s="105">
        <f t="shared" si="106"/>
        <v>0.6733120071625982</v>
      </c>
      <c r="AE136" s="105">
        <f t="shared" si="106"/>
        <v>0.63495238736506843</v>
      </c>
      <c r="AF136" s="105">
        <f t="shared" si="106"/>
        <v>0.66845111512792044</v>
      </c>
      <c r="AG136" s="105">
        <f t="shared" si="106"/>
        <v>0.71980599664232536</v>
      </c>
      <c r="AH136" s="105">
        <f t="shared" si="106"/>
        <v>0.77745223827994481</v>
      </c>
      <c r="AI136" s="105">
        <f t="shared" si="106"/>
        <v>0.8214047932903692</v>
      </c>
      <c r="AJ136" s="105">
        <f t="shared" si="106"/>
        <v>0.81123907765830505</v>
      </c>
      <c r="AK136" s="105">
        <f t="shared" si="106"/>
        <v>0.85851579085619667</v>
      </c>
      <c r="AL136" s="105">
        <f t="shared" si="106"/>
        <v>0.93643050880999412</v>
      </c>
      <c r="AM136" s="105">
        <f t="shared" si="106"/>
        <v>1.0428415632470092</v>
      </c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-304238.86263597681</v>
      </c>
      <c r="L137" s="108">
        <f>SUM(O137:AV137)</f>
        <v>-869096.23887607804</v>
      </c>
      <c r="M137" s="1"/>
      <c r="N137" s="1"/>
      <c r="O137" s="54">
        <f t="shared" ref="O137:AM137" si="107">O117</f>
        <v>-11905.427929809277</v>
      </c>
      <c r="P137" s="54">
        <f t="shared" si="107"/>
        <v>-35716.283789427878</v>
      </c>
      <c r="Q137" s="54">
        <f t="shared" si="107"/>
        <v>-35716.283789427878</v>
      </c>
      <c r="R137" s="54">
        <f t="shared" si="107"/>
        <v>-35716.283789427878</v>
      </c>
      <c r="S137" s="54">
        <f t="shared" si="107"/>
        <v>-35716.283789427878</v>
      </c>
      <c r="T137" s="54">
        <f t="shared" si="107"/>
        <v>-35716.283789427878</v>
      </c>
      <c r="U137" s="54">
        <f t="shared" si="107"/>
        <v>-35716.283789427878</v>
      </c>
      <c r="V137" s="54">
        <f t="shared" si="107"/>
        <v>-35716.283789427878</v>
      </c>
      <c r="W137" s="54">
        <f t="shared" si="107"/>
        <v>-35716.283789427878</v>
      </c>
      <c r="X137" s="54">
        <f t="shared" si="107"/>
        <v>-35716.283789427878</v>
      </c>
      <c r="Y137" s="54">
        <f t="shared" si="107"/>
        <v>-35716.283789427878</v>
      </c>
      <c r="Z137" s="54">
        <f t="shared" si="107"/>
        <v>-35716.283789427878</v>
      </c>
      <c r="AA137" s="54">
        <f t="shared" si="107"/>
        <v>-35716.283789427878</v>
      </c>
      <c r="AB137" s="54">
        <f t="shared" si="107"/>
        <v>-35716.283789427878</v>
      </c>
      <c r="AC137" s="54">
        <f t="shared" si="107"/>
        <v>-35716.283789427878</v>
      </c>
      <c r="AD137" s="54">
        <f t="shared" si="107"/>
        <v>-35716.283789427878</v>
      </c>
      <c r="AE137" s="54">
        <f t="shared" si="107"/>
        <v>-35716.283789427878</v>
      </c>
      <c r="AF137" s="54">
        <f t="shared" si="107"/>
        <v>-35716.283789427878</v>
      </c>
      <c r="AG137" s="54">
        <f t="shared" si="107"/>
        <v>-35716.283789427878</v>
      </c>
      <c r="AH137" s="54">
        <f t="shared" si="107"/>
        <v>-35716.283789427878</v>
      </c>
      <c r="AI137" s="54">
        <f t="shared" si="107"/>
        <v>-35716.283789427878</v>
      </c>
      <c r="AJ137" s="54">
        <f t="shared" si="107"/>
        <v>-35716.283789427878</v>
      </c>
      <c r="AK137" s="54">
        <f t="shared" si="107"/>
        <v>-35716.283789427878</v>
      </c>
      <c r="AL137" s="54">
        <f t="shared" si="107"/>
        <v>-35716.283789427878</v>
      </c>
      <c r="AM137" s="54">
        <f t="shared" si="107"/>
        <v>-35716.283789427878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108">K135+K137</f>
        <v>2671990.2898168126</v>
      </c>
      <c r="L138" s="109">
        <f t="shared" si="108"/>
        <v>8195349.3247784562</v>
      </c>
      <c r="M138" s="1"/>
      <c r="N138" s="1"/>
      <c r="O138" s="109">
        <f t="shared" ref="O138:AM138" si="109">O135+O137</f>
        <v>-1720.2853571275373</v>
      </c>
      <c r="P138" s="109">
        <f t="shared" si="109"/>
        <v>654736.87626361544</v>
      </c>
      <c r="Q138" s="109">
        <f t="shared" si="109"/>
        <v>156409.23185292952</v>
      </c>
      <c r="R138" s="109">
        <f t="shared" si="109"/>
        <v>176133.34641728632</v>
      </c>
      <c r="S138" s="109">
        <f t="shared" si="109"/>
        <v>188698.87009343586</v>
      </c>
      <c r="T138" s="109">
        <f t="shared" si="109"/>
        <v>158221.63205892965</v>
      </c>
      <c r="U138" s="109">
        <f t="shared" si="109"/>
        <v>175600.61638527195</v>
      </c>
      <c r="V138" s="109">
        <f t="shared" si="109"/>
        <v>184587.33749641938</v>
      </c>
      <c r="W138" s="109">
        <f t="shared" si="109"/>
        <v>200840.94664563768</v>
      </c>
      <c r="X138" s="109">
        <f t="shared" si="109"/>
        <v>212800.92406126723</v>
      </c>
      <c r="Y138" s="109">
        <f t="shared" si="109"/>
        <v>222957.27318732761</v>
      </c>
      <c r="Z138" s="109">
        <f t="shared" si="109"/>
        <v>208739.68251277256</v>
      </c>
      <c r="AA138" s="109">
        <f t="shared" si="109"/>
        <v>218478.80861277814</v>
      </c>
      <c r="AB138" s="109">
        <f t="shared" si="109"/>
        <v>226496.93268632604</v>
      </c>
      <c r="AC138" s="109">
        <f t="shared" si="109"/>
        <v>243995.32764571742</v>
      </c>
      <c r="AD138" s="109">
        <f t="shared" si="109"/>
        <v>259719.64423912676</v>
      </c>
      <c r="AE138" s="109">
        <f t="shared" si="109"/>
        <v>242888.20539183327</v>
      </c>
      <c r="AF138" s="109">
        <f t="shared" si="109"/>
        <v>257586.78141470841</v>
      </c>
      <c r="AG138" s="109">
        <f t="shared" si="109"/>
        <v>280120.28284882254</v>
      </c>
      <c r="AH138" s="109">
        <f t="shared" si="109"/>
        <v>305414.30807694484</v>
      </c>
      <c r="AI138" s="109">
        <f t="shared" si="109"/>
        <v>324699.81574738066</v>
      </c>
      <c r="AJ138" s="109">
        <f t="shared" si="109"/>
        <v>320239.30175106932</v>
      </c>
      <c r="AK138" s="109">
        <f t="shared" si="109"/>
        <v>340983.38397324475</v>
      </c>
      <c r="AL138" s="109">
        <f t="shared" si="109"/>
        <v>375170.81381393143</v>
      </c>
      <c r="AM138" s="109">
        <f t="shared" si="109"/>
        <v>421861.8697963992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>
        <f t="shared" ref="K139:L139" si="110">IFERROR(K138/K$105,0)</f>
        <v>0.59090215301364823</v>
      </c>
      <c r="L139" s="105">
        <f t="shared" si="110"/>
        <v>0.69435711792715793</v>
      </c>
      <c r="M139" s="1"/>
      <c r="N139" s="1"/>
      <c r="O139" s="105">
        <f t="shared" ref="O139:AM139" si="111">O138/O127</f>
        <v>-1.1761827287858016E-2</v>
      </c>
      <c r="P139" s="105">
        <f t="shared" si="111"/>
        <v>1.4921753195766225</v>
      </c>
      <c r="Q139" s="105">
        <f t="shared" si="111"/>
        <v>0.35646380093445323</v>
      </c>
      <c r="R139" s="105">
        <f t="shared" si="111"/>
        <v>0.40141596113870742</v>
      </c>
      <c r="S139" s="105">
        <f t="shared" si="111"/>
        <v>0.43005336493686591</v>
      </c>
      <c r="T139" s="105">
        <f t="shared" si="111"/>
        <v>0.36059434398866802</v>
      </c>
      <c r="U139" s="105">
        <f t="shared" si="111"/>
        <v>0.40020184500352729</v>
      </c>
      <c r="V139" s="105">
        <f t="shared" si="111"/>
        <v>0.42068299389267777</v>
      </c>
      <c r="W139" s="105">
        <f t="shared" si="111"/>
        <v>0.45772571335108703</v>
      </c>
      <c r="X139" s="105">
        <f t="shared" si="111"/>
        <v>0.4849830494952494</v>
      </c>
      <c r="Y139" s="105">
        <f t="shared" si="111"/>
        <v>0.50812983418438462</v>
      </c>
      <c r="Z139" s="105">
        <f t="shared" si="111"/>
        <v>0.47572729405332909</v>
      </c>
      <c r="AA139" s="105">
        <f t="shared" si="111"/>
        <v>0.49792320836260906</v>
      </c>
      <c r="AB139" s="105">
        <f t="shared" si="111"/>
        <v>0.51619688025371868</v>
      </c>
      <c r="AC139" s="105">
        <f t="shared" si="111"/>
        <v>0.5560765235687759</v>
      </c>
      <c r="AD139" s="105">
        <f t="shared" si="111"/>
        <v>0.59191296105766966</v>
      </c>
      <c r="AE139" s="105">
        <f t="shared" si="111"/>
        <v>0.55355334126013989</v>
      </c>
      <c r="AF139" s="105">
        <f t="shared" si="111"/>
        <v>0.58705206902299201</v>
      </c>
      <c r="AG139" s="105">
        <f t="shared" si="111"/>
        <v>0.63840695053739682</v>
      </c>
      <c r="AH139" s="105">
        <f t="shared" si="111"/>
        <v>0.69605319217501627</v>
      </c>
      <c r="AI139" s="105">
        <f t="shared" si="111"/>
        <v>0.74000574718544065</v>
      </c>
      <c r="AJ139" s="105">
        <f t="shared" si="111"/>
        <v>0.72984003155337651</v>
      </c>
      <c r="AK139" s="105">
        <f t="shared" si="111"/>
        <v>0.77711674475126813</v>
      </c>
      <c r="AL139" s="105">
        <f t="shared" si="111"/>
        <v>0.85503146270506558</v>
      </c>
      <c r="AM139" s="105">
        <f t="shared" si="111"/>
        <v>0.96144251714208073</v>
      </c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112">O$3</f>
        <v>1</v>
      </c>
      <c r="P141" s="80">
        <f t="shared" si="112"/>
        <v>2</v>
      </c>
      <c r="Q141" s="80">
        <f t="shared" si="112"/>
        <v>3</v>
      </c>
      <c r="R141" s="80">
        <f t="shared" si="112"/>
        <v>4</v>
      </c>
      <c r="S141" s="80">
        <f t="shared" si="112"/>
        <v>5</v>
      </c>
      <c r="T141" s="80">
        <f t="shared" si="112"/>
        <v>6</v>
      </c>
      <c r="U141" s="80">
        <f t="shared" si="112"/>
        <v>7</v>
      </c>
      <c r="V141" s="80">
        <f t="shared" si="112"/>
        <v>8</v>
      </c>
      <c r="W141" s="80">
        <f t="shared" si="112"/>
        <v>9</v>
      </c>
      <c r="X141" s="80">
        <f t="shared" si="112"/>
        <v>10</v>
      </c>
      <c r="Y141" s="80">
        <f t="shared" si="112"/>
        <v>11</v>
      </c>
      <c r="Z141" s="80">
        <f t="shared" si="112"/>
        <v>12</v>
      </c>
      <c r="AA141" s="80">
        <f t="shared" si="112"/>
        <v>13</v>
      </c>
      <c r="AB141" s="80">
        <f t="shared" si="112"/>
        <v>14</v>
      </c>
      <c r="AC141" s="80">
        <f t="shared" si="112"/>
        <v>15</v>
      </c>
      <c r="AD141" s="80">
        <f t="shared" si="112"/>
        <v>16</v>
      </c>
      <c r="AE141" s="80">
        <f t="shared" si="112"/>
        <v>17</v>
      </c>
      <c r="AF141" s="80">
        <f t="shared" si="112"/>
        <v>18</v>
      </c>
      <c r="AG141" s="80">
        <f t="shared" si="112"/>
        <v>19</v>
      </c>
      <c r="AH141" s="80">
        <f t="shared" si="112"/>
        <v>20</v>
      </c>
      <c r="AI141" s="80">
        <f t="shared" si="112"/>
        <v>21</v>
      </c>
      <c r="AJ141" s="80">
        <f t="shared" si="112"/>
        <v>22</v>
      </c>
      <c r="AK141" s="80">
        <f t="shared" si="112"/>
        <v>23</v>
      </c>
      <c r="AL141" s="80">
        <f t="shared" si="112"/>
        <v>24</v>
      </c>
      <c r="AM141" s="80">
        <f t="shared" si="112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113">O$2</f>
        <v>46023</v>
      </c>
      <c r="P142" s="84">
        <f t="shared" si="113"/>
        <v>46388</v>
      </c>
      <c r="Q142" s="84">
        <f t="shared" si="113"/>
        <v>46753</v>
      </c>
      <c r="R142" s="84">
        <f t="shared" si="113"/>
        <v>47119</v>
      </c>
      <c r="S142" s="84">
        <f t="shared" si="113"/>
        <v>47484</v>
      </c>
      <c r="T142" s="84">
        <f t="shared" si="113"/>
        <v>47849</v>
      </c>
      <c r="U142" s="84">
        <f t="shared" si="113"/>
        <v>48214</v>
      </c>
      <c r="V142" s="84">
        <f t="shared" si="113"/>
        <v>48580</v>
      </c>
      <c r="W142" s="84">
        <f t="shared" si="113"/>
        <v>48945</v>
      </c>
      <c r="X142" s="84">
        <f t="shared" si="113"/>
        <v>49310</v>
      </c>
      <c r="Y142" s="84">
        <f t="shared" si="113"/>
        <v>49675</v>
      </c>
      <c r="Z142" s="84">
        <f t="shared" si="113"/>
        <v>50041</v>
      </c>
      <c r="AA142" s="84">
        <f t="shared" si="113"/>
        <v>50406</v>
      </c>
      <c r="AB142" s="84">
        <f t="shared" si="113"/>
        <v>50771</v>
      </c>
      <c r="AC142" s="84">
        <f t="shared" si="113"/>
        <v>51136</v>
      </c>
      <c r="AD142" s="84">
        <f t="shared" si="113"/>
        <v>51502</v>
      </c>
      <c r="AE142" s="84">
        <f t="shared" si="113"/>
        <v>51867</v>
      </c>
      <c r="AF142" s="84">
        <f t="shared" si="113"/>
        <v>52232</v>
      </c>
      <c r="AG142" s="84">
        <f t="shared" si="113"/>
        <v>52597</v>
      </c>
      <c r="AH142" s="84">
        <f t="shared" si="113"/>
        <v>52963</v>
      </c>
      <c r="AI142" s="84">
        <f t="shared" si="113"/>
        <v>53328</v>
      </c>
      <c r="AJ142" s="84">
        <f t="shared" si="113"/>
        <v>53693</v>
      </c>
      <c r="AK142" s="84">
        <f t="shared" si="113"/>
        <v>54058</v>
      </c>
      <c r="AL142" s="84">
        <f t="shared" si="113"/>
        <v>54424</v>
      </c>
      <c r="AM142" s="84">
        <f t="shared" si="113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3961443.5239059469</v>
      </c>
      <c r="L143" s="62">
        <f t="shared" ref="L143:L147" si="114">SUM(O143:AV143)</f>
        <v>11316357.277032264</v>
      </c>
      <c r="M143" s="1"/>
      <c r="N143" s="1"/>
      <c r="O143" s="112">
        <f t="shared" ref="O143:AM143" si="115">O75</f>
        <v>155018.59283605829</v>
      </c>
      <c r="P143" s="112">
        <f t="shared" si="115"/>
        <v>465055.7785081754</v>
      </c>
      <c r="Q143" s="112">
        <f t="shared" si="115"/>
        <v>465055.7785081754</v>
      </c>
      <c r="R143" s="112">
        <f t="shared" si="115"/>
        <v>465055.7785081754</v>
      </c>
      <c r="S143" s="112">
        <f t="shared" si="115"/>
        <v>465055.7785081754</v>
      </c>
      <c r="T143" s="112">
        <f t="shared" si="115"/>
        <v>465055.7785081754</v>
      </c>
      <c r="U143" s="112">
        <f t="shared" si="115"/>
        <v>465055.7785081754</v>
      </c>
      <c r="V143" s="112">
        <f t="shared" si="115"/>
        <v>465055.7785081754</v>
      </c>
      <c r="W143" s="112">
        <f t="shared" si="115"/>
        <v>465055.7785081754</v>
      </c>
      <c r="X143" s="112">
        <f t="shared" si="115"/>
        <v>465055.7785081754</v>
      </c>
      <c r="Y143" s="112">
        <f t="shared" si="115"/>
        <v>465055.7785081754</v>
      </c>
      <c r="Z143" s="112">
        <f t="shared" si="115"/>
        <v>465055.7785081754</v>
      </c>
      <c r="AA143" s="112">
        <f t="shared" si="115"/>
        <v>465055.7785081754</v>
      </c>
      <c r="AB143" s="112">
        <f t="shared" si="115"/>
        <v>465055.7785081754</v>
      </c>
      <c r="AC143" s="112">
        <f t="shared" si="115"/>
        <v>465055.7785081754</v>
      </c>
      <c r="AD143" s="112">
        <f t="shared" si="115"/>
        <v>465055.7785081754</v>
      </c>
      <c r="AE143" s="112">
        <f t="shared" si="115"/>
        <v>465055.7785081754</v>
      </c>
      <c r="AF143" s="112">
        <f t="shared" si="115"/>
        <v>465055.7785081754</v>
      </c>
      <c r="AG143" s="112">
        <f t="shared" si="115"/>
        <v>465055.7785081754</v>
      </c>
      <c r="AH143" s="112">
        <f t="shared" si="115"/>
        <v>465055.7785081754</v>
      </c>
      <c r="AI143" s="112">
        <f t="shared" si="115"/>
        <v>465055.7785081754</v>
      </c>
      <c r="AJ143" s="112">
        <f t="shared" si="115"/>
        <v>465055.7785081754</v>
      </c>
      <c r="AK143" s="112">
        <f t="shared" si="115"/>
        <v>465055.7785081754</v>
      </c>
      <c r="AL143" s="112">
        <f t="shared" si="115"/>
        <v>465055.7785081754</v>
      </c>
      <c r="AM143" s="112">
        <f t="shared" si="115"/>
        <v>465055.7785081754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-223821.55910068596</v>
      </c>
      <c r="L144" s="54">
        <f t="shared" si="114"/>
        <v>-639374.18615232327</v>
      </c>
      <c r="M144" s="1"/>
      <c r="N144" s="1"/>
      <c r="O144" s="97">
        <f t="shared" ref="O144:AM144" si="116">-MAX(O212,0)-O260</f>
        <v>-8758.5504952372939</v>
      </c>
      <c r="P144" s="97">
        <f t="shared" si="116"/>
        <v>-26275.651485711911</v>
      </c>
      <c r="Q144" s="97">
        <f t="shared" si="116"/>
        <v>-26275.651485711911</v>
      </c>
      <c r="R144" s="97">
        <f t="shared" si="116"/>
        <v>-26275.651485711911</v>
      </c>
      <c r="S144" s="97">
        <f t="shared" si="116"/>
        <v>-26275.651485711911</v>
      </c>
      <c r="T144" s="97">
        <f t="shared" si="116"/>
        <v>-26275.651485711911</v>
      </c>
      <c r="U144" s="97">
        <f t="shared" si="116"/>
        <v>-26275.651485711911</v>
      </c>
      <c r="V144" s="97">
        <f t="shared" si="116"/>
        <v>-26275.651485711911</v>
      </c>
      <c r="W144" s="97">
        <f t="shared" si="116"/>
        <v>-26275.651485711911</v>
      </c>
      <c r="X144" s="97">
        <f t="shared" si="116"/>
        <v>-26275.651485711911</v>
      </c>
      <c r="Y144" s="97">
        <f t="shared" si="116"/>
        <v>-26275.651485711911</v>
      </c>
      <c r="Z144" s="97">
        <f t="shared" si="116"/>
        <v>-26275.651485711911</v>
      </c>
      <c r="AA144" s="97">
        <f t="shared" si="116"/>
        <v>-26275.651485711911</v>
      </c>
      <c r="AB144" s="97">
        <f t="shared" si="116"/>
        <v>-26275.651485711911</v>
      </c>
      <c r="AC144" s="97">
        <f t="shared" si="116"/>
        <v>-26275.651485711911</v>
      </c>
      <c r="AD144" s="97">
        <f t="shared" si="116"/>
        <v>-26275.651485711911</v>
      </c>
      <c r="AE144" s="97">
        <f t="shared" si="116"/>
        <v>-26275.651485711911</v>
      </c>
      <c r="AF144" s="97">
        <f t="shared" si="116"/>
        <v>-26275.651485711911</v>
      </c>
      <c r="AG144" s="97">
        <f t="shared" si="116"/>
        <v>-26275.651485711911</v>
      </c>
      <c r="AH144" s="97">
        <f t="shared" si="116"/>
        <v>-26275.651485711911</v>
      </c>
      <c r="AI144" s="97">
        <f t="shared" si="116"/>
        <v>-26275.651485711911</v>
      </c>
      <c r="AJ144" s="97">
        <f t="shared" si="116"/>
        <v>-26275.651485711911</v>
      </c>
      <c r="AK144" s="97">
        <f t="shared" si="116"/>
        <v>-26275.651485711911</v>
      </c>
      <c r="AL144" s="97">
        <f t="shared" si="116"/>
        <v>-26275.651485711911</v>
      </c>
      <c r="AM144" s="97">
        <f t="shared" si="116"/>
        <v>-26275.651485711911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-1894376.5172268339</v>
      </c>
      <c r="L145" s="54">
        <f t="shared" si="114"/>
        <v>-5291912.3215502268</v>
      </c>
      <c r="M145" s="1"/>
      <c r="N145" s="1"/>
      <c r="O145" s="97">
        <f t="shared" ref="O145:AM145" si="117">O106</f>
        <v>-136074.89976813929</v>
      </c>
      <c r="P145" s="97">
        <f t="shared" si="117"/>
        <v>-213382.74547759569</v>
      </c>
      <c r="Q145" s="97">
        <f t="shared" si="117"/>
        <v>-220515.3824356478</v>
      </c>
      <c r="R145" s="97">
        <f t="shared" si="117"/>
        <v>-213243.22874404321</v>
      </c>
      <c r="S145" s="97">
        <f t="shared" si="117"/>
        <v>-214366.40570209533</v>
      </c>
      <c r="T145" s="97">
        <f t="shared" si="117"/>
        <v>-219113.17201049073</v>
      </c>
      <c r="U145" s="97">
        <f t="shared" si="117"/>
        <v>-214226.88896854289</v>
      </c>
      <c r="V145" s="97">
        <f t="shared" si="117"/>
        <v>-218973.65527693828</v>
      </c>
      <c r="W145" s="97">
        <f t="shared" si="117"/>
        <v>-214087.37223499044</v>
      </c>
      <c r="X145" s="97">
        <f t="shared" si="117"/>
        <v>-212824.67854338587</v>
      </c>
      <c r="Y145" s="97">
        <f t="shared" si="117"/>
        <v>-219957.31550143799</v>
      </c>
      <c r="Z145" s="97">
        <f t="shared" si="117"/>
        <v>-212685.16180983343</v>
      </c>
      <c r="AA145" s="97">
        <f t="shared" si="117"/>
        <v>-219817.79876788551</v>
      </c>
      <c r="AB145" s="97">
        <f t="shared" si="117"/>
        <v>-212545.64507628095</v>
      </c>
      <c r="AC145" s="97">
        <f t="shared" si="117"/>
        <v>-213668.82203433308</v>
      </c>
      <c r="AD145" s="97">
        <f t="shared" si="117"/>
        <v>-218415.58834272847</v>
      </c>
      <c r="AE145" s="97">
        <f t="shared" si="117"/>
        <v>-213529.30530078063</v>
      </c>
      <c r="AF145" s="97">
        <f t="shared" si="117"/>
        <v>-218276.07160917603</v>
      </c>
      <c r="AG145" s="97">
        <f t="shared" si="117"/>
        <v>-213389.78856722818</v>
      </c>
      <c r="AH145" s="97">
        <f t="shared" si="117"/>
        <v>-212127.09487562362</v>
      </c>
      <c r="AI145" s="97">
        <f t="shared" si="117"/>
        <v>-219259.7318336757</v>
      </c>
      <c r="AJ145" s="97">
        <f t="shared" si="117"/>
        <v>-211987.57814207114</v>
      </c>
      <c r="AK145" s="97">
        <f t="shared" si="117"/>
        <v>-219120.21510012326</v>
      </c>
      <c r="AL145" s="97">
        <f t="shared" si="117"/>
        <v>-211848.0614085187</v>
      </c>
      <c r="AM145" s="97">
        <f t="shared" si="117"/>
        <v>-198475.7140186601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-304238.86263597681</v>
      </c>
      <c r="L146" s="54">
        <f t="shared" si="114"/>
        <v>-869096.23887607804</v>
      </c>
      <c r="M146" s="1"/>
      <c r="N146" s="1"/>
      <c r="O146" s="54">
        <f t="shared" ref="O146:AM146" si="118">MIN(O117,0)</f>
        <v>-11905.427929809277</v>
      </c>
      <c r="P146" s="54">
        <f t="shared" si="118"/>
        <v>-35716.283789427878</v>
      </c>
      <c r="Q146" s="54">
        <f t="shared" si="118"/>
        <v>-35716.283789427878</v>
      </c>
      <c r="R146" s="54">
        <f t="shared" si="118"/>
        <v>-35716.283789427878</v>
      </c>
      <c r="S146" s="54">
        <f t="shared" si="118"/>
        <v>-35716.283789427878</v>
      </c>
      <c r="T146" s="54">
        <f t="shared" si="118"/>
        <v>-35716.283789427878</v>
      </c>
      <c r="U146" s="54">
        <f t="shared" si="118"/>
        <v>-35716.283789427878</v>
      </c>
      <c r="V146" s="54">
        <f t="shared" si="118"/>
        <v>-35716.283789427878</v>
      </c>
      <c r="W146" s="54">
        <f t="shared" si="118"/>
        <v>-35716.283789427878</v>
      </c>
      <c r="X146" s="54">
        <f t="shared" si="118"/>
        <v>-35716.283789427878</v>
      </c>
      <c r="Y146" s="54">
        <f t="shared" si="118"/>
        <v>-35716.283789427878</v>
      </c>
      <c r="Z146" s="54">
        <f t="shared" si="118"/>
        <v>-35716.283789427878</v>
      </c>
      <c r="AA146" s="54">
        <f t="shared" si="118"/>
        <v>-35716.283789427878</v>
      </c>
      <c r="AB146" s="54">
        <f t="shared" si="118"/>
        <v>-35716.283789427878</v>
      </c>
      <c r="AC146" s="54">
        <f t="shared" si="118"/>
        <v>-35716.283789427878</v>
      </c>
      <c r="AD146" s="54">
        <f t="shared" si="118"/>
        <v>-35716.283789427878</v>
      </c>
      <c r="AE146" s="54">
        <f t="shared" si="118"/>
        <v>-35716.283789427878</v>
      </c>
      <c r="AF146" s="54">
        <f t="shared" si="118"/>
        <v>-35716.283789427878</v>
      </c>
      <c r="AG146" s="54">
        <f t="shared" si="118"/>
        <v>-35716.283789427878</v>
      </c>
      <c r="AH146" s="54">
        <f t="shared" si="118"/>
        <v>-35716.283789427878</v>
      </c>
      <c r="AI146" s="54">
        <f t="shared" si="118"/>
        <v>-35716.283789427878</v>
      </c>
      <c r="AJ146" s="54">
        <f t="shared" si="118"/>
        <v>-35716.283789427878</v>
      </c>
      <c r="AK146" s="54">
        <f t="shared" si="118"/>
        <v>-35716.283789427878</v>
      </c>
      <c r="AL146" s="54">
        <f t="shared" si="118"/>
        <v>-35716.283789427878</v>
      </c>
      <c r="AM146" s="54">
        <f t="shared" si="118"/>
        <v>-35716.283789427878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114"/>
        <v>0</v>
      </c>
      <c r="M147" s="1"/>
      <c r="N147" s="1"/>
      <c r="O147" s="54">
        <f t="shared" ref="O147:AM147" si="119">O49</f>
        <v>0</v>
      </c>
      <c r="P147" s="54">
        <f t="shared" si="119"/>
        <v>0</v>
      </c>
      <c r="Q147" s="54">
        <f t="shared" si="119"/>
        <v>0</v>
      </c>
      <c r="R147" s="54">
        <f t="shared" si="119"/>
        <v>0</v>
      </c>
      <c r="S147" s="54">
        <f t="shared" si="119"/>
        <v>0</v>
      </c>
      <c r="T147" s="54">
        <f t="shared" si="119"/>
        <v>0</v>
      </c>
      <c r="U147" s="54">
        <f t="shared" si="119"/>
        <v>0</v>
      </c>
      <c r="V147" s="54">
        <f t="shared" si="119"/>
        <v>0</v>
      </c>
      <c r="W147" s="54">
        <f t="shared" si="119"/>
        <v>0</v>
      </c>
      <c r="X147" s="54">
        <f t="shared" si="119"/>
        <v>0</v>
      </c>
      <c r="Y147" s="54">
        <f t="shared" si="119"/>
        <v>0</v>
      </c>
      <c r="Z147" s="54">
        <f t="shared" si="119"/>
        <v>0</v>
      </c>
      <c r="AA147" s="54">
        <f t="shared" si="119"/>
        <v>0</v>
      </c>
      <c r="AB147" s="54">
        <f t="shared" si="119"/>
        <v>0</v>
      </c>
      <c r="AC147" s="54">
        <f t="shared" si="119"/>
        <v>0</v>
      </c>
      <c r="AD147" s="54">
        <f t="shared" si="119"/>
        <v>0</v>
      </c>
      <c r="AE147" s="54">
        <f t="shared" si="119"/>
        <v>0</v>
      </c>
      <c r="AF147" s="54">
        <f t="shared" si="119"/>
        <v>0</v>
      </c>
      <c r="AG147" s="54">
        <f t="shared" si="119"/>
        <v>0</v>
      </c>
      <c r="AH147" s="54">
        <f t="shared" si="119"/>
        <v>0</v>
      </c>
      <c r="AI147" s="54">
        <f t="shared" si="119"/>
        <v>0</v>
      </c>
      <c r="AJ147" s="54">
        <f t="shared" si="119"/>
        <v>0</v>
      </c>
      <c r="AK147" s="54">
        <f t="shared" si="119"/>
        <v>0</v>
      </c>
      <c r="AL147" s="54">
        <f t="shared" si="119"/>
        <v>0</v>
      </c>
      <c r="AM147" s="54">
        <f t="shared" si="119"/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120">SUM(K143:K147)</f>
        <v>1539006.58494245</v>
      </c>
      <c r="L148" s="115">
        <f t="shared" si="120"/>
        <v>4515974.5304536344</v>
      </c>
      <c r="M148" s="1"/>
      <c r="N148" s="1"/>
      <c r="O148" s="334">
        <f t="shared" ref="O148:AM148" si="121">SUM(O143:O147)</f>
        <v>-1720.2853571275664</v>
      </c>
      <c r="P148" s="334">
        <f t="shared" si="121"/>
        <v>189681.09775543993</v>
      </c>
      <c r="Q148" s="116">
        <f t="shared" si="121"/>
        <v>182548.46079738782</v>
      </c>
      <c r="R148" s="116">
        <f t="shared" si="121"/>
        <v>189820.61448899237</v>
      </c>
      <c r="S148" s="116">
        <f t="shared" si="121"/>
        <v>188697.43753094028</v>
      </c>
      <c r="T148" s="116">
        <f t="shared" si="121"/>
        <v>183950.67122254486</v>
      </c>
      <c r="U148" s="116">
        <f t="shared" si="121"/>
        <v>188836.95426449273</v>
      </c>
      <c r="V148" s="116">
        <f t="shared" si="121"/>
        <v>184090.1879560973</v>
      </c>
      <c r="W148" s="116">
        <f t="shared" si="121"/>
        <v>188976.47099804517</v>
      </c>
      <c r="X148" s="116">
        <f t="shared" si="121"/>
        <v>190239.16468964971</v>
      </c>
      <c r="Y148" s="116">
        <f t="shared" si="121"/>
        <v>183106.5277315976</v>
      </c>
      <c r="Z148" s="116">
        <f t="shared" si="121"/>
        <v>190378.68142320216</v>
      </c>
      <c r="AA148" s="116">
        <f t="shared" si="121"/>
        <v>183246.0444651501</v>
      </c>
      <c r="AB148" s="116">
        <f t="shared" si="121"/>
        <v>190518.19815675466</v>
      </c>
      <c r="AC148" s="116">
        <f t="shared" si="121"/>
        <v>189395.02119870251</v>
      </c>
      <c r="AD148" s="116">
        <f t="shared" si="121"/>
        <v>184648.25489030714</v>
      </c>
      <c r="AE148" s="116">
        <f t="shared" si="121"/>
        <v>189534.53793225496</v>
      </c>
      <c r="AF148" s="116">
        <f t="shared" si="121"/>
        <v>184787.77162385959</v>
      </c>
      <c r="AG148" s="116">
        <f t="shared" si="121"/>
        <v>189674.0546658074</v>
      </c>
      <c r="AH148" s="116">
        <f t="shared" si="121"/>
        <v>190936.748357412</v>
      </c>
      <c r="AI148" s="116">
        <f t="shared" si="121"/>
        <v>183804.11139935988</v>
      </c>
      <c r="AJ148" s="116">
        <f t="shared" si="121"/>
        <v>191076.26509096444</v>
      </c>
      <c r="AK148" s="116">
        <f t="shared" si="121"/>
        <v>183943.62813291233</v>
      </c>
      <c r="AL148" s="116">
        <f t="shared" si="121"/>
        <v>191215.78182451689</v>
      </c>
      <c r="AM148" s="116">
        <f t="shared" si="121"/>
        <v>204588.12921437551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>
        <f t="shared" ref="K149:L149" si="122">IFERROR(K148/(K143+K144),"nd")</f>
        <v>0.41176090022861261</v>
      </c>
      <c r="L149" s="118">
        <f t="shared" si="122"/>
        <v>0.42296353679824478</v>
      </c>
      <c r="M149" s="1"/>
      <c r="N149" s="1"/>
      <c r="O149" s="335">
        <f t="shared" ref="O149:AM149" si="123">IFERROR((O148-O146)/(O143+O144),"nd")</f>
        <v>6.9637218817070246E-2</v>
      </c>
      <c r="P149" s="335">
        <f t="shared" si="123"/>
        <v>0.51369095285696142</v>
      </c>
      <c r="Q149" s="119">
        <f t="shared" si="123"/>
        <v>0.49743534664604711</v>
      </c>
      <c r="R149" s="119">
        <f t="shared" si="123"/>
        <v>0.51400891788080871</v>
      </c>
      <c r="S149" s="119">
        <f t="shared" si="123"/>
        <v>0.5114491461662739</v>
      </c>
      <c r="T149" s="119">
        <f t="shared" si="123"/>
        <v>0.50063104840827677</v>
      </c>
      <c r="U149" s="119">
        <f t="shared" si="123"/>
        <v>0.5117671111901213</v>
      </c>
      <c r="V149" s="119">
        <f t="shared" si="123"/>
        <v>0.50094901343212417</v>
      </c>
      <c r="W149" s="119">
        <f t="shared" si="123"/>
        <v>0.5120850762139687</v>
      </c>
      <c r="X149" s="119">
        <f t="shared" si="123"/>
        <v>0.5149628129523508</v>
      </c>
      <c r="Y149" s="119">
        <f t="shared" si="123"/>
        <v>0.49870720674143654</v>
      </c>
      <c r="Z149" s="119">
        <f t="shared" si="123"/>
        <v>0.5152807779761982</v>
      </c>
      <c r="AA149" s="119">
        <f t="shared" si="123"/>
        <v>0.49902517176528405</v>
      </c>
      <c r="AB149" s="119">
        <f t="shared" si="123"/>
        <v>0.51559874300004571</v>
      </c>
      <c r="AC149" s="119">
        <f t="shared" si="123"/>
        <v>0.51303897128551079</v>
      </c>
      <c r="AD149" s="119">
        <f t="shared" si="123"/>
        <v>0.50222087352751377</v>
      </c>
      <c r="AE149" s="119">
        <f t="shared" si="123"/>
        <v>0.51335693630935808</v>
      </c>
      <c r="AF149" s="119">
        <f t="shared" si="123"/>
        <v>0.50253883855136106</v>
      </c>
      <c r="AG149" s="119">
        <f t="shared" si="123"/>
        <v>0.51367490133320548</v>
      </c>
      <c r="AH149" s="119">
        <f t="shared" si="123"/>
        <v>0.5165526380715878</v>
      </c>
      <c r="AI149" s="119">
        <f t="shared" si="123"/>
        <v>0.50029703186067354</v>
      </c>
      <c r="AJ149" s="119">
        <f t="shared" si="123"/>
        <v>0.51687060309543509</v>
      </c>
      <c r="AK149" s="119">
        <f t="shared" si="123"/>
        <v>0.50061499688452082</v>
      </c>
      <c r="AL149" s="119">
        <f t="shared" si="123"/>
        <v>0.51718856811928249</v>
      </c>
      <c r="AM149" s="119">
        <f t="shared" si="123"/>
        <v>0.5476647601031871</v>
      </c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124">SUM(K151:K152)</f>
        <v>-1539006.5849424503</v>
      </c>
      <c r="L150" s="69">
        <f t="shared" si="124"/>
        <v>-3006550.7285802052</v>
      </c>
      <c r="M150" s="1"/>
      <c r="N150" s="1"/>
      <c r="O150" s="69">
        <f t="shared" ref="O150:AM150" si="125">SUM(O151:O152)</f>
        <v>-963933.54487498128</v>
      </c>
      <c r="P150" s="69">
        <f t="shared" si="125"/>
        <v>0</v>
      </c>
      <c r="Q150" s="69">
        <f t="shared" si="125"/>
        <v>0</v>
      </c>
      <c r="R150" s="69">
        <f t="shared" si="125"/>
        <v>0</v>
      </c>
      <c r="S150" s="69">
        <f t="shared" si="125"/>
        <v>-410575.7476647172</v>
      </c>
      <c r="T150" s="69">
        <f t="shared" si="125"/>
        <v>0</v>
      </c>
      <c r="U150" s="69">
        <f t="shared" si="125"/>
        <v>0</v>
      </c>
      <c r="V150" s="69">
        <f t="shared" si="125"/>
        <v>-37556.889073990758</v>
      </c>
      <c r="W150" s="69">
        <f t="shared" si="125"/>
        <v>-55670.453799383526</v>
      </c>
      <c r="X150" s="69">
        <f t="shared" si="125"/>
        <v>0</v>
      </c>
      <c r="Y150" s="69">
        <f t="shared" si="125"/>
        <v>-407727.82318908576</v>
      </c>
      <c r="Z150" s="69">
        <f t="shared" si="125"/>
        <v>0</v>
      </c>
      <c r="AA150" s="69">
        <f t="shared" si="125"/>
        <v>-179232.30624117795</v>
      </c>
      <c r="AB150" s="69">
        <f t="shared" si="125"/>
        <v>0</v>
      </c>
      <c r="AC150" s="69">
        <f t="shared" si="125"/>
        <v>0</v>
      </c>
      <c r="AD150" s="69">
        <f t="shared" si="125"/>
        <v>-445243.83049311116</v>
      </c>
      <c r="AE150" s="69">
        <f t="shared" si="125"/>
        <v>-9080.9027056661143</v>
      </c>
      <c r="AF150" s="69">
        <f t="shared" si="125"/>
        <v>-46630.432863682727</v>
      </c>
      <c r="AG150" s="69">
        <f t="shared" si="125"/>
        <v>0</v>
      </c>
      <c r="AH150" s="69">
        <f t="shared" si="125"/>
        <v>0</v>
      </c>
      <c r="AI150" s="69">
        <f t="shared" si="125"/>
        <v>-410534.86589475186</v>
      </c>
      <c r="AJ150" s="69">
        <f t="shared" si="125"/>
        <v>0</v>
      </c>
      <c r="AK150" s="69">
        <f t="shared" si="125"/>
        <v>-37556.889073990758</v>
      </c>
      <c r="AL150" s="69">
        <f t="shared" si="125"/>
        <v>0</v>
      </c>
      <c r="AM150" s="69">
        <f t="shared" si="125"/>
        <v>-2807.0427056661147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-1508365.3836715855</v>
      </c>
      <c r="L151" s="97">
        <f t="shared" ref="L151:L152" si="126">SUM(O151:AV151)</f>
        <v>-2972866.2161122118</v>
      </c>
      <c r="M151" s="1"/>
      <c r="N151" s="1"/>
      <c r="O151" s="97">
        <f>-O29</f>
        <v>-930249.03240698786</v>
      </c>
      <c r="P151" s="97">
        <f t="shared" ref="P151:AM151" si="127">-P29</f>
        <v>0</v>
      </c>
      <c r="Q151" s="97">
        <f t="shared" si="127"/>
        <v>0</v>
      </c>
      <c r="R151" s="97">
        <f t="shared" si="127"/>
        <v>0</v>
      </c>
      <c r="S151" s="97">
        <f t="shared" si="127"/>
        <v>-410575.7476647172</v>
      </c>
      <c r="T151" s="97">
        <f t="shared" si="127"/>
        <v>0</v>
      </c>
      <c r="U151" s="97">
        <f t="shared" si="127"/>
        <v>0</v>
      </c>
      <c r="V151" s="97">
        <f t="shared" si="127"/>
        <v>-37556.889073990758</v>
      </c>
      <c r="W151" s="97">
        <f t="shared" si="127"/>
        <v>-55670.453799383526</v>
      </c>
      <c r="X151" s="97">
        <f t="shared" si="127"/>
        <v>0</v>
      </c>
      <c r="Y151" s="97">
        <f t="shared" si="127"/>
        <v>-407727.82318908576</v>
      </c>
      <c r="Z151" s="97">
        <f t="shared" si="127"/>
        <v>0</v>
      </c>
      <c r="AA151" s="97">
        <f t="shared" si="127"/>
        <v>-179232.30624117795</v>
      </c>
      <c r="AB151" s="97">
        <f t="shared" si="127"/>
        <v>0</v>
      </c>
      <c r="AC151" s="97">
        <f t="shared" si="127"/>
        <v>0</v>
      </c>
      <c r="AD151" s="97">
        <f t="shared" si="127"/>
        <v>-445243.83049311116</v>
      </c>
      <c r="AE151" s="97">
        <f t="shared" si="127"/>
        <v>-9080.9027056661143</v>
      </c>
      <c r="AF151" s="97">
        <f t="shared" si="127"/>
        <v>-46630.432863682727</v>
      </c>
      <c r="AG151" s="97">
        <f t="shared" si="127"/>
        <v>0</v>
      </c>
      <c r="AH151" s="97">
        <f t="shared" si="127"/>
        <v>0</v>
      </c>
      <c r="AI151" s="97">
        <f t="shared" si="127"/>
        <v>-410534.86589475186</v>
      </c>
      <c r="AJ151" s="97">
        <f t="shared" si="127"/>
        <v>0</v>
      </c>
      <c r="AK151" s="97">
        <f t="shared" si="127"/>
        <v>-37556.889073990758</v>
      </c>
      <c r="AL151" s="97">
        <f t="shared" si="127"/>
        <v>0</v>
      </c>
      <c r="AM151" s="97">
        <f t="shared" si="127"/>
        <v>-2807.0427056661147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-30641.201270864844</v>
      </c>
      <c r="L152" s="54">
        <f t="shared" si="126"/>
        <v>-33684.512467993372</v>
      </c>
      <c r="M152" s="1"/>
      <c r="N152" s="1"/>
      <c r="O152" s="97">
        <f t="shared" ref="O152:AM152" si="128">-O41</f>
        <v>-33684.512467993372</v>
      </c>
      <c r="P152" s="97">
        <f t="shared" si="128"/>
        <v>0</v>
      </c>
      <c r="Q152" s="97">
        <f t="shared" si="128"/>
        <v>0</v>
      </c>
      <c r="R152" s="97">
        <f t="shared" si="128"/>
        <v>0</v>
      </c>
      <c r="S152" s="97">
        <f t="shared" si="128"/>
        <v>0</v>
      </c>
      <c r="T152" s="97">
        <f t="shared" si="128"/>
        <v>0</v>
      </c>
      <c r="U152" s="97">
        <f t="shared" si="128"/>
        <v>0</v>
      </c>
      <c r="V152" s="97">
        <f t="shared" si="128"/>
        <v>0</v>
      </c>
      <c r="W152" s="97">
        <f t="shared" si="128"/>
        <v>0</v>
      </c>
      <c r="X152" s="97">
        <f t="shared" si="128"/>
        <v>0</v>
      </c>
      <c r="Y152" s="97">
        <f t="shared" si="128"/>
        <v>0</v>
      </c>
      <c r="Z152" s="97">
        <f t="shared" si="128"/>
        <v>0</v>
      </c>
      <c r="AA152" s="97">
        <f t="shared" si="128"/>
        <v>0</v>
      </c>
      <c r="AB152" s="97">
        <f t="shared" si="128"/>
        <v>0</v>
      </c>
      <c r="AC152" s="97">
        <f t="shared" si="128"/>
        <v>0</v>
      </c>
      <c r="AD152" s="97">
        <f t="shared" si="128"/>
        <v>0</v>
      </c>
      <c r="AE152" s="97">
        <f t="shared" si="128"/>
        <v>0</v>
      </c>
      <c r="AF152" s="97">
        <f t="shared" si="128"/>
        <v>0</v>
      </c>
      <c r="AG152" s="97">
        <f t="shared" si="128"/>
        <v>0</v>
      </c>
      <c r="AH152" s="97">
        <f t="shared" si="128"/>
        <v>0</v>
      </c>
      <c r="AI152" s="97">
        <f t="shared" si="128"/>
        <v>0</v>
      </c>
      <c r="AJ152" s="97">
        <f t="shared" si="128"/>
        <v>0</v>
      </c>
      <c r="AK152" s="97">
        <f t="shared" si="128"/>
        <v>0</v>
      </c>
      <c r="AL152" s="97">
        <f t="shared" si="128"/>
        <v>0</v>
      </c>
      <c r="AM152" s="97">
        <f t="shared" si="128"/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129">K148+K150</f>
        <v>0</v>
      </c>
      <c r="L153" s="115">
        <f t="shared" si="129"/>
        <v>1509423.8018734292</v>
      </c>
      <c r="M153" s="1"/>
      <c r="N153" s="1"/>
      <c r="O153" s="116">
        <f t="shared" ref="O153:AM153" si="130">O148+O150</f>
        <v>-965653.83023210883</v>
      </c>
      <c r="P153" s="116">
        <f t="shared" si="130"/>
        <v>189681.09775543993</v>
      </c>
      <c r="Q153" s="116">
        <f t="shared" si="130"/>
        <v>182548.46079738782</v>
      </c>
      <c r="R153" s="116">
        <f t="shared" si="130"/>
        <v>189820.61448899237</v>
      </c>
      <c r="S153" s="116">
        <f t="shared" si="130"/>
        <v>-221878.31013377692</v>
      </c>
      <c r="T153" s="116">
        <f t="shared" si="130"/>
        <v>183950.67122254486</v>
      </c>
      <c r="U153" s="116">
        <f t="shared" si="130"/>
        <v>188836.95426449273</v>
      </c>
      <c r="V153" s="116">
        <f t="shared" si="130"/>
        <v>146533.29888210655</v>
      </c>
      <c r="W153" s="116">
        <f t="shared" si="130"/>
        <v>133306.01719866163</v>
      </c>
      <c r="X153" s="116">
        <f t="shared" si="130"/>
        <v>190239.16468964971</v>
      </c>
      <c r="Y153" s="116">
        <f t="shared" si="130"/>
        <v>-224621.29545748816</v>
      </c>
      <c r="Z153" s="116">
        <f t="shared" si="130"/>
        <v>190378.68142320216</v>
      </c>
      <c r="AA153" s="116">
        <f t="shared" si="130"/>
        <v>4013.7382239721483</v>
      </c>
      <c r="AB153" s="116">
        <f t="shared" si="130"/>
        <v>190518.19815675466</v>
      </c>
      <c r="AC153" s="116">
        <f t="shared" si="130"/>
        <v>189395.02119870251</v>
      </c>
      <c r="AD153" s="116">
        <f t="shared" si="130"/>
        <v>-260595.57560280402</v>
      </c>
      <c r="AE153" s="116">
        <f t="shared" si="130"/>
        <v>180453.63522658884</v>
      </c>
      <c r="AF153" s="116">
        <f t="shared" si="130"/>
        <v>138157.33876017685</v>
      </c>
      <c r="AG153" s="116">
        <f t="shared" si="130"/>
        <v>189674.0546658074</v>
      </c>
      <c r="AH153" s="116">
        <f t="shared" si="130"/>
        <v>190936.748357412</v>
      </c>
      <c r="AI153" s="116">
        <f t="shared" si="130"/>
        <v>-226730.75449539197</v>
      </c>
      <c r="AJ153" s="116">
        <f t="shared" si="130"/>
        <v>191076.26509096444</v>
      </c>
      <c r="AK153" s="116">
        <f t="shared" si="130"/>
        <v>146386.73905892158</v>
      </c>
      <c r="AL153" s="116">
        <f t="shared" si="130"/>
        <v>191215.78182451689</v>
      </c>
      <c r="AM153" s="116">
        <f t="shared" si="130"/>
        <v>201781.08650870938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131">SUM($O153:O153)</f>
        <v>-965653.83023210883</v>
      </c>
      <c r="P154" s="125">
        <f t="shared" si="131"/>
        <v>-775972.7324766689</v>
      </c>
      <c r="Q154" s="125">
        <f t="shared" si="131"/>
        <v>-593424.27167928102</v>
      </c>
      <c r="R154" s="125">
        <f t="shared" si="131"/>
        <v>-403603.65719028865</v>
      </c>
      <c r="S154" s="125">
        <f t="shared" si="131"/>
        <v>-625481.96732406551</v>
      </c>
      <c r="T154" s="125">
        <f t="shared" si="131"/>
        <v>-441531.29610152065</v>
      </c>
      <c r="U154" s="125">
        <f t="shared" si="131"/>
        <v>-252694.34183702793</v>
      </c>
      <c r="V154" s="125">
        <f t="shared" si="131"/>
        <v>-106161.04295492137</v>
      </c>
      <c r="W154" s="125">
        <f t="shared" si="131"/>
        <v>27144.97424374026</v>
      </c>
      <c r="X154" s="125">
        <f t="shared" si="131"/>
        <v>217384.13893338997</v>
      </c>
      <c r="Y154" s="125">
        <f t="shared" si="131"/>
        <v>-7237.1565240981872</v>
      </c>
      <c r="Z154" s="125">
        <f t="shared" si="131"/>
        <v>183141.52489910397</v>
      </c>
      <c r="AA154" s="125">
        <f t="shared" si="131"/>
        <v>187155.26312307612</v>
      </c>
      <c r="AB154" s="125">
        <f t="shared" si="131"/>
        <v>377673.46127983078</v>
      </c>
      <c r="AC154" s="125">
        <f t="shared" si="131"/>
        <v>567068.48247853329</v>
      </c>
      <c r="AD154" s="125">
        <f t="shared" si="131"/>
        <v>306472.90687572927</v>
      </c>
      <c r="AE154" s="125">
        <f t="shared" si="131"/>
        <v>486926.54210231814</v>
      </c>
      <c r="AF154" s="125">
        <f t="shared" si="131"/>
        <v>625083.88086249493</v>
      </c>
      <c r="AG154" s="125">
        <f t="shared" si="131"/>
        <v>814757.93552830233</v>
      </c>
      <c r="AH154" s="125">
        <f t="shared" si="131"/>
        <v>1005694.6838857143</v>
      </c>
      <c r="AI154" s="125">
        <f t="shared" si="131"/>
        <v>778963.9293903223</v>
      </c>
      <c r="AJ154" s="125">
        <f t="shared" si="131"/>
        <v>970040.19448128669</v>
      </c>
      <c r="AK154" s="125">
        <f t="shared" si="131"/>
        <v>1116426.9335402083</v>
      </c>
      <c r="AL154" s="125">
        <f t="shared" si="131"/>
        <v>1307642.7153647251</v>
      </c>
      <c r="AM154" s="125">
        <f t="shared" si="131"/>
        <v>1509423.8018734346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9.9320884002751519E-2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1.0589748955105217E-10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-965653.83023210883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132">IF(O154&lt;0,1,0)</f>
        <v>1</v>
      </c>
      <c r="P160" s="131">
        <f t="shared" si="132"/>
        <v>1</v>
      </c>
      <c r="Q160" s="131">
        <f t="shared" si="132"/>
        <v>1</v>
      </c>
      <c r="R160" s="131">
        <f t="shared" si="132"/>
        <v>1</v>
      </c>
      <c r="S160" s="131">
        <f t="shared" si="132"/>
        <v>1</v>
      </c>
      <c r="T160" s="131">
        <f t="shared" si="132"/>
        <v>1</v>
      </c>
      <c r="U160" s="131">
        <f t="shared" si="132"/>
        <v>1</v>
      </c>
      <c r="V160" s="131">
        <f t="shared" si="132"/>
        <v>1</v>
      </c>
      <c r="W160" s="131">
        <f t="shared" si="132"/>
        <v>0</v>
      </c>
      <c r="X160" s="131">
        <f t="shared" si="132"/>
        <v>0</v>
      </c>
      <c r="Y160" s="131">
        <f t="shared" si="132"/>
        <v>1</v>
      </c>
      <c r="Z160" s="131">
        <f t="shared" si="132"/>
        <v>0</v>
      </c>
      <c r="AA160" s="131">
        <f t="shared" si="132"/>
        <v>0</v>
      </c>
      <c r="AB160" s="131">
        <f t="shared" si="132"/>
        <v>0</v>
      </c>
      <c r="AC160" s="131">
        <f t="shared" si="132"/>
        <v>0</v>
      </c>
      <c r="AD160" s="131">
        <f t="shared" si="132"/>
        <v>0</v>
      </c>
      <c r="AE160" s="131">
        <f t="shared" si="132"/>
        <v>0</v>
      </c>
      <c r="AF160" s="131">
        <f t="shared" si="132"/>
        <v>0</v>
      </c>
      <c r="AG160" s="131">
        <f t="shared" si="132"/>
        <v>0</v>
      </c>
      <c r="AH160" s="131">
        <f t="shared" si="132"/>
        <v>0</v>
      </c>
      <c r="AI160" s="131">
        <f t="shared" si="132"/>
        <v>0</v>
      </c>
      <c r="AJ160" s="131">
        <f t="shared" si="132"/>
        <v>0</v>
      </c>
      <c r="AK160" s="131">
        <f t="shared" si="132"/>
        <v>0</v>
      </c>
      <c r="AL160" s="131">
        <f t="shared" si="132"/>
        <v>0</v>
      </c>
      <c r="AM160" s="131">
        <f t="shared" si="132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133">SUM(O162:AM162)</f>
        <v>-108544.90446627766</v>
      </c>
      <c r="M162" s="1"/>
      <c r="N162" s="1"/>
      <c r="O162" s="329">
        <f>SUM(O163:O167)</f>
        <v>508457.66898224381</v>
      </c>
      <c r="P162" s="357">
        <f t="shared" ref="P162:AM162" si="134">SUM(P163:P167)</f>
        <v>-114452.70584012885</v>
      </c>
      <c r="Q162" s="357">
        <f t="shared" si="134"/>
        <v>-109805.12840064541</v>
      </c>
      <c r="R162" s="357">
        <f t="shared" si="134"/>
        <v>-105157.55096116196</v>
      </c>
      <c r="S162" s="357">
        <f t="shared" si="134"/>
        <v>-100509.97352167852</v>
      </c>
      <c r="T162" s="357">
        <f t="shared" si="134"/>
        <v>-95862.396082195075</v>
      </c>
      <c r="U162" s="357">
        <f t="shared" si="134"/>
        <v>-91214.818642711631</v>
      </c>
      <c r="V162" s="357">
        <f t="shared" si="134"/>
        <v>-4.4486951082944876E-12</v>
      </c>
      <c r="W162" s="357">
        <f t="shared" si="134"/>
        <v>-4.4486951082944876E-12</v>
      </c>
      <c r="X162" s="357">
        <f t="shared" si="134"/>
        <v>-4.4486951082944876E-12</v>
      </c>
      <c r="Y162" s="357">
        <f t="shared" si="134"/>
        <v>-4.4486951082944876E-12</v>
      </c>
      <c r="Z162" s="357">
        <f t="shared" si="134"/>
        <v>-4.4486951082944876E-12</v>
      </c>
      <c r="AA162" s="357">
        <f t="shared" si="134"/>
        <v>-4.4486951082944876E-12</v>
      </c>
      <c r="AB162" s="357">
        <f t="shared" si="134"/>
        <v>-4.4486951082944876E-12</v>
      </c>
      <c r="AC162" s="357">
        <f t="shared" si="134"/>
        <v>-4.4486951082944876E-12</v>
      </c>
      <c r="AD162" s="357">
        <f t="shared" si="134"/>
        <v>-4.4486951082944876E-12</v>
      </c>
      <c r="AE162" s="357">
        <f t="shared" si="134"/>
        <v>-4.4486951082944876E-12</v>
      </c>
      <c r="AF162" s="357">
        <f t="shared" si="134"/>
        <v>-4.4486951082944876E-12</v>
      </c>
      <c r="AG162" s="357">
        <f t="shared" si="134"/>
        <v>-4.4486951082944876E-12</v>
      </c>
      <c r="AH162" s="357">
        <f t="shared" si="134"/>
        <v>-4.4486951082944876E-12</v>
      </c>
      <c r="AI162" s="357">
        <f t="shared" si="134"/>
        <v>-4.4486951082944876E-12</v>
      </c>
      <c r="AJ162" s="357">
        <f t="shared" si="134"/>
        <v>-4.4486951082944876E-12</v>
      </c>
      <c r="AK162" s="357">
        <f t="shared" si="134"/>
        <v>-4.4486951082944876E-12</v>
      </c>
      <c r="AL162" s="357">
        <f t="shared" si="134"/>
        <v>-4.4486951082944876E-12</v>
      </c>
      <c r="AM162" s="357">
        <f t="shared" si="134"/>
        <v>-4.4486951082944876E-12</v>
      </c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customHeight="1" x14ac:dyDescent="0.3">
      <c r="A163" s="131"/>
      <c r="B163" s="352" t="s">
        <v>5175</v>
      </c>
      <c r="C163" s="352"/>
      <c r="D163" s="352"/>
      <c r="E163" s="352"/>
      <c r="F163" s="352"/>
      <c r="G163" s="350">
        <v>1</v>
      </c>
      <c r="H163" s="350">
        <v>1</v>
      </c>
      <c r="I163" s="350">
        <f>$L$30*WACC!$D$31</f>
        <v>547288.91185626981</v>
      </c>
      <c r="J163" s="350"/>
      <c r="K163" s="350"/>
      <c r="L163" s="350">
        <f t="shared" si="133"/>
        <v>547288.91185626981</v>
      </c>
      <c r="M163" s="1"/>
      <c r="N163" s="1"/>
      <c r="O163" s="350">
        <f>IF(AND($G163&lt;=O$3,O$3&lt;=$H163),$I163/($H163-$G163+1),0)</f>
        <v>547288.91185626981</v>
      </c>
      <c r="P163" s="350">
        <f>IF(AND($G163&lt;=P$3,P$3&lt;=$H163),$I163/($H163-$G163+1),0)</f>
        <v>0</v>
      </c>
      <c r="Q163" s="350">
        <f t="shared" ref="Q163:AM163" si="135">IF(AND($G163&lt;=Q$3,Q$3&lt;=$H163),$I163/($H163-$G163+1),0)</f>
        <v>0</v>
      </c>
      <c r="R163" s="350">
        <f t="shared" si="135"/>
        <v>0</v>
      </c>
      <c r="S163" s="350">
        <f t="shared" si="135"/>
        <v>0</v>
      </c>
      <c r="T163" s="350">
        <f t="shared" si="135"/>
        <v>0</v>
      </c>
      <c r="U163" s="350">
        <f t="shared" si="135"/>
        <v>0</v>
      </c>
      <c r="V163" s="350">
        <f t="shared" si="135"/>
        <v>0</v>
      </c>
      <c r="W163" s="350">
        <f t="shared" si="135"/>
        <v>0</v>
      </c>
      <c r="X163" s="350">
        <f t="shared" si="135"/>
        <v>0</v>
      </c>
      <c r="Y163" s="350">
        <f t="shared" si="135"/>
        <v>0</v>
      </c>
      <c r="Z163" s="350">
        <f t="shared" si="135"/>
        <v>0</v>
      </c>
      <c r="AA163" s="350">
        <f t="shared" si="135"/>
        <v>0</v>
      </c>
      <c r="AB163" s="350">
        <f t="shared" si="135"/>
        <v>0</v>
      </c>
      <c r="AC163" s="350">
        <f t="shared" si="135"/>
        <v>0</v>
      </c>
      <c r="AD163" s="350">
        <f t="shared" si="135"/>
        <v>0</v>
      </c>
      <c r="AE163" s="350">
        <f t="shared" si="135"/>
        <v>0</v>
      </c>
      <c r="AF163" s="350">
        <f t="shared" si="135"/>
        <v>0</v>
      </c>
      <c r="AG163" s="350">
        <f t="shared" si="135"/>
        <v>0</v>
      </c>
      <c r="AH163" s="350">
        <f t="shared" si="135"/>
        <v>0</v>
      </c>
      <c r="AI163" s="350">
        <f t="shared" si="135"/>
        <v>0</v>
      </c>
      <c r="AJ163" s="350">
        <f t="shared" si="135"/>
        <v>0</v>
      </c>
      <c r="AK163" s="350">
        <f t="shared" si="135"/>
        <v>0</v>
      </c>
      <c r="AL163" s="350">
        <f t="shared" si="135"/>
        <v>0</v>
      </c>
      <c r="AM163" s="350">
        <f t="shared" si="135"/>
        <v>0</v>
      </c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customHeight="1" x14ac:dyDescent="0.3">
      <c r="A164" s="131"/>
      <c r="B164" s="353" t="s">
        <v>5176</v>
      </c>
      <c r="C164" s="353"/>
      <c r="D164" s="353"/>
      <c r="E164" s="353"/>
      <c r="F164" s="353"/>
      <c r="G164" s="351">
        <v>2</v>
      </c>
      <c r="H164" s="351">
        <v>7</v>
      </c>
      <c r="I164" s="351">
        <f>I163</f>
        <v>547288.91185626981</v>
      </c>
      <c r="J164" s="351"/>
      <c r="K164" s="351"/>
      <c r="L164" s="351">
        <f t="shared" si="133"/>
        <v>-547288.91185626981</v>
      </c>
      <c r="M164" s="1"/>
      <c r="N164" s="1"/>
      <c r="O164" s="351">
        <f>-IF(AND($G164&lt;=O$3,O$3&lt;=$H164),$I164/($H164-$G164+1),0)</f>
        <v>0</v>
      </c>
      <c r="P164" s="351">
        <f t="shared" ref="P164:AM164" si="136">-IF(AND($G164&lt;=P$3,P$3&lt;=$H164),$I164/($H164-$G164+1),0)</f>
        <v>-91214.818642711631</v>
      </c>
      <c r="Q164" s="351">
        <f t="shared" si="136"/>
        <v>-91214.818642711631</v>
      </c>
      <c r="R164" s="351">
        <f t="shared" si="136"/>
        <v>-91214.818642711631</v>
      </c>
      <c r="S164" s="351">
        <f t="shared" si="136"/>
        <v>-91214.818642711631</v>
      </c>
      <c r="T164" s="351">
        <f t="shared" si="136"/>
        <v>-91214.818642711631</v>
      </c>
      <c r="U164" s="351">
        <f t="shared" si="136"/>
        <v>-91214.818642711631</v>
      </c>
      <c r="V164" s="351">
        <f t="shared" si="136"/>
        <v>0</v>
      </c>
      <c r="W164" s="351">
        <f t="shared" si="136"/>
        <v>0</v>
      </c>
      <c r="X164" s="351">
        <f t="shared" si="136"/>
        <v>0</v>
      </c>
      <c r="Y164" s="351">
        <f t="shared" si="136"/>
        <v>0</v>
      </c>
      <c r="Z164" s="351">
        <f t="shared" si="136"/>
        <v>0</v>
      </c>
      <c r="AA164" s="351">
        <f t="shared" si="136"/>
        <v>0</v>
      </c>
      <c r="AB164" s="351">
        <f t="shared" si="136"/>
        <v>0</v>
      </c>
      <c r="AC164" s="351">
        <f t="shared" si="136"/>
        <v>0</v>
      </c>
      <c r="AD164" s="351">
        <f t="shared" si="136"/>
        <v>0</v>
      </c>
      <c r="AE164" s="351">
        <f t="shared" si="136"/>
        <v>0</v>
      </c>
      <c r="AF164" s="351">
        <f t="shared" si="136"/>
        <v>0</v>
      </c>
      <c r="AG164" s="351">
        <f t="shared" si="136"/>
        <v>0</v>
      </c>
      <c r="AH164" s="351">
        <f t="shared" si="136"/>
        <v>0</v>
      </c>
      <c r="AI164" s="351">
        <f t="shared" si="136"/>
        <v>0</v>
      </c>
      <c r="AJ164" s="351">
        <f t="shared" si="136"/>
        <v>0</v>
      </c>
      <c r="AK164" s="351">
        <f t="shared" si="136"/>
        <v>0</v>
      </c>
      <c r="AL164" s="351">
        <f t="shared" si="136"/>
        <v>0</v>
      </c>
      <c r="AM164" s="351">
        <f t="shared" si="136"/>
        <v>0</v>
      </c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customHeight="1" x14ac:dyDescent="0.3">
      <c r="A165" s="131"/>
      <c r="B165" s="353" t="s">
        <v>5177</v>
      </c>
      <c r="C165" s="353"/>
      <c r="D165" s="353"/>
      <c r="E165" s="353"/>
      <c r="F165" s="353"/>
      <c r="G165" s="354">
        <f>WACC!$D$23</f>
        <v>7.7200000000000005E-2</v>
      </c>
      <c r="H165" s="351"/>
      <c r="I165" s="351"/>
      <c r="J165" s="351"/>
      <c r="K165" s="351"/>
      <c r="L165" s="351">
        <f t="shared" si="133"/>
        <v>-147877.46398356414</v>
      </c>
      <c r="M165" s="1"/>
      <c r="N165" s="1"/>
      <c r="O165" s="351">
        <f>-SUM($O163:O163,$O164:O164)*$G$165</f>
        <v>-42250.703995304029</v>
      </c>
      <c r="P165" s="351">
        <f>-SUM($O163:P163,$O164:P164)*$G$165</f>
        <v>-35208.919996086697</v>
      </c>
      <c r="Q165" s="351">
        <f>-SUM($O163:Q163,$O164:Q164)*$G$165</f>
        <v>-28167.135996869358</v>
      </c>
      <c r="R165" s="351">
        <f>-SUM($O163:R163,$O164:R164)*$G$165</f>
        <v>-21125.351997652022</v>
      </c>
      <c r="S165" s="351">
        <f>-SUM($O163:S163,$O164:S164)*$G$165</f>
        <v>-14083.567998434683</v>
      </c>
      <c r="T165" s="351">
        <f>-SUM($O163:T163,$O164:T164)*$G$165</f>
        <v>-7041.7839992173449</v>
      </c>
      <c r="U165" s="351">
        <f>-SUM($O163:U163,$O164:U164)*$G$165</f>
        <v>0</v>
      </c>
      <c r="V165" s="351">
        <f>-SUM($O163:V163,$O164:V164)*$G$165</f>
        <v>-6.7404471337795266E-12</v>
      </c>
      <c r="W165" s="351">
        <f>-SUM($O163:W163,$O164:W164)*$G$165</f>
        <v>-6.7404471337795266E-12</v>
      </c>
      <c r="X165" s="351">
        <f>-SUM($O163:X163,$O164:X164)*$G$165</f>
        <v>-6.7404471337795266E-12</v>
      </c>
      <c r="Y165" s="351">
        <f>-SUM($O163:Y163,$O164:Y164)*$G$165</f>
        <v>-6.7404471337795266E-12</v>
      </c>
      <c r="Z165" s="351">
        <f>-SUM($O163:Z163,$O164:Z164)*$G$165</f>
        <v>-6.7404471337795266E-12</v>
      </c>
      <c r="AA165" s="351">
        <f>-SUM($O163:AA163,$O164:AA164)*$G$165</f>
        <v>-6.7404471337795266E-12</v>
      </c>
      <c r="AB165" s="351">
        <f>-SUM($O163:AB163,$O164:AB164)*$G$165</f>
        <v>-6.7404471337795266E-12</v>
      </c>
      <c r="AC165" s="351">
        <f>-SUM($O163:AC163,$O164:AC164)*$G$165</f>
        <v>-6.7404471337795266E-12</v>
      </c>
      <c r="AD165" s="351">
        <f>-SUM($O163:AD163,$O164:AD164)*$G$165</f>
        <v>-6.7404471337795266E-12</v>
      </c>
      <c r="AE165" s="351">
        <f>-SUM($O163:AE163,$O164:AE164)*$G$165</f>
        <v>-6.7404471337795266E-12</v>
      </c>
      <c r="AF165" s="351">
        <f>-SUM($O163:AF163,$O164:AF164)*$G$165</f>
        <v>-6.7404471337795266E-12</v>
      </c>
      <c r="AG165" s="351">
        <f>-SUM($O163:AG163,$O164:AG164)*$G$165</f>
        <v>-6.7404471337795266E-12</v>
      </c>
      <c r="AH165" s="351">
        <f>-SUM($O163:AH163,$O164:AH164)*$G$165</f>
        <v>-6.7404471337795266E-12</v>
      </c>
      <c r="AI165" s="351">
        <f>-SUM($O163:AI163,$O164:AI164)*$G$165</f>
        <v>-6.7404471337795266E-12</v>
      </c>
      <c r="AJ165" s="351">
        <f>-SUM($O163:AJ163,$O164:AJ164)*$G$165</f>
        <v>-6.7404471337795266E-12</v>
      </c>
      <c r="AK165" s="351">
        <f>-SUM($O163:AK163,$O164:AK164)*$G$165</f>
        <v>-6.7404471337795266E-12</v>
      </c>
      <c r="AL165" s="351">
        <f>-SUM($O163:AL163,$O164:AL164)*$G$165</f>
        <v>-6.7404471337795266E-12</v>
      </c>
      <c r="AM165" s="351">
        <f>-SUM($O163:AM163,$O164:AM164)*$G$165</f>
        <v>-6.7404471337795266E-12</v>
      </c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customHeight="1" x14ac:dyDescent="0.3">
      <c r="A166" s="131"/>
      <c r="B166" s="353" t="s">
        <v>5178</v>
      </c>
      <c r="C166" s="353"/>
      <c r="D166" s="353"/>
      <c r="E166" s="353"/>
      <c r="F166" s="353"/>
      <c r="G166" s="354">
        <f>WACC!$D$24</f>
        <v>0.34</v>
      </c>
      <c r="H166" s="351"/>
      <c r="I166" s="351"/>
      <c r="J166" s="351"/>
      <c r="K166" s="351"/>
      <c r="L166" s="351">
        <f t="shared" si="133"/>
        <v>50278.337754411798</v>
      </c>
      <c r="M166" s="1"/>
      <c r="N166" s="1"/>
      <c r="O166" s="351">
        <f>-O165*$G$166</f>
        <v>14365.239358403371</v>
      </c>
      <c r="P166" s="351">
        <f t="shared" ref="P166:AM166" si="137">-P165*$G$166</f>
        <v>11971.032798669477</v>
      </c>
      <c r="Q166" s="351">
        <f t="shared" si="137"/>
        <v>9576.8262389355823</v>
      </c>
      <c r="R166" s="351">
        <f t="shared" si="137"/>
        <v>7182.6196792016881</v>
      </c>
      <c r="S166" s="351">
        <f t="shared" si="137"/>
        <v>4788.4131194677921</v>
      </c>
      <c r="T166" s="351">
        <f t="shared" si="137"/>
        <v>2394.2065597338974</v>
      </c>
      <c r="U166" s="351">
        <f t="shared" si="137"/>
        <v>0</v>
      </c>
      <c r="V166" s="351">
        <f t="shared" si="137"/>
        <v>2.291752025485039E-12</v>
      </c>
      <c r="W166" s="351">
        <f t="shared" si="137"/>
        <v>2.291752025485039E-12</v>
      </c>
      <c r="X166" s="351">
        <f t="shared" si="137"/>
        <v>2.291752025485039E-12</v>
      </c>
      <c r="Y166" s="351">
        <f t="shared" si="137"/>
        <v>2.291752025485039E-12</v>
      </c>
      <c r="Z166" s="351">
        <f t="shared" si="137"/>
        <v>2.291752025485039E-12</v>
      </c>
      <c r="AA166" s="351">
        <f t="shared" si="137"/>
        <v>2.291752025485039E-12</v>
      </c>
      <c r="AB166" s="351">
        <f t="shared" si="137"/>
        <v>2.291752025485039E-12</v>
      </c>
      <c r="AC166" s="351">
        <f t="shared" si="137"/>
        <v>2.291752025485039E-12</v>
      </c>
      <c r="AD166" s="351">
        <f t="shared" si="137"/>
        <v>2.291752025485039E-12</v>
      </c>
      <c r="AE166" s="351">
        <f t="shared" si="137"/>
        <v>2.291752025485039E-12</v>
      </c>
      <c r="AF166" s="351">
        <f t="shared" si="137"/>
        <v>2.291752025485039E-12</v>
      </c>
      <c r="AG166" s="351">
        <f t="shared" si="137"/>
        <v>2.291752025485039E-12</v>
      </c>
      <c r="AH166" s="351">
        <f t="shared" si="137"/>
        <v>2.291752025485039E-12</v>
      </c>
      <c r="AI166" s="351">
        <f t="shared" si="137"/>
        <v>2.291752025485039E-12</v>
      </c>
      <c r="AJ166" s="351">
        <f t="shared" si="137"/>
        <v>2.291752025485039E-12</v>
      </c>
      <c r="AK166" s="351">
        <f t="shared" si="137"/>
        <v>2.291752025485039E-12</v>
      </c>
      <c r="AL166" s="351">
        <f t="shared" si="137"/>
        <v>2.291752025485039E-12</v>
      </c>
      <c r="AM166" s="351">
        <f t="shared" si="137"/>
        <v>2.291752025485039E-12</v>
      </c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customHeight="1" x14ac:dyDescent="0.3">
      <c r="A167" s="131"/>
      <c r="B167" s="183" t="s">
        <v>5179</v>
      </c>
      <c r="C167" s="183"/>
      <c r="D167" s="183"/>
      <c r="E167" s="183"/>
      <c r="F167" s="183"/>
      <c r="G167" s="195">
        <v>1</v>
      </c>
      <c r="H167" s="195">
        <v>1</v>
      </c>
      <c r="I167" s="195">
        <f>2%*I163</f>
        <v>10945.778237125396</v>
      </c>
      <c r="J167" s="195"/>
      <c r="K167" s="195"/>
      <c r="L167" s="195">
        <f t="shared" si="133"/>
        <v>-10945.778237125396</v>
      </c>
      <c r="M167" s="1"/>
      <c r="N167" s="1"/>
      <c r="O167" s="195">
        <f>IF(AND($G167&lt;=O$3,O$3&lt;=$H167),-$I167,0)</f>
        <v>-10945.778237125396</v>
      </c>
      <c r="P167" s="195">
        <f t="shared" ref="P167:AM167" si="138">IF(AND($G167&lt;=P$3,P$3&lt;=$H167),-$I167,0)</f>
        <v>0</v>
      </c>
      <c r="Q167" s="195">
        <f t="shared" si="138"/>
        <v>0</v>
      </c>
      <c r="R167" s="195">
        <f t="shared" si="138"/>
        <v>0</v>
      </c>
      <c r="S167" s="195">
        <f t="shared" si="138"/>
        <v>0</v>
      </c>
      <c r="T167" s="195">
        <f t="shared" si="138"/>
        <v>0</v>
      </c>
      <c r="U167" s="195">
        <f t="shared" si="138"/>
        <v>0</v>
      </c>
      <c r="V167" s="195">
        <f t="shared" si="138"/>
        <v>0</v>
      </c>
      <c r="W167" s="195">
        <f t="shared" si="138"/>
        <v>0</v>
      </c>
      <c r="X167" s="195">
        <f t="shared" si="138"/>
        <v>0</v>
      </c>
      <c r="Y167" s="195">
        <f t="shared" si="138"/>
        <v>0</v>
      </c>
      <c r="Z167" s="195">
        <f t="shared" si="138"/>
        <v>0</v>
      </c>
      <c r="AA167" s="195">
        <f t="shared" si="138"/>
        <v>0</v>
      </c>
      <c r="AB167" s="195">
        <f t="shared" si="138"/>
        <v>0</v>
      </c>
      <c r="AC167" s="195">
        <f t="shared" si="138"/>
        <v>0</v>
      </c>
      <c r="AD167" s="195">
        <f t="shared" si="138"/>
        <v>0</v>
      </c>
      <c r="AE167" s="195">
        <f t="shared" si="138"/>
        <v>0</v>
      </c>
      <c r="AF167" s="195">
        <f t="shared" si="138"/>
        <v>0</v>
      </c>
      <c r="AG167" s="195">
        <f t="shared" si="138"/>
        <v>0</v>
      </c>
      <c r="AH167" s="195">
        <f t="shared" si="138"/>
        <v>0</v>
      </c>
      <c r="AI167" s="195">
        <f t="shared" si="138"/>
        <v>0</v>
      </c>
      <c r="AJ167" s="195">
        <f t="shared" si="138"/>
        <v>0</v>
      </c>
      <c r="AK167" s="195">
        <f t="shared" si="138"/>
        <v>0</v>
      </c>
      <c r="AL167" s="195">
        <f t="shared" si="138"/>
        <v>0</v>
      </c>
      <c r="AM167" s="195">
        <f t="shared" si="138"/>
        <v>0</v>
      </c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f>L162+L153</f>
        <v>1400878.8974071515</v>
      </c>
      <c r="M168" s="1"/>
      <c r="N168" s="1"/>
      <c r="O168" s="349">
        <f>O153+O162</f>
        <v>-457196.16124986502</v>
      </c>
      <c r="P168" s="349">
        <f t="shared" ref="P168:AM168" si="139">P153+P162</f>
        <v>75228.391915311076</v>
      </c>
      <c r="Q168" s="349">
        <f t="shared" si="139"/>
        <v>72743.332396742408</v>
      </c>
      <c r="R168" s="349">
        <f t="shared" si="139"/>
        <v>84663.063527830411</v>
      </c>
      <c r="S168" s="349">
        <f t="shared" si="139"/>
        <v>-322388.28365545545</v>
      </c>
      <c r="T168" s="349">
        <f t="shared" si="139"/>
        <v>88088.275140349782</v>
      </c>
      <c r="U168" s="349">
        <f t="shared" si="139"/>
        <v>97622.135621781097</v>
      </c>
      <c r="V168" s="349">
        <f t="shared" si="139"/>
        <v>146533.29888210655</v>
      </c>
      <c r="W168" s="349">
        <f t="shared" si="139"/>
        <v>133306.01719866163</v>
      </c>
      <c r="X168" s="349">
        <f t="shared" si="139"/>
        <v>190239.16468964971</v>
      </c>
      <c r="Y168" s="349">
        <f t="shared" si="139"/>
        <v>-224621.29545748816</v>
      </c>
      <c r="Z168" s="349">
        <f t="shared" si="139"/>
        <v>190378.68142320216</v>
      </c>
      <c r="AA168" s="349">
        <f t="shared" si="139"/>
        <v>4013.7382239721437</v>
      </c>
      <c r="AB168" s="349">
        <f t="shared" si="139"/>
        <v>190518.19815675466</v>
      </c>
      <c r="AC168" s="349">
        <f t="shared" si="139"/>
        <v>189395.02119870251</v>
      </c>
      <c r="AD168" s="349">
        <f t="shared" si="139"/>
        <v>-260595.57560280402</v>
      </c>
      <c r="AE168" s="349">
        <f t="shared" si="139"/>
        <v>180453.63522658884</v>
      </c>
      <c r="AF168" s="349">
        <f t="shared" si="139"/>
        <v>138157.33876017685</v>
      </c>
      <c r="AG168" s="349">
        <f t="shared" si="139"/>
        <v>189674.0546658074</v>
      </c>
      <c r="AH168" s="349">
        <f t="shared" si="139"/>
        <v>190936.748357412</v>
      </c>
      <c r="AI168" s="349">
        <f t="shared" si="139"/>
        <v>-226730.75449539197</v>
      </c>
      <c r="AJ168" s="349">
        <f t="shared" si="139"/>
        <v>191076.26509096444</v>
      </c>
      <c r="AK168" s="349">
        <f t="shared" si="139"/>
        <v>146386.73905892158</v>
      </c>
      <c r="AL168" s="349">
        <f t="shared" si="139"/>
        <v>191215.78182451689</v>
      </c>
      <c r="AM168" s="349">
        <f t="shared" si="139"/>
        <v>201781.08650870938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f>SUM($O168:O168)</f>
        <v>-457196.16124986502</v>
      </c>
      <c r="P169" s="125">
        <f>SUM($O168:P168)</f>
        <v>-381967.76933455397</v>
      </c>
      <c r="Q169" s="125">
        <f>SUM($O168:Q168)</f>
        <v>-309224.43693781155</v>
      </c>
      <c r="R169" s="125">
        <f>SUM($O168:R168)</f>
        <v>-224561.37340998114</v>
      </c>
      <c r="S169" s="125">
        <f>SUM($O168:S168)</f>
        <v>-546949.65706543659</v>
      </c>
      <c r="T169" s="125">
        <f>SUM($O168:T168)</f>
        <v>-458861.38192508684</v>
      </c>
      <c r="U169" s="125">
        <f>SUM($O168:U168)</f>
        <v>-361239.24630330573</v>
      </c>
      <c r="V169" s="125">
        <f>SUM($O168:V168)</f>
        <v>-214705.94742119918</v>
      </c>
      <c r="W169" s="125">
        <f>SUM($O168:W168)</f>
        <v>-81399.930222537543</v>
      </c>
      <c r="X169" s="125">
        <f>SUM($O168:X168)</f>
        <v>108839.23446711217</v>
      </c>
      <c r="Y169" s="125">
        <f>SUM($O168:Y168)</f>
        <v>-115782.06099037599</v>
      </c>
      <c r="Z169" s="125">
        <f>SUM($O168:Z168)</f>
        <v>74596.620432826167</v>
      </c>
      <c r="AA169" s="125">
        <f>SUM($O168:AA168)</f>
        <v>78610.358656798315</v>
      </c>
      <c r="AB169" s="125">
        <f>SUM($O168:AB168)</f>
        <v>269128.55681355298</v>
      </c>
      <c r="AC169" s="125">
        <f>SUM($O168:AC168)</f>
        <v>458523.57801225549</v>
      </c>
      <c r="AD169" s="125">
        <f>SUM($O168:AD168)</f>
        <v>197928.00240945147</v>
      </c>
      <c r="AE169" s="125">
        <f>SUM($O168:AE168)</f>
        <v>378381.63763604034</v>
      </c>
      <c r="AF169" s="125">
        <f>SUM($O168:AF168)</f>
        <v>516538.97639621719</v>
      </c>
      <c r="AG169" s="125">
        <f>SUM($O168:AG168)</f>
        <v>706213.03106202465</v>
      </c>
      <c r="AH169" s="125">
        <f>SUM($O168:AH168)</f>
        <v>897149.77941943659</v>
      </c>
      <c r="AI169" s="125">
        <f>SUM($O168:AI168)</f>
        <v>670419.02492404461</v>
      </c>
      <c r="AJ169" s="125">
        <f>SUM($O168:AJ168)</f>
        <v>861495.290015009</v>
      </c>
      <c r="AK169" s="125">
        <f>SUM($O168:AK168)</f>
        <v>1007882.0290739306</v>
      </c>
      <c r="AL169" s="125">
        <f>SUM($O168:AL168)</f>
        <v>1199097.8108984474</v>
      </c>
      <c r="AM169" s="125">
        <f>SUM($O168:AM168)</f>
        <v>1400878.8974071569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AVERAGE(O172:AM172)</f>
        <v>2.5156164436260053</v>
      </c>
      <c r="M172" s="1"/>
      <c r="N172" s="1"/>
      <c r="O172" s="343"/>
      <c r="P172" s="343">
        <f t="shared" ref="P172:R172" si="140">IF(ROUND(P165,6)=0,0,P148/-P165)</f>
        <v>5.3873023590761111</v>
      </c>
      <c r="Q172" s="343">
        <f t="shared" si="140"/>
        <v>6.4809024537559372</v>
      </c>
      <c r="R172" s="343">
        <f t="shared" si="140"/>
        <v>8.9854414974997816</v>
      </c>
      <c r="S172" s="343">
        <f>IF(ROUND(S165,6)=0,0,S148/-S165)</f>
        <v>13.398411365068359</v>
      </c>
      <c r="T172" s="343">
        <f t="shared" ref="T172:AM172" si="141">IF(ROUND(T165,6)=0,0,T148/-T165)</f>
        <v>26.122736971623944</v>
      </c>
      <c r="U172" s="343">
        <f t="shared" si="141"/>
        <v>0</v>
      </c>
      <c r="V172" s="343">
        <f t="shared" si="141"/>
        <v>0</v>
      </c>
      <c r="W172" s="343">
        <f t="shared" si="141"/>
        <v>0</v>
      </c>
      <c r="X172" s="343">
        <f t="shared" si="141"/>
        <v>0</v>
      </c>
      <c r="Y172" s="343">
        <f t="shared" si="141"/>
        <v>0</v>
      </c>
      <c r="Z172" s="343">
        <f t="shared" si="141"/>
        <v>0</v>
      </c>
      <c r="AA172" s="343">
        <f t="shared" si="141"/>
        <v>0</v>
      </c>
      <c r="AB172" s="343">
        <f t="shared" si="141"/>
        <v>0</v>
      </c>
      <c r="AC172" s="343">
        <f t="shared" si="141"/>
        <v>0</v>
      </c>
      <c r="AD172" s="343">
        <f t="shared" si="141"/>
        <v>0</v>
      </c>
      <c r="AE172" s="343">
        <f t="shared" si="141"/>
        <v>0</v>
      </c>
      <c r="AF172" s="343">
        <f t="shared" si="141"/>
        <v>0</v>
      </c>
      <c r="AG172" s="343">
        <f t="shared" si="141"/>
        <v>0</v>
      </c>
      <c r="AH172" s="343">
        <f t="shared" si="141"/>
        <v>0</v>
      </c>
      <c r="AI172" s="343">
        <f t="shared" si="141"/>
        <v>0</v>
      </c>
      <c r="AJ172" s="343">
        <f t="shared" si="141"/>
        <v>0</v>
      </c>
      <c r="AK172" s="343">
        <f t="shared" si="141"/>
        <v>0</v>
      </c>
      <c r="AL172" s="343">
        <f t="shared" si="141"/>
        <v>0</v>
      </c>
      <c r="AM172" s="343">
        <f t="shared" si="141"/>
        <v>0</v>
      </c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/>
      <c r="C173" s="183"/>
      <c r="D173" s="183"/>
      <c r="E173" s="183"/>
      <c r="F173" s="183"/>
      <c r="G173" s="195"/>
      <c r="H173" s="195"/>
      <c r="I173" s="195"/>
      <c r="J173" s="195"/>
      <c r="K173" s="195"/>
      <c r="L173" s="343"/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tr">
        <f>IF(SUM(O211,O222,O226,O230)&lt;SUM(O236,O248,O252,O256),"Presumido","Real")</f>
        <v>Presumido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 t="shared" ref="O205:AM205" si="142">IF(O$204="Presumido",O211,O236)</f>
        <v>5658.1786385161276</v>
      </c>
      <c r="P205" s="97">
        <f t="shared" si="142"/>
        <v>16974.5359155484</v>
      </c>
      <c r="Q205" s="97">
        <f t="shared" si="142"/>
        <v>16974.5359155484</v>
      </c>
      <c r="R205" s="97">
        <f t="shared" si="142"/>
        <v>16974.5359155484</v>
      </c>
      <c r="S205" s="97">
        <f t="shared" si="142"/>
        <v>16974.5359155484</v>
      </c>
      <c r="T205" s="97">
        <f t="shared" si="142"/>
        <v>16974.5359155484</v>
      </c>
      <c r="U205" s="97">
        <f t="shared" si="142"/>
        <v>16974.5359155484</v>
      </c>
      <c r="V205" s="97">
        <f t="shared" si="142"/>
        <v>16974.5359155484</v>
      </c>
      <c r="W205" s="97">
        <f t="shared" si="142"/>
        <v>16974.5359155484</v>
      </c>
      <c r="X205" s="97">
        <f t="shared" si="142"/>
        <v>16974.5359155484</v>
      </c>
      <c r="Y205" s="97">
        <f t="shared" si="142"/>
        <v>16974.5359155484</v>
      </c>
      <c r="Z205" s="97">
        <f t="shared" si="142"/>
        <v>16974.5359155484</v>
      </c>
      <c r="AA205" s="97">
        <f t="shared" si="142"/>
        <v>16974.5359155484</v>
      </c>
      <c r="AB205" s="97">
        <f t="shared" si="142"/>
        <v>16974.5359155484</v>
      </c>
      <c r="AC205" s="97">
        <f t="shared" si="142"/>
        <v>16974.5359155484</v>
      </c>
      <c r="AD205" s="97">
        <f t="shared" si="142"/>
        <v>16974.5359155484</v>
      </c>
      <c r="AE205" s="97">
        <f t="shared" si="142"/>
        <v>16974.5359155484</v>
      </c>
      <c r="AF205" s="97">
        <f t="shared" si="142"/>
        <v>16974.5359155484</v>
      </c>
      <c r="AG205" s="97">
        <f t="shared" si="142"/>
        <v>16974.5359155484</v>
      </c>
      <c r="AH205" s="97">
        <f t="shared" si="142"/>
        <v>16974.5359155484</v>
      </c>
      <c r="AI205" s="97">
        <f t="shared" si="142"/>
        <v>16974.5359155484</v>
      </c>
      <c r="AJ205" s="97">
        <f t="shared" si="142"/>
        <v>16974.5359155484</v>
      </c>
      <c r="AK205" s="97">
        <f t="shared" si="142"/>
        <v>16974.5359155484</v>
      </c>
      <c r="AL205" s="97">
        <f t="shared" si="142"/>
        <v>16974.5359155484</v>
      </c>
      <c r="AM205" s="97">
        <f t="shared" si="142"/>
        <v>16974.5359155484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O260</f>
        <v>3100.3718567211658</v>
      </c>
      <c r="P206" s="54">
        <f t="shared" ref="P206:AM206" si="143">P260</f>
        <v>9301.1155701635089</v>
      </c>
      <c r="Q206" s="54">
        <f t="shared" si="143"/>
        <v>9301.1155701635089</v>
      </c>
      <c r="R206" s="54">
        <f t="shared" si="143"/>
        <v>9301.1155701635089</v>
      </c>
      <c r="S206" s="54">
        <f t="shared" si="143"/>
        <v>9301.1155701635089</v>
      </c>
      <c r="T206" s="54">
        <f t="shared" si="143"/>
        <v>9301.1155701635089</v>
      </c>
      <c r="U206" s="54">
        <f t="shared" si="143"/>
        <v>9301.1155701635089</v>
      </c>
      <c r="V206" s="54">
        <f t="shared" si="143"/>
        <v>9301.1155701635089</v>
      </c>
      <c r="W206" s="54">
        <f t="shared" si="143"/>
        <v>9301.1155701635089</v>
      </c>
      <c r="X206" s="54">
        <f t="shared" si="143"/>
        <v>9301.1155701635089</v>
      </c>
      <c r="Y206" s="54">
        <f t="shared" si="143"/>
        <v>9301.1155701635089</v>
      </c>
      <c r="Z206" s="54">
        <f t="shared" si="143"/>
        <v>9301.1155701635089</v>
      </c>
      <c r="AA206" s="54">
        <f t="shared" si="143"/>
        <v>9301.1155701635089</v>
      </c>
      <c r="AB206" s="54">
        <f t="shared" si="143"/>
        <v>9301.1155701635089</v>
      </c>
      <c r="AC206" s="54">
        <f t="shared" si="143"/>
        <v>9301.1155701635089</v>
      </c>
      <c r="AD206" s="54">
        <f t="shared" si="143"/>
        <v>9301.1155701635089</v>
      </c>
      <c r="AE206" s="54">
        <f t="shared" si="143"/>
        <v>9301.1155701635089</v>
      </c>
      <c r="AF206" s="54">
        <f t="shared" si="143"/>
        <v>9301.1155701635089</v>
      </c>
      <c r="AG206" s="54">
        <f t="shared" si="143"/>
        <v>9301.1155701635089</v>
      </c>
      <c r="AH206" s="54">
        <f t="shared" si="143"/>
        <v>9301.1155701635089</v>
      </c>
      <c r="AI206" s="54">
        <f t="shared" si="143"/>
        <v>9301.1155701635089</v>
      </c>
      <c r="AJ206" s="54">
        <f t="shared" si="143"/>
        <v>9301.1155701635089</v>
      </c>
      <c r="AK206" s="54">
        <f t="shared" si="143"/>
        <v>9301.1155701635089</v>
      </c>
      <c r="AL206" s="54">
        <f t="shared" si="143"/>
        <v>9301.1155701635089</v>
      </c>
      <c r="AM206" s="54">
        <f t="shared" si="143"/>
        <v>9301.1155701635089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 t="shared" ref="O207:AM207" si="144">IF(O$204="Presumido",O222+O226+O230,O247+O251+O255)</f>
        <v>11905.427929809277</v>
      </c>
      <c r="P207" s="330">
        <f t="shared" si="144"/>
        <v>35716.283789427878</v>
      </c>
      <c r="Q207" s="330">
        <f t="shared" si="144"/>
        <v>35716.283789427878</v>
      </c>
      <c r="R207" s="330">
        <f t="shared" si="144"/>
        <v>35716.283789427878</v>
      </c>
      <c r="S207" s="330">
        <f t="shared" si="144"/>
        <v>35716.283789427878</v>
      </c>
      <c r="T207" s="330">
        <f t="shared" si="144"/>
        <v>35716.283789427878</v>
      </c>
      <c r="U207" s="330">
        <f t="shared" si="144"/>
        <v>35716.283789427878</v>
      </c>
      <c r="V207" s="330">
        <f t="shared" si="144"/>
        <v>35716.283789427878</v>
      </c>
      <c r="W207" s="330">
        <f t="shared" si="144"/>
        <v>35716.283789427878</v>
      </c>
      <c r="X207" s="330">
        <f t="shared" si="144"/>
        <v>35716.283789427878</v>
      </c>
      <c r="Y207" s="330">
        <f t="shared" si="144"/>
        <v>35716.283789427878</v>
      </c>
      <c r="Z207" s="330">
        <f t="shared" si="144"/>
        <v>35716.283789427878</v>
      </c>
      <c r="AA207" s="330">
        <f t="shared" si="144"/>
        <v>35716.283789427878</v>
      </c>
      <c r="AB207" s="330">
        <f t="shared" si="144"/>
        <v>35716.283789427878</v>
      </c>
      <c r="AC207" s="330">
        <f t="shared" si="144"/>
        <v>35716.283789427878</v>
      </c>
      <c r="AD207" s="330">
        <f t="shared" si="144"/>
        <v>35716.283789427878</v>
      </c>
      <c r="AE207" s="330">
        <f t="shared" si="144"/>
        <v>35716.283789427878</v>
      </c>
      <c r="AF207" s="330">
        <f t="shared" si="144"/>
        <v>35716.283789427878</v>
      </c>
      <c r="AG207" s="330">
        <f t="shared" si="144"/>
        <v>35716.283789427878</v>
      </c>
      <c r="AH207" s="330">
        <f t="shared" si="144"/>
        <v>35716.283789427878</v>
      </c>
      <c r="AI207" s="330">
        <f t="shared" si="144"/>
        <v>35716.283789427878</v>
      </c>
      <c r="AJ207" s="330">
        <f t="shared" si="144"/>
        <v>35716.283789427878</v>
      </c>
      <c r="AK207" s="330">
        <f t="shared" si="144"/>
        <v>35716.283789427878</v>
      </c>
      <c r="AL207" s="330">
        <f t="shared" si="144"/>
        <v>35716.283789427878</v>
      </c>
      <c r="AM207" s="330">
        <f t="shared" si="144"/>
        <v>35716.283789427878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f t="shared" ref="O209:AM209" si="145">O211+O222+O226+O230</f>
        <v>17563.606568325406</v>
      </c>
      <c r="P209" s="69">
        <f t="shared" si="145"/>
        <v>52690.819704976275</v>
      </c>
      <c r="Q209" s="69">
        <f t="shared" si="145"/>
        <v>52690.819704976275</v>
      </c>
      <c r="R209" s="69">
        <f t="shared" si="145"/>
        <v>52690.819704976275</v>
      </c>
      <c r="S209" s="69">
        <f t="shared" si="145"/>
        <v>52690.819704976275</v>
      </c>
      <c r="T209" s="69">
        <f t="shared" si="145"/>
        <v>52690.819704976275</v>
      </c>
      <c r="U209" s="69">
        <f t="shared" si="145"/>
        <v>52690.819704976275</v>
      </c>
      <c r="V209" s="69">
        <f t="shared" si="145"/>
        <v>52690.819704976275</v>
      </c>
      <c r="W209" s="69">
        <f t="shared" si="145"/>
        <v>52690.819704976275</v>
      </c>
      <c r="X209" s="69">
        <f t="shared" si="145"/>
        <v>52690.819704976275</v>
      </c>
      <c r="Y209" s="69">
        <f t="shared" si="145"/>
        <v>52690.819704976275</v>
      </c>
      <c r="Z209" s="69">
        <f t="shared" si="145"/>
        <v>52690.819704976275</v>
      </c>
      <c r="AA209" s="69">
        <f t="shared" si="145"/>
        <v>52690.819704976275</v>
      </c>
      <c r="AB209" s="69">
        <f t="shared" si="145"/>
        <v>52690.819704976275</v>
      </c>
      <c r="AC209" s="69">
        <f t="shared" si="145"/>
        <v>52690.819704976275</v>
      </c>
      <c r="AD209" s="69">
        <f t="shared" si="145"/>
        <v>52690.819704976275</v>
      </c>
      <c r="AE209" s="69">
        <f t="shared" si="145"/>
        <v>52690.819704976275</v>
      </c>
      <c r="AF209" s="69">
        <f t="shared" si="145"/>
        <v>52690.819704976275</v>
      </c>
      <c r="AG209" s="69">
        <f t="shared" si="145"/>
        <v>52690.819704976275</v>
      </c>
      <c r="AH209" s="69">
        <f t="shared" si="145"/>
        <v>52690.819704976275</v>
      </c>
      <c r="AI209" s="69">
        <f t="shared" si="145"/>
        <v>52690.819704976275</v>
      </c>
      <c r="AJ209" s="69">
        <f t="shared" si="145"/>
        <v>52690.819704976275</v>
      </c>
      <c r="AK209" s="69">
        <f t="shared" si="145"/>
        <v>52690.819704976275</v>
      </c>
      <c r="AL209" s="69">
        <f t="shared" si="145"/>
        <v>52690.819704976275</v>
      </c>
      <c r="AM209" s="69">
        <f t="shared" si="145"/>
        <v>52690.819704976275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9">
        <f t="shared" ref="O211:AM211" si="146">$I211*(O213-O214)</f>
        <v>5658.1786385161276</v>
      </c>
      <c r="P211" s="109">
        <f t="shared" si="146"/>
        <v>16974.5359155484</v>
      </c>
      <c r="Q211" s="109">
        <f t="shared" si="146"/>
        <v>16974.5359155484</v>
      </c>
      <c r="R211" s="109">
        <f t="shared" si="146"/>
        <v>16974.5359155484</v>
      </c>
      <c r="S211" s="109">
        <f t="shared" si="146"/>
        <v>16974.5359155484</v>
      </c>
      <c r="T211" s="109">
        <f t="shared" si="146"/>
        <v>16974.5359155484</v>
      </c>
      <c r="U211" s="109">
        <f t="shared" si="146"/>
        <v>16974.5359155484</v>
      </c>
      <c r="V211" s="109">
        <f t="shared" si="146"/>
        <v>16974.5359155484</v>
      </c>
      <c r="W211" s="109">
        <f t="shared" si="146"/>
        <v>16974.5359155484</v>
      </c>
      <c r="X211" s="109">
        <f t="shared" si="146"/>
        <v>16974.5359155484</v>
      </c>
      <c r="Y211" s="109">
        <f t="shared" si="146"/>
        <v>16974.5359155484</v>
      </c>
      <c r="Z211" s="109">
        <f t="shared" si="146"/>
        <v>16974.5359155484</v>
      </c>
      <c r="AA211" s="109">
        <f t="shared" si="146"/>
        <v>16974.5359155484</v>
      </c>
      <c r="AB211" s="109">
        <f t="shared" si="146"/>
        <v>16974.5359155484</v>
      </c>
      <c r="AC211" s="109">
        <f t="shared" si="146"/>
        <v>16974.5359155484</v>
      </c>
      <c r="AD211" s="109">
        <f t="shared" si="146"/>
        <v>16974.5359155484</v>
      </c>
      <c r="AE211" s="109">
        <f t="shared" si="146"/>
        <v>16974.5359155484</v>
      </c>
      <c r="AF211" s="109">
        <f t="shared" si="146"/>
        <v>16974.5359155484</v>
      </c>
      <c r="AG211" s="109">
        <f t="shared" si="146"/>
        <v>16974.5359155484</v>
      </c>
      <c r="AH211" s="109">
        <f t="shared" si="146"/>
        <v>16974.5359155484</v>
      </c>
      <c r="AI211" s="109">
        <f t="shared" si="146"/>
        <v>16974.5359155484</v>
      </c>
      <c r="AJ211" s="109">
        <f t="shared" si="146"/>
        <v>16974.5359155484</v>
      </c>
      <c r="AK211" s="109">
        <f t="shared" si="146"/>
        <v>16974.5359155484</v>
      </c>
      <c r="AL211" s="109">
        <f t="shared" si="146"/>
        <v>16974.5359155484</v>
      </c>
      <c r="AM211" s="109">
        <f t="shared" si="146"/>
        <v>16974.5359155484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>$I211*(O213-O214)</f>
        <v>5658.1786385161276</v>
      </c>
      <c r="P212" s="107">
        <f t="shared" ref="P212:AM212" si="147">$I211*(P213-P214)</f>
        <v>16974.5359155484</v>
      </c>
      <c r="Q212" s="107">
        <f t="shared" si="147"/>
        <v>16974.5359155484</v>
      </c>
      <c r="R212" s="107">
        <f t="shared" si="147"/>
        <v>16974.5359155484</v>
      </c>
      <c r="S212" s="107">
        <f t="shared" si="147"/>
        <v>16974.5359155484</v>
      </c>
      <c r="T212" s="107">
        <f t="shared" si="147"/>
        <v>16974.5359155484</v>
      </c>
      <c r="U212" s="107">
        <f t="shared" si="147"/>
        <v>16974.5359155484</v>
      </c>
      <c r="V212" s="107">
        <f t="shared" si="147"/>
        <v>16974.5359155484</v>
      </c>
      <c r="W212" s="107">
        <f t="shared" si="147"/>
        <v>16974.5359155484</v>
      </c>
      <c r="X212" s="107">
        <f t="shared" si="147"/>
        <v>16974.5359155484</v>
      </c>
      <c r="Y212" s="107">
        <f t="shared" si="147"/>
        <v>16974.5359155484</v>
      </c>
      <c r="Z212" s="107">
        <f t="shared" si="147"/>
        <v>16974.5359155484</v>
      </c>
      <c r="AA212" s="107">
        <f t="shared" si="147"/>
        <v>16974.5359155484</v>
      </c>
      <c r="AB212" s="107">
        <f t="shared" si="147"/>
        <v>16974.5359155484</v>
      </c>
      <c r="AC212" s="107">
        <f t="shared" si="147"/>
        <v>16974.5359155484</v>
      </c>
      <c r="AD212" s="107">
        <f t="shared" si="147"/>
        <v>16974.5359155484</v>
      </c>
      <c r="AE212" s="107">
        <f t="shared" si="147"/>
        <v>16974.5359155484</v>
      </c>
      <c r="AF212" s="107">
        <f t="shared" si="147"/>
        <v>16974.5359155484</v>
      </c>
      <c r="AG212" s="107">
        <f t="shared" si="147"/>
        <v>16974.5359155484</v>
      </c>
      <c r="AH212" s="107">
        <f t="shared" si="147"/>
        <v>16974.5359155484</v>
      </c>
      <c r="AI212" s="107">
        <f t="shared" si="147"/>
        <v>16974.5359155484</v>
      </c>
      <c r="AJ212" s="107">
        <f t="shared" si="147"/>
        <v>16974.5359155484</v>
      </c>
      <c r="AK212" s="107">
        <f t="shared" si="147"/>
        <v>16974.5359155484</v>
      </c>
      <c r="AL212" s="107">
        <f t="shared" si="147"/>
        <v>16974.5359155484</v>
      </c>
      <c r="AM212" s="107">
        <f t="shared" si="147"/>
        <v>16974.5359155484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148">O122*$I213</f>
        <v>155018.59283605829</v>
      </c>
      <c r="P213" s="107">
        <f t="shared" si="148"/>
        <v>465055.7785081754</v>
      </c>
      <c r="Q213" s="107">
        <f t="shared" si="148"/>
        <v>465055.7785081754</v>
      </c>
      <c r="R213" s="107">
        <f t="shared" si="148"/>
        <v>465055.7785081754</v>
      </c>
      <c r="S213" s="107">
        <f t="shared" si="148"/>
        <v>465055.7785081754</v>
      </c>
      <c r="T213" s="107">
        <f t="shared" si="148"/>
        <v>465055.7785081754</v>
      </c>
      <c r="U213" s="107">
        <f t="shared" si="148"/>
        <v>465055.7785081754</v>
      </c>
      <c r="V213" s="107">
        <f t="shared" si="148"/>
        <v>465055.7785081754</v>
      </c>
      <c r="W213" s="107">
        <f t="shared" si="148"/>
        <v>465055.7785081754</v>
      </c>
      <c r="X213" s="107">
        <f t="shared" si="148"/>
        <v>465055.7785081754</v>
      </c>
      <c r="Y213" s="107">
        <f t="shared" si="148"/>
        <v>465055.7785081754</v>
      </c>
      <c r="Z213" s="107">
        <f t="shared" si="148"/>
        <v>465055.7785081754</v>
      </c>
      <c r="AA213" s="107">
        <f t="shared" si="148"/>
        <v>465055.7785081754</v>
      </c>
      <c r="AB213" s="107">
        <f t="shared" si="148"/>
        <v>465055.7785081754</v>
      </c>
      <c r="AC213" s="107">
        <f t="shared" si="148"/>
        <v>465055.7785081754</v>
      </c>
      <c r="AD213" s="107">
        <f t="shared" si="148"/>
        <v>465055.7785081754</v>
      </c>
      <c r="AE213" s="107">
        <f t="shared" si="148"/>
        <v>465055.7785081754</v>
      </c>
      <c r="AF213" s="107">
        <f t="shared" si="148"/>
        <v>465055.7785081754</v>
      </c>
      <c r="AG213" s="107">
        <f t="shared" si="148"/>
        <v>465055.7785081754</v>
      </c>
      <c r="AH213" s="107">
        <f t="shared" si="148"/>
        <v>465055.7785081754</v>
      </c>
      <c r="AI213" s="107">
        <f t="shared" si="148"/>
        <v>465055.7785081754</v>
      </c>
      <c r="AJ213" s="107">
        <f t="shared" si="148"/>
        <v>465055.7785081754</v>
      </c>
      <c r="AK213" s="107">
        <f t="shared" si="148"/>
        <v>465055.7785081754</v>
      </c>
      <c r="AL213" s="107">
        <f t="shared" si="148"/>
        <v>465055.7785081754</v>
      </c>
      <c r="AM213" s="107">
        <f t="shared" si="148"/>
        <v>465055.7785081754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149">$I$214*O14</f>
        <v>0</v>
      </c>
      <c r="P214" s="107">
        <f t="shared" si="149"/>
        <v>0</v>
      </c>
      <c r="Q214" s="107">
        <f t="shared" si="149"/>
        <v>0</v>
      </c>
      <c r="R214" s="107">
        <f t="shared" si="149"/>
        <v>0</v>
      </c>
      <c r="S214" s="107">
        <f t="shared" si="149"/>
        <v>0</v>
      </c>
      <c r="T214" s="107">
        <f t="shared" si="149"/>
        <v>0</v>
      </c>
      <c r="U214" s="107">
        <f t="shared" si="149"/>
        <v>0</v>
      </c>
      <c r="V214" s="107">
        <f t="shared" si="149"/>
        <v>0</v>
      </c>
      <c r="W214" s="107">
        <f t="shared" si="149"/>
        <v>0</v>
      </c>
      <c r="X214" s="107">
        <f t="shared" si="149"/>
        <v>0</v>
      </c>
      <c r="Y214" s="107">
        <f t="shared" si="149"/>
        <v>0</v>
      </c>
      <c r="Z214" s="107">
        <f t="shared" si="149"/>
        <v>0</v>
      </c>
      <c r="AA214" s="107">
        <f t="shared" si="149"/>
        <v>0</v>
      </c>
      <c r="AB214" s="107">
        <f t="shared" si="149"/>
        <v>0</v>
      </c>
      <c r="AC214" s="107">
        <f t="shared" si="149"/>
        <v>0</v>
      </c>
      <c r="AD214" s="107">
        <f t="shared" si="149"/>
        <v>0</v>
      </c>
      <c r="AE214" s="107">
        <f t="shared" si="149"/>
        <v>0</v>
      </c>
      <c r="AF214" s="107">
        <f t="shared" si="149"/>
        <v>0</v>
      </c>
      <c r="AG214" s="107">
        <f t="shared" si="149"/>
        <v>0</v>
      </c>
      <c r="AH214" s="107">
        <f t="shared" si="149"/>
        <v>0</v>
      </c>
      <c r="AI214" s="107">
        <f t="shared" si="149"/>
        <v>0</v>
      </c>
      <c r="AJ214" s="107">
        <f t="shared" si="149"/>
        <v>0</v>
      </c>
      <c r="AK214" s="107">
        <f t="shared" si="149"/>
        <v>0</v>
      </c>
      <c r="AL214" s="107">
        <f t="shared" si="149"/>
        <v>0</v>
      </c>
      <c r="AM214" s="107">
        <f t="shared" si="149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150">SUM(O220:AV220)</f>
        <v>3621234.3286503251</v>
      </c>
      <c r="M220" s="1"/>
      <c r="N220" s="1"/>
      <c r="O220" s="142">
        <f t="shared" ref="O220:AM220" si="151">32%*O143</f>
        <v>49605.949707538653</v>
      </c>
      <c r="P220" s="142">
        <f t="shared" si="151"/>
        <v>148817.84912261614</v>
      </c>
      <c r="Q220" s="142">
        <f t="shared" si="151"/>
        <v>148817.84912261614</v>
      </c>
      <c r="R220" s="142">
        <f t="shared" si="151"/>
        <v>148817.84912261614</v>
      </c>
      <c r="S220" s="142">
        <f t="shared" si="151"/>
        <v>148817.84912261614</v>
      </c>
      <c r="T220" s="142">
        <f t="shared" si="151"/>
        <v>148817.84912261614</v>
      </c>
      <c r="U220" s="142">
        <f t="shared" si="151"/>
        <v>148817.84912261614</v>
      </c>
      <c r="V220" s="142">
        <f t="shared" si="151"/>
        <v>148817.84912261614</v>
      </c>
      <c r="W220" s="142">
        <f t="shared" si="151"/>
        <v>148817.84912261614</v>
      </c>
      <c r="X220" s="142">
        <f t="shared" si="151"/>
        <v>148817.84912261614</v>
      </c>
      <c r="Y220" s="142">
        <f t="shared" si="151"/>
        <v>148817.84912261614</v>
      </c>
      <c r="Z220" s="142">
        <f t="shared" si="151"/>
        <v>148817.84912261614</v>
      </c>
      <c r="AA220" s="142">
        <f t="shared" si="151"/>
        <v>148817.84912261614</v>
      </c>
      <c r="AB220" s="142">
        <f t="shared" si="151"/>
        <v>148817.84912261614</v>
      </c>
      <c r="AC220" s="142">
        <f t="shared" si="151"/>
        <v>148817.84912261614</v>
      </c>
      <c r="AD220" s="142">
        <f t="shared" si="151"/>
        <v>148817.84912261614</v>
      </c>
      <c r="AE220" s="142">
        <f t="shared" si="151"/>
        <v>148817.84912261614</v>
      </c>
      <c r="AF220" s="142">
        <f t="shared" si="151"/>
        <v>148817.84912261614</v>
      </c>
      <c r="AG220" s="142">
        <f t="shared" si="151"/>
        <v>148817.84912261614</v>
      </c>
      <c r="AH220" s="142">
        <f t="shared" si="151"/>
        <v>148817.84912261614</v>
      </c>
      <c r="AI220" s="142">
        <f t="shared" si="151"/>
        <v>148817.84912261614</v>
      </c>
      <c r="AJ220" s="142">
        <f t="shared" si="151"/>
        <v>148817.84912261614</v>
      </c>
      <c r="AK220" s="142">
        <f t="shared" si="151"/>
        <v>148817.84912261614</v>
      </c>
      <c r="AL220" s="142">
        <f t="shared" si="151"/>
        <v>148817.84912261614</v>
      </c>
      <c r="AM220" s="142">
        <f t="shared" si="151"/>
        <v>148817.84912261614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 t="shared" ref="O222:AM222" si="152">$I222*(O223-O224)</f>
        <v>7440.8924561307977</v>
      </c>
      <c r="P222" s="109">
        <f t="shared" si="152"/>
        <v>22322.677368392422</v>
      </c>
      <c r="Q222" s="109">
        <f t="shared" si="152"/>
        <v>22322.677368392422</v>
      </c>
      <c r="R222" s="109">
        <f t="shared" si="152"/>
        <v>22322.677368392422</v>
      </c>
      <c r="S222" s="109">
        <f t="shared" si="152"/>
        <v>22322.677368392422</v>
      </c>
      <c r="T222" s="109">
        <f t="shared" si="152"/>
        <v>22322.677368392422</v>
      </c>
      <c r="U222" s="109">
        <f t="shared" si="152"/>
        <v>22322.677368392422</v>
      </c>
      <c r="V222" s="109">
        <f t="shared" si="152"/>
        <v>22322.677368392422</v>
      </c>
      <c r="W222" s="109">
        <f t="shared" si="152"/>
        <v>22322.677368392422</v>
      </c>
      <c r="X222" s="109">
        <f t="shared" si="152"/>
        <v>22322.677368392422</v>
      </c>
      <c r="Y222" s="109">
        <f t="shared" si="152"/>
        <v>22322.677368392422</v>
      </c>
      <c r="Z222" s="109">
        <f t="shared" si="152"/>
        <v>22322.677368392422</v>
      </c>
      <c r="AA222" s="109">
        <f t="shared" si="152"/>
        <v>22322.677368392422</v>
      </c>
      <c r="AB222" s="109">
        <f t="shared" si="152"/>
        <v>22322.677368392422</v>
      </c>
      <c r="AC222" s="109">
        <f t="shared" si="152"/>
        <v>22322.677368392422</v>
      </c>
      <c r="AD222" s="109">
        <f t="shared" si="152"/>
        <v>22322.677368392422</v>
      </c>
      <c r="AE222" s="109">
        <f t="shared" si="152"/>
        <v>22322.677368392422</v>
      </c>
      <c r="AF222" s="109">
        <f t="shared" si="152"/>
        <v>22322.677368392422</v>
      </c>
      <c r="AG222" s="109">
        <f t="shared" si="152"/>
        <v>22322.677368392422</v>
      </c>
      <c r="AH222" s="109">
        <f t="shared" si="152"/>
        <v>22322.677368392422</v>
      </c>
      <c r="AI222" s="109">
        <f t="shared" si="152"/>
        <v>22322.677368392422</v>
      </c>
      <c r="AJ222" s="109">
        <f t="shared" si="152"/>
        <v>22322.677368392422</v>
      </c>
      <c r="AK222" s="109">
        <f t="shared" si="152"/>
        <v>22322.677368392422</v>
      </c>
      <c r="AL222" s="109">
        <f t="shared" si="152"/>
        <v>22322.677368392422</v>
      </c>
      <c r="AM222" s="109">
        <f t="shared" si="152"/>
        <v>22322.677368392422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153">O220</f>
        <v>49605.949707538653</v>
      </c>
      <c r="P223" s="107">
        <f t="shared" si="153"/>
        <v>148817.84912261614</v>
      </c>
      <c r="Q223" s="107">
        <f t="shared" si="153"/>
        <v>148817.84912261614</v>
      </c>
      <c r="R223" s="107">
        <f t="shared" si="153"/>
        <v>148817.84912261614</v>
      </c>
      <c r="S223" s="107">
        <f t="shared" si="153"/>
        <v>148817.84912261614</v>
      </c>
      <c r="T223" s="107">
        <f t="shared" si="153"/>
        <v>148817.84912261614</v>
      </c>
      <c r="U223" s="107">
        <f t="shared" si="153"/>
        <v>148817.84912261614</v>
      </c>
      <c r="V223" s="107">
        <f t="shared" si="153"/>
        <v>148817.84912261614</v>
      </c>
      <c r="W223" s="107">
        <f t="shared" si="153"/>
        <v>148817.84912261614</v>
      </c>
      <c r="X223" s="107">
        <f t="shared" si="153"/>
        <v>148817.84912261614</v>
      </c>
      <c r="Y223" s="107">
        <f t="shared" si="153"/>
        <v>148817.84912261614</v>
      </c>
      <c r="Z223" s="107">
        <f t="shared" si="153"/>
        <v>148817.84912261614</v>
      </c>
      <c r="AA223" s="107">
        <f t="shared" si="153"/>
        <v>148817.84912261614</v>
      </c>
      <c r="AB223" s="107">
        <f t="shared" si="153"/>
        <v>148817.84912261614</v>
      </c>
      <c r="AC223" s="107">
        <f t="shared" si="153"/>
        <v>148817.84912261614</v>
      </c>
      <c r="AD223" s="107">
        <f t="shared" si="153"/>
        <v>148817.84912261614</v>
      </c>
      <c r="AE223" s="107">
        <f t="shared" si="153"/>
        <v>148817.84912261614</v>
      </c>
      <c r="AF223" s="107">
        <f t="shared" si="153"/>
        <v>148817.84912261614</v>
      </c>
      <c r="AG223" s="107">
        <f t="shared" si="153"/>
        <v>148817.84912261614</v>
      </c>
      <c r="AH223" s="107">
        <f t="shared" si="153"/>
        <v>148817.84912261614</v>
      </c>
      <c r="AI223" s="107">
        <f t="shared" si="153"/>
        <v>148817.84912261614</v>
      </c>
      <c r="AJ223" s="107">
        <f t="shared" si="153"/>
        <v>148817.84912261614</v>
      </c>
      <c r="AK223" s="107">
        <f t="shared" si="153"/>
        <v>148817.84912261614</v>
      </c>
      <c r="AL223" s="107">
        <f t="shared" si="153"/>
        <v>148817.84912261614</v>
      </c>
      <c r="AM223" s="107">
        <f t="shared" si="153"/>
        <v>148817.84912261614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154">$I224</f>
        <v>0</v>
      </c>
      <c r="P224" s="107">
        <f t="shared" si="154"/>
        <v>0</v>
      </c>
      <c r="Q224" s="107">
        <f t="shared" si="154"/>
        <v>0</v>
      </c>
      <c r="R224" s="107">
        <f t="shared" si="154"/>
        <v>0</v>
      </c>
      <c r="S224" s="107">
        <f t="shared" si="154"/>
        <v>0</v>
      </c>
      <c r="T224" s="107">
        <f t="shared" si="154"/>
        <v>0</v>
      </c>
      <c r="U224" s="107">
        <f t="shared" si="154"/>
        <v>0</v>
      </c>
      <c r="V224" s="107">
        <f t="shared" si="154"/>
        <v>0</v>
      </c>
      <c r="W224" s="107">
        <f t="shared" si="154"/>
        <v>0</v>
      </c>
      <c r="X224" s="107">
        <f t="shared" si="154"/>
        <v>0</v>
      </c>
      <c r="Y224" s="107">
        <f t="shared" si="154"/>
        <v>0</v>
      </c>
      <c r="Z224" s="107">
        <f t="shared" si="154"/>
        <v>0</v>
      </c>
      <c r="AA224" s="107">
        <f t="shared" si="154"/>
        <v>0</v>
      </c>
      <c r="AB224" s="107">
        <f t="shared" si="154"/>
        <v>0</v>
      </c>
      <c r="AC224" s="107">
        <f t="shared" si="154"/>
        <v>0</v>
      </c>
      <c r="AD224" s="107">
        <f t="shared" si="154"/>
        <v>0</v>
      </c>
      <c r="AE224" s="107">
        <f t="shared" si="154"/>
        <v>0</v>
      </c>
      <c r="AF224" s="107">
        <f t="shared" si="154"/>
        <v>0</v>
      </c>
      <c r="AG224" s="107">
        <f t="shared" si="154"/>
        <v>0</v>
      </c>
      <c r="AH224" s="107">
        <f t="shared" si="154"/>
        <v>0</v>
      </c>
      <c r="AI224" s="107">
        <f t="shared" si="154"/>
        <v>0</v>
      </c>
      <c r="AJ224" s="107">
        <f t="shared" si="154"/>
        <v>0</v>
      </c>
      <c r="AK224" s="107">
        <f t="shared" si="154"/>
        <v>0</v>
      </c>
      <c r="AL224" s="107">
        <f t="shared" si="154"/>
        <v>0</v>
      </c>
      <c r="AM224" s="107">
        <f t="shared" si="154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 t="shared" ref="O226:AM226" si="155">MAX($I226*(O227-O228),0)</f>
        <v>0</v>
      </c>
      <c r="P226" s="109">
        <f t="shared" si="155"/>
        <v>0</v>
      </c>
      <c r="Q226" s="109">
        <f t="shared" si="155"/>
        <v>0</v>
      </c>
      <c r="R226" s="109">
        <f t="shared" si="155"/>
        <v>0</v>
      </c>
      <c r="S226" s="109">
        <f t="shared" si="155"/>
        <v>0</v>
      </c>
      <c r="T226" s="109">
        <f t="shared" si="155"/>
        <v>0</v>
      </c>
      <c r="U226" s="109">
        <f t="shared" si="155"/>
        <v>0</v>
      </c>
      <c r="V226" s="109">
        <f t="shared" si="155"/>
        <v>0</v>
      </c>
      <c r="W226" s="109">
        <f t="shared" si="155"/>
        <v>0</v>
      </c>
      <c r="X226" s="109">
        <f t="shared" si="155"/>
        <v>0</v>
      </c>
      <c r="Y226" s="109">
        <f t="shared" si="155"/>
        <v>0</v>
      </c>
      <c r="Z226" s="109">
        <f t="shared" si="155"/>
        <v>0</v>
      </c>
      <c r="AA226" s="109">
        <f t="shared" si="155"/>
        <v>0</v>
      </c>
      <c r="AB226" s="109">
        <f t="shared" si="155"/>
        <v>0</v>
      </c>
      <c r="AC226" s="109">
        <f t="shared" si="155"/>
        <v>0</v>
      </c>
      <c r="AD226" s="109">
        <f t="shared" si="155"/>
        <v>0</v>
      </c>
      <c r="AE226" s="109">
        <f t="shared" si="155"/>
        <v>0</v>
      </c>
      <c r="AF226" s="109">
        <f t="shared" si="155"/>
        <v>0</v>
      </c>
      <c r="AG226" s="109">
        <f t="shared" si="155"/>
        <v>0</v>
      </c>
      <c r="AH226" s="109">
        <f t="shared" si="155"/>
        <v>0</v>
      </c>
      <c r="AI226" s="109">
        <f t="shared" si="155"/>
        <v>0</v>
      </c>
      <c r="AJ226" s="109">
        <f t="shared" si="155"/>
        <v>0</v>
      </c>
      <c r="AK226" s="109">
        <f t="shared" si="155"/>
        <v>0</v>
      </c>
      <c r="AL226" s="109">
        <f t="shared" si="155"/>
        <v>0</v>
      </c>
      <c r="AM226" s="109">
        <f t="shared" si="155"/>
        <v>0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156">O220</f>
        <v>49605.949707538653</v>
      </c>
      <c r="P227" s="107">
        <f t="shared" si="156"/>
        <v>148817.84912261614</v>
      </c>
      <c r="Q227" s="107">
        <f t="shared" si="156"/>
        <v>148817.84912261614</v>
      </c>
      <c r="R227" s="107">
        <f t="shared" si="156"/>
        <v>148817.84912261614</v>
      </c>
      <c r="S227" s="107">
        <f t="shared" si="156"/>
        <v>148817.84912261614</v>
      </c>
      <c r="T227" s="107">
        <f t="shared" si="156"/>
        <v>148817.84912261614</v>
      </c>
      <c r="U227" s="107">
        <f t="shared" si="156"/>
        <v>148817.84912261614</v>
      </c>
      <c r="V227" s="107">
        <f t="shared" si="156"/>
        <v>148817.84912261614</v>
      </c>
      <c r="W227" s="107">
        <f t="shared" si="156"/>
        <v>148817.84912261614</v>
      </c>
      <c r="X227" s="107">
        <f t="shared" si="156"/>
        <v>148817.84912261614</v>
      </c>
      <c r="Y227" s="107">
        <f t="shared" si="156"/>
        <v>148817.84912261614</v>
      </c>
      <c r="Z227" s="107">
        <f t="shared" si="156"/>
        <v>148817.84912261614</v>
      </c>
      <c r="AA227" s="107">
        <f t="shared" si="156"/>
        <v>148817.84912261614</v>
      </c>
      <c r="AB227" s="107">
        <f t="shared" si="156"/>
        <v>148817.84912261614</v>
      </c>
      <c r="AC227" s="107">
        <f t="shared" si="156"/>
        <v>148817.84912261614</v>
      </c>
      <c r="AD227" s="107">
        <f t="shared" si="156"/>
        <v>148817.84912261614</v>
      </c>
      <c r="AE227" s="107">
        <f t="shared" si="156"/>
        <v>148817.84912261614</v>
      </c>
      <c r="AF227" s="107">
        <f t="shared" si="156"/>
        <v>148817.84912261614</v>
      </c>
      <c r="AG227" s="107">
        <f t="shared" si="156"/>
        <v>148817.84912261614</v>
      </c>
      <c r="AH227" s="107">
        <f t="shared" si="156"/>
        <v>148817.84912261614</v>
      </c>
      <c r="AI227" s="107">
        <f t="shared" si="156"/>
        <v>148817.84912261614</v>
      </c>
      <c r="AJ227" s="107">
        <f t="shared" si="156"/>
        <v>148817.84912261614</v>
      </c>
      <c r="AK227" s="107">
        <f t="shared" si="156"/>
        <v>148817.84912261614</v>
      </c>
      <c r="AL227" s="107">
        <f t="shared" si="156"/>
        <v>148817.84912261614</v>
      </c>
      <c r="AM227" s="107">
        <f t="shared" si="156"/>
        <v>148817.84912261614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157">$I228</f>
        <v>240000</v>
      </c>
      <c r="P228" s="107">
        <f t="shared" si="157"/>
        <v>240000</v>
      </c>
      <c r="Q228" s="107">
        <f t="shared" si="157"/>
        <v>240000</v>
      </c>
      <c r="R228" s="107">
        <f t="shared" si="157"/>
        <v>240000</v>
      </c>
      <c r="S228" s="107">
        <f t="shared" si="157"/>
        <v>240000</v>
      </c>
      <c r="T228" s="107">
        <f t="shared" si="157"/>
        <v>240000</v>
      </c>
      <c r="U228" s="107">
        <f t="shared" si="157"/>
        <v>240000</v>
      </c>
      <c r="V228" s="107">
        <f t="shared" si="157"/>
        <v>240000</v>
      </c>
      <c r="W228" s="107">
        <f t="shared" si="157"/>
        <v>240000</v>
      </c>
      <c r="X228" s="107">
        <f t="shared" si="157"/>
        <v>240000</v>
      </c>
      <c r="Y228" s="107">
        <f t="shared" si="157"/>
        <v>240000</v>
      </c>
      <c r="Z228" s="107">
        <f t="shared" si="157"/>
        <v>240000</v>
      </c>
      <c r="AA228" s="107">
        <f t="shared" si="157"/>
        <v>240000</v>
      </c>
      <c r="AB228" s="107">
        <f t="shared" si="157"/>
        <v>240000</v>
      </c>
      <c r="AC228" s="107">
        <f t="shared" si="157"/>
        <v>240000</v>
      </c>
      <c r="AD228" s="107">
        <f t="shared" si="157"/>
        <v>240000</v>
      </c>
      <c r="AE228" s="107">
        <f t="shared" si="157"/>
        <v>240000</v>
      </c>
      <c r="AF228" s="107">
        <f t="shared" si="157"/>
        <v>240000</v>
      </c>
      <c r="AG228" s="107">
        <f t="shared" si="157"/>
        <v>240000</v>
      </c>
      <c r="AH228" s="107">
        <f t="shared" si="157"/>
        <v>240000</v>
      </c>
      <c r="AI228" s="107">
        <f t="shared" si="157"/>
        <v>240000</v>
      </c>
      <c r="AJ228" s="107">
        <f t="shared" si="157"/>
        <v>240000</v>
      </c>
      <c r="AK228" s="107">
        <f t="shared" si="157"/>
        <v>240000</v>
      </c>
      <c r="AL228" s="107">
        <f t="shared" si="157"/>
        <v>240000</v>
      </c>
      <c r="AM228" s="107">
        <f t="shared" si="157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MAX($I230*(O231-O232),0)</f>
        <v>4464.5354736784784</v>
      </c>
      <c r="P230" s="109">
        <f t="shared" ref="P230:AM230" si="158">$I230*(P231-P232)</f>
        <v>13393.606421035453</v>
      </c>
      <c r="Q230" s="109">
        <f t="shared" si="158"/>
        <v>13393.606421035453</v>
      </c>
      <c r="R230" s="109">
        <f t="shared" si="158"/>
        <v>13393.606421035453</v>
      </c>
      <c r="S230" s="109">
        <f t="shared" si="158"/>
        <v>13393.606421035453</v>
      </c>
      <c r="T230" s="109">
        <f t="shared" si="158"/>
        <v>13393.606421035453</v>
      </c>
      <c r="U230" s="109">
        <f t="shared" si="158"/>
        <v>13393.606421035453</v>
      </c>
      <c r="V230" s="109">
        <f t="shared" si="158"/>
        <v>13393.606421035453</v>
      </c>
      <c r="W230" s="109">
        <f t="shared" si="158"/>
        <v>13393.606421035453</v>
      </c>
      <c r="X230" s="109">
        <f t="shared" si="158"/>
        <v>13393.606421035453</v>
      </c>
      <c r="Y230" s="109">
        <f t="shared" si="158"/>
        <v>13393.606421035453</v>
      </c>
      <c r="Z230" s="109">
        <f t="shared" si="158"/>
        <v>13393.606421035453</v>
      </c>
      <c r="AA230" s="109">
        <f t="shared" si="158"/>
        <v>13393.606421035453</v>
      </c>
      <c r="AB230" s="109">
        <f t="shared" si="158"/>
        <v>13393.606421035453</v>
      </c>
      <c r="AC230" s="109">
        <f t="shared" si="158"/>
        <v>13393.606421035453</v>
      </c>
      <c r="AD230" s="109">
        <f t="shared" si="158"/>
        <v>13393.606421035453</v>
      </c>
      <c r="AE230" s="109">
        <f t="shared" si="158"/>
        <v>13393.606421035453</v>
      </c>
      <c r="AF230" s="109">
        <f t="shared" si="158"/>
        <v>13393.606421035453</v>
      </c>
      <c r="AG230" s="109">
        <f t="shared" si="158"/>
        <v>13393.606421035453</v>
      </c>
      <c r="AH230" s="109">
        <f t="shared" si="158"/>
        <v>13393.606421035453</v>
      </c>
      <c r="AI230" s="109">
        <f t="shared" si="158"/>
        <v>13393.606421035453</v>
      </c>
      <c r="AJ230" s="109">
        <f t="shared" si="158"/>
        <v>13393.606421035453</v>
      </c>
      <c r="AK230" s="109">
        <f t="shared" si="158"/>
        <v>13393.606421035453</v>
      </c>
      <c r="AL230" s="109">
        <f t="shared" si="158"/>
        <v>13393.606421035453</v>
      </c>
      <c r="AM230" s="109">
        <f t="shared" si="158"/>
        <v>13393.606421035453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159">O220</f>
        <v>49605.949707538653</v>
      </c>
      <c r="P231" s="107">
        <f t="shared" si="159"/>
        <v>148817.84912261614</v>
      </c>
      <c r="Q231" s="107">
        <f t="shared" si="159"/>
        <v>148817.84912261614</v>
      </c>
      <c r="R231" s="107">
        <f t="shared" si="159"/>
        <v>148817.84912261614</v>
      </c>
      <c r="S231" s="107">
        <f t="shared" si="159"/>
        <v>148817.84912261614</v>
      </c>
      <c r="T231" s="107">
        <f t="shared" si="159"/>
        <v>148817.84912261614</v>
      </c>
      <c r="U231" s="107">
        <f t="shared" si="159"/>
        <v>148817.84912261614</v>
      </c>
      <c r="V231" s="107">
        <f t="shared" si="159"/>
        <v>148817.84912261614</v>
      </c>
      <c r="W231" s="107">
        <f t="shared" si="159"/>
        <v>148817.84912261614</v>
      </c>
      <c r="X231" s="107">
        <f t="shared" si="159"/>
        <v>148817.84912261614</v>
      </c>
      <c r="Y231" s="107">
        <f t="shared" si="159"/>
        <v>148817.84912261614</v>
      </c>
      <c r="Z231" s="107">
        <f t="shared" si="159"/>
        <v>148817.84912261614</v>
      </c>
      <c r="AA231" s="107">
        <f t="shared" si="159"/>
        <v>148817.84912261614</v>
      </c>
      <c r="AB231" s="107">
        <f t="shared" si="159"/>
        <v>148817.84912261614</v>
      </c>
      <c r="AC231" s="107">
        <f t="shared" si="159"/>
        <v>148817.84912261614</v>
      </c>
      <c r="AD231" s="107">
        <f t="shared" si="159"/>
        <v>148817.84912261614</v>
      </c>
      <c r="AE231" s="107">
        <f t="shared" si="159"/>
        <v>148817.84912261614</v>
      </c>
      <c r="AF231" s="107">
        <f t="shared" si="159"/>
        <v>148817.84912261614</v>
      </c>
      <c r="AG231" s="107">
        <f t="shared" si="159"/>
        <v>148817.84912261614</v>
      </c>
      <c r="AH231" s="107">
        <f t="shared" si="159"/>
        <v>148817.84912261614</v>
      </c>
      <c r="AI231" s="107">
        <f t="shared" si="159"/>
        <v>148817.84912261614</v>
      </c>
      <c r="AJ231" s="107">
        <f t="shared" si="159"/>
        <v>148817.84912261614</v>
      </c>
      <c r="AK231" s="107">
        <f t="shared" si="159"/>
        <v>148817.84912261614</v>
      </c>
      <c r="AL231" s="107">
        <f t="shared" si="159"/>
        <v>148817.84912261614</v>
      </c>
      <c r="AM231" s="107">
        <f t="shared" si="159"/>
        <v>148817.84912261614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160">$I232</f>
        <v>0</v>
      </c>
      <c r="P232" s="107">
        <f t="shared" si="160"/>
        <v>0</v>
      </c>
      <c r="Q232" s="107">
        <f t="shared" si="160"/>
        <v>0</v>
      </c>
      <c r="R232" s="107">
        <f t="shared" si="160"/>
        <v>0</v>
      </c>
      <c r="S232" s="107">
        <f t="shared" si="160"/>
        <v>0</v>
      </c>
      <c r="T232" s="107">
        <f t="shared" si="160"/>
        <v>0</v>
      </c>
      <c r="U232" s="107">
        <f t="shared" si="160"/>
        <v>0</v>
      </c>
      <c r="V232" s="107">
        <f t="shared" si="160"/>
        <v>0</v>
      </c>
      <c r="W232" s="107">
        <f t="shared" si="160"/>
        <v>0</v>
      </c>
      <c r="X232" s="107">
        <f t="shared" si="160"/>
        <v>0</v>
      </c>
      <c r="Y232" s="107">
        <f t="shared" si="160"/>
        <v>0</v>
      </c>
      <c r="Z232" s="107">
        <f t="shared" si="160"/>
        <v>0</v>
      </c>
      <c r="AA232" s="107">
        <f t="shared" si="160"/>
        <v>0</v>
      </c>
      <c r="AB232" s="107">
        <f t="shared" si="160"/>
        <v>0</v>
      </c>
      <c r="AC232" s="107">
        <f t="shared" si="160"/>
        <v>0</v>
      </c>
      <c r="AD232" s="107">
        <f t="shared" si="160"/>
        <v>0</v>
      </c>
      <c r="AE232" s="107">
        <f t="shared" si="160"/>
        <v>0</v>
      </c>
      <c r="AF232" s="107">
        <f t="shared" si="160"/>
        <v>0</v>
      </c>
      <c r="AG232" s="107">
        <f t="shared" si="160"/>
        <v>0</v>
      </c>
      <c r="AH232" s="107">
        <f t="shared" si="160"/>
        <v>0</v>
      </c>
      <c r="AI232" s="107">
        <f t="shared" si="160"/>
        <v>0</v>
      </c>
      <c r="AJ232" s="107">
        <f t="shared" si="160"/>
        <v>0</v>
      </c>
      <c r="AK232" s="107">
        <f t="shared" si="160"/>
        <v>0</v>
      </c>
      <c r="AL232" s="107">
        <f t="shared" si="160"/>
        <v>0</v>
      </c>
      <c r="AM232" s="107">
        <f t="shared" si="160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28334.333057335105</v>
      </c>
      <c r="P234" s="329">
        <f t="shared" ref="P234:AM234" si="161">P236+P247+P251+P255</f>
        <v>119416.77249737976</v>
      </c>
      <c r="Q234" s="329">
        <f t="shared" si="161"/>
        <v>117046.97048266293</v>
      </c>
      <c r="R234" s="329">
        <f t="shared" si="161"/>
        <v>119423.1606198173</v>
      </c>
      <c r="S234" s="329">
        <f t="shared" si="161"/>
        <v>119371.73315485046</v>
      </c>
      <c r="T234" s="329">
        <f t="shared" si="161"/>
        <v>117111.17419250483</v>
      </c>
      <c r="U234" s="329">
        <f t="shared" si="161"/>
        <v>119378.12127728802</v>
      </c>
      <c r="V234" s="329">
        <f t="shared" si="161"/>
        <v>117117.56231494236</v>
      </c>
      <c r="W234" s="329">
        <f t="shared" si="161"/>
        <v>119384.50939972556</v>
      </c>
      <c r="X234" s="329">
        <f t="shared" si="161"/>
        <v>119442.32498712989</v>
      </c>
      <c r="Y234" s="329">
        <f t="shared" si="161"/>
        <v>117072.52297241306</v>
      </c>
      <c r="Z234" s="329">
        <f t="shared" si="161"/>
        <v>119448.71310956741</v>
      </c>
      <c r="AA234" s="329">
        <f t="shared" si="161"/>
        <v>117078.9110948506</v>
      </c>
      <c r="AB234" s="329">
        <f t="shared" si="161"/>
        <v>119455.10123200496</v>
      </c>
      <c r="AC234" s="329">
        <f t="shared" si="161"/>
        <v>119403.67376703814</v>
      </c>
      <c r="AD234" s="329">
        <f t="shared" si="161"/>
        <v>117143.11480469248</v>
      </c>
      <c r="AE234" s="329">
        <f t="shared" si="161"/>
        <v>119410.06188947565</v>
      </c>
      <c r="AF234" s="329">
        <f t="shared" si="161"/>
        <v>117149.50292713002</v>
      </c>
      <c r="AG234" s="329">
        <f t="shared" si="161"/>
        <v>119416.45001191321</v>
      </c>
      <c r="AH234" s="329">
        <f t="shared" si="161"/>
        <v>119474.26559931756</v>
      </c>
      <c r="AI234" s="329">
        <f t="shared" si="161"/>
        <v>117104.46358460071</v>
      </c>
      <c r="AJ234" s="329">
        <f t="shared" si="161"/>
        <v>119480.65372175508</v>
      </c>
      <c r="AK234" s="329">
        <f t="shared" si="161"/>
        <v>117110.85170703827</v>
      </c>
      <c r="AL234" s="329">
        <f t="shared" si="161"/>
        <v>119487.04184419263</v>
      </c>
      <c r="AM234" s="329">
        <f t="shared" si="161"/>
        <v>122415.11330451588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f t="shared" ref="O236:AM236" si="162">$I236*(O237+O238)</f>
        <v>4899.0236659207285</v>
      </c>
      <c r="P236" s="109">
        <f t="shared" si="162"/>
        <v>28214.231544498023</v>
      </c>
      <c r="Q236" s="109">
        <f t="shared" si="162"/>
        <v>27719.404855533161</v>
      </c>
      <c r="R236" s="109">
        <f t="shared" si="162"/>
        <v>28223.910517888227</v>
      </c>
      <c r="S236" s="109">
        <f t="shared" si="162"/>
        <v>28145.99011642336</v>
      </c>
      <c r="T236" s="109">
        <f t="shared" si="162"/>
        <v>27816.68320377843</v>
      </c>
      <c r="U236" s="109">
        <f t="shared" si="162"/>
        <v>28155.669089813564</v>
      </c>
      <c r="V236" s="109">
        <f t="shared" si="162"/>
        <v>27826.36217716863</v>
      </c>
      <c r="W236" s="109">
        <f t="shared" si="162"/>
        <v>28165.348063203764</v>
      </c>
      <c r="X236" s="109">
        <f t="shared" si="162"/>
        <v>28252.947438058829</v>
      </c>
      <c r="Y236" s="109">
        <f t="shared" si="162"/>
        <v>27758.120749093963</v>
      </c>
      <c r="Z236" s="109">
        <f t="shared" si="162"/>
        <v>28262.62641144903</v>
      </c>
      <c r="AA236" s="109">
        <f t="shared" si="162"/>
        <v>27767.799722484167</v>
      </c>
      <c r="AB236" s="109">
        <f t="shared" si="162"/>
        <v>28272.305384839234</v>
      </c>
      <c r="AC236" s="109">
        <f t="shared" si="162"/>
        <v>28194.38498337437</v>
      </c>
      <c r="AD236" s="109">
        <f t="shared" si="162"/>
        <v>27865.078070729436</v>
      </c>
      <c r="AE236" s="109">
        <f t="shared" si="162"/>
        <v>28204.063956764567</v>
      </c>
      <c r="AF236" s="109">
        <f t="shared" si="162"/>
        <v>27874.757044119633</v>
      </c>
      <c r="AG236" s="109">
        <f t="shared" si="162"/>
        <v>28213.742930154771</v>
      </c>
      <c r="AH236" s="109">
        <f t="shared" si="162"/>
        <v>28301.342305009835</v>
      </c>
      <c r="AI236" s="109">
        <f t="shared" si="162"/>
        <v>27806.51561604497</v>
      </c>
      <c r="AJ236" s="109">
        <f t="shared" si="162"/>
        <v>28311.02127840004</v>
      </c>
      <c r="AK236" s="109">
        <f t="shared" si="162"/>
        <v>27816.194589435174</v>
      </c>
      <c r="AL236" s="109">
        <f t="shared" si="162"/>
        <v>28320.700251790244</v>
      </c>
      <c r="AM236" s="109">
        <f t="shared" si="162"/>
        <v>29248.406851961678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f t="shared" ref="O237:AM237" si="163">O122*$I237</f>
        <v>155018.59283605829</v>
      </c>
      <c r="P237" s="107">
        <f t="shared" si="163"/>
        <v>465055.7785081754</v>
      </c>
      <c r="Q237" s="107">
        <f t="shared" si="163"/>
        <v>465055.7785081754</v>
      </c>
      <c r="R237" s="107">
        <f t="shared" si="163"/>
        <v>465055.7785081754</v>
      </c>
      <c r="S237" s="107">
        <f t="shared" si="163"/>
        <v>465055.7785081754</v>
      </c>
      <c r="T237" s="107">
        <f t="shared" si="163"/>
        <v>465055.7785081754</v>
      </c>
      <c r="U237" s="107">
        <f t="shared" si="163"/>
        <v>465055.7785081754</v>
      </c>
      <c r="V237" s="107">
        <f t="shared" si="163"/>
        <v>465055.7785081754</v>
      </c>
      <c r="W237" s="107">
        <f t="shared" si="163"/>
        <v>465055.7785081754</v>
      </c>
      <c r="X237" s="107">
        <f t="shared" si="163"/>
        <v>465055.7785081754</v>
      </c>
      <c r="Y237" s="107">
        <f t="shared" si="163"/>
        <v>465055.7785081754</v>
      </c>
      <c r="Z237" s="107">
        <f t="shared" si="163"/>
        <v>465055.7785081754</v>
      </c>
      <c r="AA237" s="107">
        <f t="shared" si="163"/>
        <v>465055.7785081754</v>
      </c>
      <c r="AB237" s="107">
        <f t="shared" si="163"/>
        <v>465055.7785081754</v>
      </c>
      <c r="AC237" s="107">
        <f t="shared" si="163"/>
        <v>465055.7785081754</v>
      </c>
      <c r="AD237" s="107">
        <f t="shared" si="163"/>
        <v>465055.7785081754</v>
      </c>
      <c r="AE237" s="107">
        <f t="shared" si="163"/>
        <v>465055.7785081754</v>
      </c>
      <c r="AF237" s="107">
        <f t="shared" si="163"/>
        <v>465055.7785081754</v>
      </c>
      <c r="AG237" s="107">
        <f t="shared" si="163"/>
        <v>465055.7785081754</v>
      </c>
      <c r="AH237" s="107">
        <f t="shared" si="163"/>
        <v>465055.7785081754</v>
      </c>
      <c r="AI237" s="107">
        <f t="shared" si="163"/>
        <v>465055.7785081754</v>
      </c>
      <c r="AJ237" s="107">
        <f t="shared" si="163"/>
        <v>465055.7785081754</v>
      </c>
      <c r="AK237" s="107">
        <f t="shared" si="163"/>
        <v>465055.7785081754</v>
      </c>
      <c r="AL237" s="107">
        <f t="shared" si="163"/>
        <v>465055.7785081754</v>
      </c>
      <c r="AM237" s="107">
        <f t="shared" si="163"/>
        <v>465055.7785081754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f t="shared" ref="O238:AM238" si="164">$I$238*O106</f>
        <v>-102056.17482610447</v>
      </c>
      <c r="P238" s="107">
        <f t="shared" si="164"/>
        <v>-160037.05910819676</v>
      </c>
      <c r="Q238" s="107">
        <f t="shared" si="164"/>
        <v>-165386.53682673586</v>
      </c>
      <c r="R238" s="107">
        <f t="shared" si="164"/>
        <v>-159932.42155803239</v>
      </c>
      <c r="S238" s="107">
        <f t="shared" si="164"/>
        <v>-160774.80427657149</v>
      </c>
      <c r="T238" s="107">
        <f t="shared" si="164"/>
        <v>-164334.87900786806</v>
      </c>
      <c r="U238" s="107">
        <f t="shared" si="164"/>
        <v>-160670.16672640716</v>
      </c>
      <c r="V238" s="107">
        <f t="shared" si="164"/>
        <v>-164230.2414577037</v>
      </c>
      <c r="W238" s="107">
        <f t="shared" si="164"/>
        <v>-160565.52917624282</v>
      </c>
      <c r="X238" s="107">
        <f t="shared" si="164"/>
        <v>-159618.50890753942</v>
      </c>
      <c r="Y238" s="107">
        <f t="shared" si="164"/>
        <v>-164967.98662607849</v>
      </c>
      <c r="Z238" s="107">
        <f t="shared" si="164"/>
        <v>-159513.87135737506</v>
      </c>
      <c r="AA238" s="107">
        <f t="shared" si="164"/>
        <v>-164863.34907591413</v>
      </c>
      <c r="AB238" s="107">
        <f t="shared" si="164"/>
        <v>-159409.23380721072</v>
      </c>
      <c r="AC238" s="107">
        <f t="shared" si="164"/>
        <v>-160251.61652574979</v>
      </c>
      <c r="AD238" s="107">
        <f t="shared" si="164"/>
        <v>-163811.69125704636</v>
      </c>
      <c r="AE238" s="107">
        <f t="shared" si="164"/>
        <v>-160146.97897558549</v>
      </c>
      <c r="AF238" s="107">
        <f t="shared" si="164"/>
        <v>-163707.05370688203</v>
      </c>
      <c r="AG238" s="107">
        <f t="shared" si="164"/>
        <v>-160042.34142542112</v>
      </c>
      <c r="AH238" s="107">
        <f t="shared" si="164"/>
        <v>-159095.32115671772</v>
      </c>
      <c r="AI238" s="107">
        <f t="shared" si="164"/>
        <v>-164444.79887525679</v>
      </c>
      <c r="AJ238" s="107">
        <f t="shared" si="164"/>
        <v>-158990.68360655336</v>
      </c>
      <c r="AK238" s="107">
        <f t="shared" si="164"/>
        <v>-164340.16132509243</v>
      </c>
      <c r="AL238" s="107">
        <f t="shared" si="164"/>
        <v>-158886.04605638902</v>
      </c>
      <c r="AM238" s="107">
        <f t="shared" si="164"/>
        <v>-148856.78551399507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165">N243</f>
        <v>0</v>
      </c>
      <c r="P240" s="109">
        <f t="shared" si="165"/>
        <v>102056.17482610447</v>
      </c>
      <c r="Q240" s="109">
        <f t="shared" si="165"/>
        <v>204272.14645478682</v>
      </c>
      <c r="R240" s="109">
        <f t="shared" si="165"/>
        <v>311342.76911304344</v>
      </c>
      <c r="S240" s="109">
        <f t="shared" si="165"/>
        <v>413463.78216495161</v>
      </c>
      <c r="T240" s="109">
        <f t="shared" si="165"/>
        <v>516349.25753393408</v>
      </c>
      <c r="U240" s="109">
        <f t="shared" si="165"/>
        <v>622465.50072156824</v>
      </c>
      <c r="V240" s="109">
        <f t="shared" si="165"/>
        <v>725256.01751377643</v>
      </c>
      <c r="W240" s="109">
        <f t="shared" si="165"/>
        <v>831277.30212463636</v>
      </c>
      <c r="X240" s="109">
        <f t="shared" si="165"/>
        <v>933972.86034007045</v>
      </c>
      <c r="Y240" s="109">
        <f t="shared" si="165"/>
        <v>1035808.9976616561</v>
      </c>
      <c r="Z240" s="109">
        <f t="shared" si="165"/>
        <v>1142499.7860128162</v>
      </c>
      <c r="AA240" s="109">
        <f t="shared" si="165"/>
        <v>1244240.9647576278</v>
      </c>
      <c r="AB240" s="109">
        <f t="shared" si="165"/>
        <v>1350836.7945320136</v>
      </c>
      <c r="AC240" s="109">
        <f t="shared" si="165"/>
        <v>1452483.0147000512</v>
      </c>
      <c r="AD240" s="109">
        <f t="shared" si="165"/>
        <v>1554893.6971851629</v>
      </c>
      <c r="AE240" s="109">
        <f t="shared" si="165"/>
        <v>1660535.1474889263</v>
      </c>
      <c r="AF240" s="109">
        <f t="shared" si="165"/>
        <v>1762850.8713972638</v>
      </c>
      <c r="AG240" s="109">
        <f t="shared" si="165"/>
        <v>1868397.363124253</v>
      </c>
      <c r="AH240" s="109">
        <f t="shared" si="165"/>
        <v>1970618.1284558165</v>
      </c>
      <c r="AI240" s="109">
        <f t="shared" si="165"/>
        <v>2071979.4728935314</v>
      </c>
      <c r="AJ240" s="109">
        <f t="shared" si="165"/>
        <v>2178195.4683608208</v>
      </c>
      <c r="AK240" s="109">
        <f t="shared" si="165"/>
        <v>2279461.8542217617</v>
      </c>
      <c r="AL240" s="109">
        <f t="shared" si="165"/>
        <v>2385582.8911122768</v>
      </c>
      <c r="AM240" s="109">
        <f t="shared" si="165"/>
        <v>2486754.3183964435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102056.17482610447</v>
      </c>
      <c r="P241" s="107">
        <f t="shared" ref="P241:AM241" si="166">MAX(-P238,0)</f>
        <v>160037.05910819676</v>
      </c>
      <c r="Q241" s="107">
        <f t="shared" si="166"/>
        <v>165386.53682673586</v>
      </c>
      <c r="R241" s="107">
        <f t="shared" si="166"/>
        <v>159932.42155803239</v>
      </c>
      <c r="S241" s="107">
        <f t="shared" si="166"/>
        <v>160774.80427657149</v>
      </c>
      <c r="T241" s="107">
        <f t="shared" si="166"/>
        <v>164334.87900786806</v>
      </c>
      <c r="U241" s="107">
        <f t="shared" si="166"/>
        <v>160670.16672640716</v>
      </c>
      <c r="V241" s="107">
        <f t="shared" si="166"/>
        <v>164230.2414577037</v>
      </c>
      <c r="W241" s="107">
        <f t="shared" si="166"/>
        <v>160565.52917624282</v>
      </c>
      <c r="X241" s="107">
        <f t="shared" si="166"/>
        <v>159618.50890753942</v>
      </c>
      <c r="Y241" s="107">
        <f t="shared" si="166"/>
        <v>164967.98662607849</v>
      </c>
      <c r="Z241" s="107">
        <f t="shared" si="166"/>
        <v>159513.87135737506</v>
      </c>
      <c r="AA241" s="107">
        <f t="shared" si="166"/>
        <v>164863.34907591413</v>
      </c>
      <c r="AB241" s="107">
        <f t="shared" si="166"/>
        <v>159409.23380721072</v>
      </c>
      <c r="AC241" s="107">
        <f t="shared" si="166"/>
        <v>160251.61652574979</v>
      </c>
      <c r="AD241" s="107">
        <f t="shared" si="166"/>
        <v>163811.69125704636</v>
      </c>
      <c r="AE241" s="107">
        <f t="shared" si="166"/>
        <v>160146.97897558549</v>
      </c>
      <c r="AF241" s="107">
        <f t="shared" si="166"/>
        <v>163707.05370688203</v>
      </c>
      <c r="AG241" s="107">
        <f t="shared" si="166"/>
        <v>160042.34142542112</v>
      </c>
      <c r="AH241" s="107">
        <f t="shared" si="166"/>
        <v>159095.32115671772</v>
      </c>
      <c r="AI241" s="107">
        <f t="shared" si="166"/>
        <v>164444.79887525679</v>
      </c>
      <c r="AJ241" s="107">
        <f t="shared" si="166"/>
        <v>158990.68360655336</v>
      </c>
      <c r="AK241" s="107">
        <f t="shared" si="166"/>
        <v>164340.16132509243</v>
      </c>
      <c r="AL241" s="107">
        <f t="shared" si="166"/>
        <v>158886.04605638902</v>
      </c>
      <c r="AM241" s="107">
        <f t="shared" si="166"/>
        <v>148856.78551399507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167">-MAX(0,MIN(P240,$I$242*(P237-P238)))</f>
        <v>-57821.087479514426</v>
      </c>
      <c r="Q242" s="107">
        <f t="shared" si="167"/>
        <v>-58315.914168479285</v>
      </c>
      <c r="R242" s="107">
        <f t="shared" si="167"/>
        <v>-57811.408506124222</v>
      </c>
      <c r="S242" s="107">
        <f t="shared" si="167"/>
        <v>-57889.328907589086</v>
      </c>
      <c r="T242" s="107">
        <f t="shared" si="167"/>
        <v>-58218.635820234012</v>
      </c>
      <c r="U242" s="107">
        <f t="shared" si="167"/>
        <v>-57879.649934198882</v>
      </c>
      <c r="V242" s="107">
        <f t="shared" si="167"/>
        <v>-58208.956846843823</v>
      </c>
      <c r="W242" s="107">
        <f t="shared" si="167"/>
        <v>-57869.970960808692</v>
      </c>
      <c r="X242" s="107">
        <f t="shared" si="167"/>
        <v>-57782.371585953617</v>
      </c>
      <c r="Y242" s="107">
        <f t="shared" si="167"/>
        <v>-58277.198274918483</v>
      </c>
      <c r="Z242" s="107">
        <f t="shared" si="167"/>
        <v>-57772.69261256342</v>
      </c>
      <c r="AA242" s="107">
        <f t="shared" si="167"/>
        <v>-58267.519301528278</v>
      </c>
      <c r="AB242" s="107">
        <f t="shared" si="167"/>
        <v>-57763.013639173216</v>
      </c>
      <c r="AC242" s="107">
        <f t="shared" si="167"/>
        <v>-57840.93404063808</v>
      </c>
      <c r="AD242" s="107">
        <f t="shared" si="167"/>
        <v>-58170.240953283006</v>
      </c>
      <c r="AE242" s="107">
        <f t="shared" si="167"/>
        <v>-57831.255067247876</v>
      </c>
      <c r="AF242" s="107">
        <f t="shared" si="167"/>
        <v>-58160.561979892816</v>
      </c>
      <c r="AG242" s="107">
        <f t="shared" si="167"/>
        <v>-57821.576093857686</v>
      </c>
      <c r="AH242" s="107">
        <f t="shared" si="167"/>
        <v>-57733.97671900261</v>
      </c>
      <c r="AI242" s="107">
        <f t="shared" si="167"/>
        <v>-58228.803407967476</v>
      </c>
      <c r="AJ242" s="107">
        <f t="shared" si="167"/>
        <v>-57724.297745612406</v>
      </c>
      <c r="AK242" s="107">
        <f t="shared" si="167"/>
        <v>-58219.124434577272</v>
      </c>
      <c r="AL242" s="107">
        <f t="shared" si="167"/>
        <v>-57714.618772222202</v>
      </c>
      <c r="AM242" s="107">
        <f t="shared" si="167"/>
        <v>-56786.912172050768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168">SUM(O240:O242)</f>
        <v>102056.17482610447</v>
      </c>
      <c r="P243" s="109">
        <f t="shared" si="168"/>
        <v>204272.14645478682</v>
      </c>
      <c r="Q243" s="109">
        <f t="shared" si="168"/>
        <v>311342.76911304344</v>
      </c>
      <c r="R243" s="109">
        <f t="shared" si="168"/>
        <v>413463.78216495161</v>
      </c>
      <c r="S243" s="109">
        <f t="shared" si="168"/>
        <v>516349.25753393408</v>
      </c>
      <c r="T243" s="109">
        <f t="shared" si="168"/>
        <v>622465.50072156824</v>
      </c>
      <c r="U243" s="109">
        <f t="shared" si="168"/>
        <v>725256.01751377643</v>
      </c>
      <c r="V243" s="109">
        <f t="shared" si="168"/>
        <v>831277.30212463636</v>
      </c>
      <c r="W243" s="109">
        <f t="shared" si="168"/>
        <v>933972.86034007045</v>
      </c>
      <c r="X243" s="109">
        <f t="shared" si="168"/>
        <v>1035808.9976616561</v>
      </c>
      <c r="Y243" s="109">
        <f t="shared" si="168"/>
        <v>1142499.7860128162</v>
      </c>
      <c r="Z243" s="109">
        <f t="shared" si="168"/>
        <v>1244240.9647576278</v>
      </c>
      <c r="AA243" s="109">
        <f t="shared" si="168"/>
        <v>1350836.7945320136</v>
      </c>
      <c r="AB243" s="109">
        <f t="shared" si="168"/>
        <v>1452483.0147000512</v>
      </c>
      <c r="AC243" s="109">
        <f t="shared" si="168"/>
        <v>1554893.6971851629</v>
      </c>
      <c r="AD243" s="109">
        <f t="shared" si="168"/>
        <v>1660535.1474889263</v>
      </c>
      <c r="AE243" s="109">
        <f t="shared" si="168"/>
        <v>1762850.8713972638</v>
      </c>
      <c r="AF243" s="109">
        <f t="shared" si="168"/>
        <v>1868397.363124253</v>
      </c>
      <c r="AG243" s="109">
        <f t="shared" si="168"/>
        <v>1970618.1284558165</v>
      </c>
      <c r="AH243" s="109">
        <f t="shared" si="168"/>
        <v>2071979.4728935314</v>
      </c>
      <c r="AI243" s="109">
        <f t="shared" si="168"/>
        <v>2178195.4683608208</v>
      </c>
      <c r="AJ243" s="109">
        <f t="shared" si="168"/>
        <v>2279461.8542217617</v>
      </c>
      <c r="AK243" s="109">
        <f t="shared" si="168"/>
        <v>2385582.8911122768</v>
      </c>
      <c r="AL243" s="109">
        <f t="shared" si="168"/>
        <v>2486754.3183964435</v>
      </c>
      <c r="AM243" s="109">
        <f t="shared" si="168"/>
        <v>2578824.191738388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169">SUM(O245:AV245)</f>
        <v>8184721.1323018447</v>
      </c>
      <c r="M245" s="1"/>
      <c r="N245" s="1"/>
      <c r="O245" s="328">
        <f t="shared" ref="O245:AM245" si="170">O75-O14-O236-O110</f>
        <v>97647.122464226573</v>
      </c>
      <c r="P245" s="328">
        <f t="shared" si="170"/>
        <v>338831.00280259334</v>
      </c>
      <c r="Q245" s="328">
        <f t="shared" si="170"/>
        <v>333316.36949155817</v>
      </c>
      <c r="R245" s="328">
        <f t="shared" si="170"/>
        <v>338821.32382920315</v>
      </c>
      <c r="S245" s="328">
        <f t="shared" si="170"/>
        <v>338899.244230668</v>
      </c>
      <c r="T245" s="328">
        <f t="shared" si="170"/>
        <v>333219.09114331292</v>
      </c>
      <c r="U245" s="328">
        <f t="shared" si="170"/>
        <v>338889.56525727781</v>
      </c>
      <c r="V245" s="328">
        <f t="shared" si="170"/>
        <v>333209.41216992273</v>
      </c>
      <c r="W245" s="328">
        <f t="shared" si="170"/>
        <v>338879.88628388761</v>
      </c>
      <c r="X245" s="328">
        <f t="shared" si="170"/>
        <v>338792.2869090325</v>
      </c>
      <c r="Y245" s="328">
        <f t="shared" si="170"/>
        <v>333277.65359799739</v>
      </c>
      <c r="Z245" s="328">
        <f t="shared" si="170"/>
        <v>338782.6079356423</v>
      </c>
      <c r="AA245" s="328">
        <f t="shared" si="170"/>
        <v>333267.97462460713</v>
      </c>
      <c r="AB245" s="328">
        <f t="shared" si="170"/>
        <v>338772.9289622521</v>
      </c>
      <c r="AC245" s="328">
        <f t="shared" si="170"/>
        <v>338850.84936371696</v>
      </c>
      <c r="AD245" s="328">
        <f t="shared" si="170"/>
        <v>333170.69627636188</v>
      </c>
      <c r="AE245" s="328">
        <f t="shared" si="170"/>
        <v>338841.17039032676</v>
      </c>
      <c r="AF245" s="328">
        <f t="shared" si="170"/>
        <v>333161.01730297168</v>
      </c>
      <c r="AG245" s="328">
        <f t="shared" si="170"/>
        <v>338831.49141693657</v>
      </c>
      <c r="AH245" s="328">
        <f t="shared" si="170"/>
        <v>338743.89204208151</v>
      </c>
      <c r="AI245" s="328">
        <f t="shared" si="170"/>
        <v>333229.25873104634</v>
      </c>
      <c r="AJ245" s="328">
        <f t="shared" si="170"/>
        <v>338734.21306869132</v>
      </c>
      <c r="AK245" s="328">
        <f t="shared" si="170"/>
        <v>333219.57975765615</v>
      </c>
      <c r="AL245" s="328">
        <f t="shared" si="170"/>
        <v>338724.53409530112</v>
      </c>
      <c r="AM245" s="328">
        <f t="shared" si="170"/>
        <v>344607.96015457116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f>$I247*(O248-O249)</f>
        <v>14647.068369633986</v>
      </c>
      <c r="P247" s="109">
        <f t="shared" ref="P247:AM247" si="171">$I247*(P248-P249)</f>
        <v>50824.650420389</v>
      </c>
      <c r="Q247" s="109">
        <f t="shared" si="171"/>
        <v>49997.455423733722</v>
      </c>
      <c r="R247" s="109">
        <f t="shared" si="171"/>
        <v>50823.198574380469</v>
      </c>
      <c r="S247" s="109">
        <f t="shared" si="171"/>
        <v>50834.886634600196</v>
      </c>
      <c r="T247" s="109">
        <f t="shared" si="171"/>
        <v>49982.86367149694</v>
      </c>
      <c r="U247" s="109">
        <f t="shared" si="171"/>
        <v>50833.434788591672</v>
      </c>
      <c r="V247" s="109">
        <f t="shared" si="171"/>
        <v>49981.411825488409</v>
      </c>
      <c r="W247" s="109">
        <f t="shared" si="171"/>
        <v>50831.982942583141</v>
      </c>
      <c r="X247" s="109">
        <f t="shared" si="171"/>
        <v>50818.843036354876</v>
      </c>
      <c r="Y247" s="109">
        <f t="shared" si="171"/>
        <v>49991.648039699605</v>
      </c>
      <c r="Z247" s="109">
        <f t="shared" si="171"/>
        <v>50817.391190346345</v>
      </c>
      <c r="AA247" s="109">
        <f t="shared" si="171"/>
        <v>49990.196193691067</v>
      </c>
      <c r="AB247" s="109">
        <f t="shared" si="171"/>
        <v>50815.939344337814</v>
      </c>
      <c r="AC247" s="109">
        <f t="shared" si="171"/>
        <v>50827.627404557541</v>
      </c>
      <c r="AD247" s="109">
        <f t="shared" si="171"/>
        <v>49975.604441454278</v>
      </c>
      <c r="AE247" s="109">
        <f t="shared" si="171"/>
        <v>50826.17555854901</v>
      </c>
      <c r="AF247" s="109">
        <f t="shared" si="171"/>
        <v>49974.152595445754</v>
      </c>
      <c r="AG247" s="109">
        <f t="shared" si="171"/>
        <v>50824.723712540486</v>
      </c>
      <c r="AH247" s="109">
        <f t="shared" si="171"/>
        <v>50811.583806312228</v>
      </c>
      <c r="AI247" s="109">
        <f t="shared" si="171"/>
        <v>49984.38880965695</v>
      </c>
      <c r="AJ247" s="109">
        <f t="shared" si="171"/>
        <v>50810.131960303697</v>
      </c>
      <c r="AK247" s="109">
        <f t="shared" si="171"/>
        <v>49982.936963648419</v>
      </c>
      <c r="AL247" s="109">
        <f t="shared" si="171"/>
        <v>50808.680114295166</v>
      </c>
      <c r="AM247" s="109">
        <f t="shared" si="171"/>
        <v>51691.194023185672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f>O245</f>
        <v>97647.122464226573</v>
      </c>
      <c r="P248" s="107">
        <f t="shared" ref="P248:AM248" si="172">P245</f>
        <v>338831.00280259334</v>
      </c>
      <c r="Q248" s="107">
        <f t="shared" si="172"/>
        <v>333316.36949155817</v>
      </c>
      <c r="R248" s="107">
        <f t="shared" si="172"/>
        <v>338821.32382920315</v>
      </c>
      <c r="S248" s="107">
        <f t="shared" si="172"/>
        <v>338899.244230668</v>
      </c>
      <c r="T248" s="107">
        <f t="shared" si="172"/>
        <v>333219.09114331292</v>
      </c>
      <c r="U248" s="107">
        <f t="shared" si="172"/>
        <v>338889.56525727781</v>
      </c>
      <c r="V248" s="107">
        <f t="shared" si="172"/>
        <v>333209.41216992273</v>
      </c>
      <c r="W248" s="107">
        <f t="shared" si="172"/>
        <v>338879.88628388761</v>
      </c>
      <c r="X248" s="107">
        <f t="shared" si="172"/>
        <v>338792.2869090325</v>
      </c>
      <c r="Y248" s="107">
        <f t="shared" si="172"/>
        <v>333277.65359799739</v>
      </c>
      <c r="Z248" s="107">
        <f t="shared" si="172"/>
        <v>338782.6079356423</v>
      </c>
      <c r="AA248" s="107">
        <f t="shared" si="172"/>
        <v>333267.97462460713</v>
      </c>
      <c r="AB248" s="107">
        <f t="shared" si="172"/>
        <v>338772.9289622521</v>
      </c>
      <c r="AC248" s="107">
        <f t="shared" si="172"/>
        <v>338850.84936371696</v>
      </c>
      <c r="AD248" s="107">
        <f t="shared" si="172"/>
        <v>333170.69627636188</v>
      </c>
      <c r="AE248" s="107">
        <f t="shared" si="172"/>
        <v>338841.17039032676</v>
      </c>
      <c r="AF248" s="107">
        <f t="shared" si="172"/>
        <v>333161.01730297168</v>
      </c>
      <c r="AG248" s="107">
        <f t="shared" si="172"/>
        <v>338831.49141693657</v>
      </c>
      <c r="AH248" s="107">
        <f t="shared" si="172"/>
        <v>338743.89204208151</v>
      </c>
      <c r="AI248" s="107">
        <f t="shared" si="172"/>
        <v>333229.25873104634</v>
      </c>
      <c r="AJ248" s="107">
        <f t="shared" si="172"/>
        <v>338734.21306869132</v>
      </c>
      <c r="AK248" s="107">
        <f t="shared" si="172"/>
        <v>333219.57975765615</v>
      </c>
      <c r="AL248" s="107">
        <f t="shared" si="172"/>
        <v>338724.53409530112</v>
      </c>
      <c r="AM248" s="107">
        <f t="shared" si="172"/>
        <v>344607.96015457116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f t="shared" ref="O249:AM249" si="173">$I249</f>
        <v>0</v>
      </c>
      <c r="P249" s="107">
        <f t="shared" si="173"/>
        <v>0</v>
      </c>
      <c r="Q249" s="107">
        <f t="shared" si="173"/>
        <v>0</v>
      </c>
      <c r="R249" s="107">
        <f t="shared" si="173"/>
        <v>0</v>
      </c>
      <c r="S249" s="107">
        <f t="shared" si="173"/>
        <v>0</v>
      </c>
      <c r="T249" s="107">
        <f t="shared" si="173"/>
        <v>0</v>
      </c>
      <c r="U249" s="107">
        <f t="shared" si="173"/>
        <v>0</v>
      </c>
      <c r="V249" s="107">
        <f t="shared" si="173"/>
        <v>0</v>
      </c>
      <c r="W249" s="107">
        <f t="shared" si="173"/>
        <v>0</v>
      </c>
      <c r="X249" s="107">
        <f t="shared" si="173"/>
        <v>0</v>
      </c>
      <c r="Y249" s="107">
        <f t="shared" si="173"/>
        <v>0</v>
      </c>
      <c r="Z249" s="107">
        <f t="shared" si="173"/>
        <v>0</v>
      </c>
      <c r="AA249" s="107">
        <f t="shared" si="173"/>
        <v>0</v>
      </c>
      <c r="AB249" s="107">
        <f t="shared" si="173"/>
        <v>0</v>
      </c>
      <c r="AC249" s="107">
        <f t="shared" si="173"/>
        <v>0</v>
      </c>
      <c r="AD249" s="107">
        <f t="shared" si="173"/>
        <v>0</v>
      </c>
      <c r="AE249" s="107">
        <f t="shared" si="173"/>
        <v>0</v>
      </c>
      <c r="AF249" s="107">
        <f t="shared" si="173"/>
        <v>0</v>
      </c>
      <c r="AG249" s="107">
        <f t="shared" si="173"/>
        <v>0</v>
      </c>
      <c r="AH249" s="107">
        <f t="shared" si="173"/>
        <v>0</v>
      </c>
      <c r="AI249" s="107">
        <f t="shared" si="173"/>
        <v>0</v>
      </c>
      <c r="AJ249" s="107">
        <f t="shared" si="173"/>
        <v>0</v>
      </c>
      <c r="AK249" s="107">
        <f t="shared" si="173"/>
        <v>0</v>
      </c>
      <c r="AL249" s="107">
        <f t="shared" si="173"/>
        <v>0</v>
      </c>
      <c r="AM249" s="107">
        <f t="shared" si="173"/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f t="shared" ref="O251:AM251" si="174">MAX($I251*(O252-O253),0)</f>
        <v>0</v>
      </c>
      <c r="P251" s="481">
        <f t="shared" si="174"/>
        <v>9883.1002802593357</v>
      </c>
      <c r="Q251" s="481">
        <f t="shared" si="174"/>
        <v>9331.636949155818</v>
      </c>
      <c r="R251" s="481">
        <f t="shared" si="174"/>
        <v>9882.1323829203156</v>
      </c>
      <c r="S251" s="481">
        <f t="shared" si="174"/>
        <v>9889.924423066801</v>
      </c>
      <c r="T251" s="481">
        <f t="shared" si="174"/>
        <v>9321.9091143312926</v>
      </c>
      <c r="U251" s="481">
        <f t="shared" si="174"/>
        <v>9888.9565257277809</v>
      </c>
      <c r="V251" s="481">
        <f t="shared" si="174"/>
        <v>9320.9412169922725</v>
      </c>
      <c r="W251" s="481">
        <f t="shared" si="174"/>
        <v>9887.9886283887608</v>
      </c>
      <c r="X251" s="481">
        <f t="shared" si="174"/>
        <v>9879.22869090325</v>
      </c>
      <c r="Y251" s="481">
        <f t="shared" si="174"/>
        <v>9327.7653597997396</v>
      </c>
      <c r="Z251" s="481">
        <f t="shared" si="174"/>
        <v>9878.26079356423</v>
      </c>
      <c r="AA251" s="481">
        <f t="shared" si="174"/>
        <v>9326.7974624607141</v>
      </c>
      <c r="AB251" s="481">
        <f t="shared" si="174"/>
        <v>9877.2928962252117</v>
      </c>
      <c r="AC251" s="481">
        <f t="shared" si="174"/>
        <v>9885.084936371697</v>
      </c>
      <c r="AD251" s="481">
        <f t="shared" si="174"/>
        <v>9317.0696276361887</v>
      </c>
      <c r="AE251" s="481">
        <f t="shared" si="174"/>
        <v>9884.117039032677</v>
      </c>
      <c r="AF251" s="481">
        <f t="shared" si="174"/>
        <v>9316.1017302971686</v>
      </c>
      <c r="AG251" s="481">
        <f t="shared" si="174"/>
        <v>9883.1491416936569</v>
      </c>
      <c r="AH251" s="481">
        <f t="shared" si="174"/>
        <v>9874.3892042081516</v>
      </c>
      <c r="AI251" s="481">
        <f t="shared" si="174"/>
        <v>9322.9258731046339</v>
      </c>
      <c r="AJ251" s="481">
        <f t="shared" si="174"/>
        <v>9873.4213068691315</v>
      </c>
      <c r="AK251" s="481">
        <f t="shared" si="174"/>
        <v>9321.9579757656156</v>
      </c>
      <c r="AL251" s="481">
        <f t="shared" si="174"/>
        <v>9872.4534095301133</v>
      </c>
      <c r="AM251" s="481">
        <f t="shared" si="174"/>
        <v>10460.796015457117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f>O245</f>
        <v>97647.122464226573</v>
      </c>
      <c r="P252" s="107">
        <f t="shared" ref="P252:AM252" si="175">P245</f>
        <v>338831.00280259334</v>
      </c>
      <c r="Q252" s="107">
        <f t="shared" si="175"/>
        <v>333316.36949155817</v>
      </c>
      <c r="R252" s="107">
        <f t="shared" si="175"/>
        <v>338821.32382920315</v>
      </c>
      <c r="S252" s="107">
        <f t="shared" si="175"/>
        <v>338899.244230668</v>
      </c>
      <c r="T252" s="107">
        <f t="shared" si="175"/>
        <v>333219.09114331292</v>
      </c>
      <c r="U252" s="107">
        <f t="shared" si="175"/>
        <v>338889.56525727781</v>
      </c>
      <c r="V252" s="107">
        <f t="shared" si="175"/>
        <v>333209.41216992273</v>
      </c>
      <c r="W252" s="107">
        <f t="shared" si="175"/>
        <v>338879.88628388761</v>
      </c>
      <c r="X252" s="107">
        <f t="shared" si="175"/>
        <v>338792.2869090325</v>
      </c>
      <c r="Y252" s="107">
        <f t="shared" si="175"/>
        <v>333277.65359799739</v>
      </c>
      <c r="Z252" s="107">
        <f t="shared" si="175"/>
        <v>338782.6079356423</v>
      </c>
      <c r="AA252" s="107">
        <f t="shared" si="175"/>
        <v>333267.97462460713</v>
      </c>
      <c r="AB252" s="107">
        <f t="shared" si="175"/>
        <v>338772.9289622521</v>
      </c>
      <c r="AC252" s="107">
        <f t="shared" si="175"/>
        <v>338850.84936371696</v>
      </c>
      <c r="AD252" s="107">
        <f t="shared" si="175"/>
        <v>333170.69627636188</v>
      </c>
      <c r="AE252" s="107">
        <f t="shared" si="175"/>
        <v>338841.17039032676</v>
      </c>
      <c r="AF252" s="107">
        <f t="shared" si="175"/>
        <v>333161.01730297168</v>
      </c>
      <c r="AG252" s="107">
        <f t="shared" si="175"/>
        <v>338831.49141693657</v>
      </c>
      <c r="AH252" s="107">
        <f t="shared" si="175"/>
        <v>338743.89204208151</v>
      </c>
      <c r="AI252" s="107">
        <f t="shared" si="175"/>
        <v>333229.25873104634</v>
      </c>
      <c r="AJ252" s="107">
        <f t="shared" si="175"/>
        <v>338734.21306869132</v>
      </c>
      <c r="AK252" s="107">
        <f t="shared" si="175"/>
        <v>333219.57975765615</v>
      </c>
      <c r="AL252" s="107">
        <f t="shared" si="175"/>
        <v>338724.53409530112</v>
      </c>
      <c r="AM252" s="107">
        <f t="shared" si="175"/>
        <v>344607.96015457116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f t="shared" ref="O253:AM253" si="176">$I253</f>
        <v>240000</v>
      </c>
      <c r="P253" s="107">
        <f t="shared" si="176"/>
        <v>240000</v>
      </c>
      <c r="Q253" s="107">
        <f t="shared" si="176"/>
        <v>240000</v>
      </c>
      <c r="R253" s="107">
        <f t="shared" si="176"/>
        <v>240000</v>
      </c>
      <c r="S253" s="107">
        <f t="shared" si="176"/>
        <v>240000</v>
      </c>
      <c r="T253" s="107">
        <f t="shared" si="176"/>
        <v>240000</v>
      </c>
      <c r="U253" s="107">
        <f t="shared" si="176"/>
        <v>240000</v>
      </c>
      <c r="V253" s="107">
        <f t="shared" si="176"/>
        <v>240000</v>
      </c>
      <c r="W253" s="107">
        <f t="shared" si="176"/>
        <v>240000</v>
      </c>
      <c r="X253" s="107">
        <f t="shared" si="176"/>
        <v>240000</v>
      </c>
      <c r="Y253" s="107">
        <f t="shared" si="176"/>
        <v>240000</v>
      </c>
      <c r="Z253" s="107">
        <f t="shared" si="176"/>
        <v>240000</v>
      </c>
      <c r="AA253" s="107">
        <f t="shared" si="176"/>
        <v>240000</v>
      </c>
      <c r="AB253" s="107">
        <f t="shared" si="176"/>
        <v>240000</v>
      </c>
      <c r="AC253" s="107">
        <f t="shared" si="176"/>
        <v>240000</v>
      </c>
      <c r="AD253" s="107">
        <f t="shared" si="176"/>
        <v>240000</v>
      </c>
      <c r="AE253" s="107">
        <f t="shared" si="176"/>
        <v>240000</v>
      </c>
      <c r="AF253" s="107">
        <f t="shared" si="176"/>
        <v>240000</v>
      </c>
      <c r="AG253" s="107">
        <f t="shared" si="176"/>
        <v>240000</v>
      </c>
      <c r="AH253" s="107">
        <f t="shared" si="176"/>
        <v>240000</v>
      </c>
      <c r="AI253" s="107">
        <f t="shared" si="176"/>
        <v>240000</v>
      </c>
      <c r="AJ253" s="107">
        <f t="shared" si="176"/>
        <v>240000</v>
      </c>
      <c r="AK253" s="107">
        <f t="shared" si="176"/>
        <v>240000</v>
      </c>
      <c r="AL253" s="107">
        <f t="shared" si="176"/>
        <v>240000</v>
      </c>
      <c r="AM253" s="107">
        <f t="shared" si="176"/>
        <v>240000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f>MAX($I255*(O256-O257),0)</f>
        <v>8788.2410217803917</v>
      </c>
      <c r="P255" s="109">
        <f t="shared" ref="P255:AM255" si="177">$I255*(P256-P257)</f>
        <v>30494.790252233401</v>
      </c>
      <c r="Q255" s="109">
        <f t="shared" si="177"/>
        <v>29998.473254240234</v>
      </c>
      <c r="R255" s="109">
        <f t="shared" si="177"/>
        <v>30493.919144628282</v>
      </c>
      <c r="S255" s="109">
        <f t="shared" si="177"/>
        <v>30500.93198076012</v>
      </c>
      <c r="T255" s="109">
        <f t="shared" si="177"/>
        <v>29989.718202898162</v>
      </c>
      <c r="U255" s="109">
        <f t="shared" si="177"/>
        <v>30500.060873155002</v>
      </c>
      <c r="V255" s="109">
        <f t="shared" si="177"/>
        <v>29988.847095293044</v>
      </c>
      <c r="W255" s="109">
        <f t="shared" si="177"/>
        <v>30499.189765549883</v>
      </c>
      <c r="X255" s="109">
        <f t="shared" si="177"/>
        <v>30491.305821812923</v>
      </c>
      <c r="Y255" s="109">
        <f t="shared" si="177"/>
        <v>29994.988823819764</v>
      </c>
      <c r="Z255" s="109">
        <f t="shared" si="177"/>
        <v>30490.434714207804</v>
      </c>
      <c r="AA255" s="109">
        <f t="shared" si="177"/>
        <v>29994.117716214641</v>
      </c>
      <c r="AB255" s="109">
        <f t="shared" si="177"/>
        <v>30489.563606602689</v>
      </c>
      <c r="AC255" s="109">
        <f t="shared" si="177"/>
        <v>30496.576442734524</v>
      </c>
      <c r="AD255" s="109">
        <f t="shared" si="177"/>
        <v>29985.362664872569</v>
      </c>
      <c r="AE255" s="109">
        <f t="shared" si="177"/>
        <v>30495.705335129409</v>
      </c>
      <c r="AF255" s="109">
        <f t="shared" si="177"/>
        <v>29984.491557267451</v>
      </c>
      <c r="AG255" s="109">
        <f t="shared" si="177"/>
        <v>30494.83422752429</v>
      </c>
      <c r="AH255" s="109">
        <f t="shared" si="177"/>
        <v>30486.950283787333</v>
      </c>
      <c r="AI255" s="109">
        <f t="shared" si="177"/>
        <v>29990.633285794171</v>
      </c>
      <c r="AJ255" s="109">
        <f t="shared" si="177"/>
        <v>30486.079176182218</v>
      </c>
      <c r="AK255" s="109">
        <f t="shared" si="177"/>
        <v>29989.762178189052</v>
      </c>
      <c r="AL255" s="109">
        <f t="shared" si="177"/>
        <v>30485.2080685771</v>
      </c>
      <c r="AM255" s="109">
        <f t="shared" si="177"/>
        <v>31014.716413911403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f>O245</f>
        <v>97647.122464226573</v>
      </c>
      <c r="P256" s="107">
        <f t="shared" ref="P256:AM256" si="178">P245</f>
        <v>338831.00280259334</v>
      </c>
      <c r="Q256" s="107">
        <f t="shared" si="178"/>
        <v>333316.36949155817</v>
      </c>
      <c r="R256" s="107">
        <f t="shared" si="178"/>
        <v>338821.32382920315</v>
      </c>
      <c r="S256" s="107">
        <f t="shared" si="178"/>
        <v>338899.244230668</v>
      </c>
      <c r="T256" s="107">
        <f t="shared" si="178"/>
        <v>333219.09114331292</v>
      </c>
      <c r="U256" s="107">
        <f t="shared" si="178"/>
        <v>338889.56525727781</v>
      </c>
      <c r="V256" s="107">
        <f t="shared" si="178"/>
        <v>333209.41216992273</v>
      </c>
      <c r="W256" s="107">
        <f t="shared" si="178"/>
        <v>338879.88628388761</v>
      </c>
      <c r="X256" s="107">
        <f t="shared" si="178"/>
        <v>338792.2869090325</v>
      </c>
      <c r="Y256" s="107">
        <f t="shared" si="178"/>
        <v>333277.65359799739</v>
      </c>
      <c r="Z256" s="107">
        <f t="shared" si="178"/>
        <v>338782.6079356423</v>
      </c>
      <c r="AA256" s="107">
        <f t="shared" si="178"/>
        <v>333267.97462460713</v>
      </c>
      <c r="AB256" s="107">
        <f t="shared" si="178"/>
        <v>338772.9289622521</v>
      </c>
      <c r="AC256" s="107">
        <f t="shared" si="178"/>
        <v>338850.84936371696</v>
      </c>
      <c r="AD256" s="107">
        <f t="shared" si="178"/>
        <v>333170.69627636188</v>
      </c>
      <c r="AE256" s="107">
        <f t="shared" si="178"/>
        <v>338841.17039032676</v>
      </c>
      <c r="AF256" s="107">
        <f t="shared" si="178"/>
        <v>333161.01730297168</v>
      </c>
      <c r="AG256" s="107">
        <f t="shared" si="178"/>
        <v>338831.49141693657</v>
      </c>
      <c r="AH256" s="107">
        <f t="shared" si="178"/>
        <v>338743.89204208151</v>
      </c>
      <c r="AI256" s="107">
        <f t="shared" si="178"/>
        <v>333229.25873104634</v>
      </c>
      <c r="AJ256" s="107">
        <f t="shared" si="178"/>
        <v>338734.21306869132</v>
      </c>
      <c r="AK256" s="107">
        <f t="shared" si="178"/>
        <v>333219.57975765615</v>
      </c>
      <c r="AL256" s="107">
        <f t="shared" si="178"/>
        <v>338724.53409530112</v>
      </c>
      <c r="AM256" s="107">
        <f t="shared" si="178"/>
        <v>344607.96015457116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f t="shared" ref="O257:AM257" si="179">$I257</f>
        <v>0</v>
      </c>
      <c r="P257" s="107">
        <f t="shared" si="179"/>
        <v>0</v>
      </c>
      <c r="Q257" s="107">
        <f t="shared" si="179"/>
        <v>0</v>
      </c>
      <c r="R257" s="107">
        <f t="shared" si="179"/>
        <v>0</v>
      </c>
      <c r="S257" s="107">
        <f t="shared" si="179"/>
        <v>0</v>
      </c>
      <c r="T257" s="107">
        <f t="shared" si="179"/>
        <v>0</v>
      </c>
      <c r="U257" s="107">
        <f t="shared" si="179"/>
        <v>0</v>
      </c>
      <c r="V257" s="107">
        <f t="shared" si="179"/>
        <v>0</v>
      </c>
      <c r="W257" s="107">
        <f t="shared" si="179"/>
        <v>0</v>
      </c>
      <c r="X257" s="107">
        <f t="shared" si="179"/>
        <v>0</v>
      </c>
      <c r="Y257" s="107">
        <f t="shared" si="179"/>
        <v>0</v>
      </c>
      <c r="Z257" s="107">
        <f t="shared" si="179"/>
        <v>0</v>
      </c>
      <c r="AA257" s="107">
        <f t="shared" si="179"/>
        <v>0</v>
      </c>
      <c r="AB257" s="107">
        <f t="shared" si="179"/>
        <v>0</v>
      </c>
      <c r="AC257" s="107">
        <f t="shared" si="179"/>
        <v>0</v>
      </c>
      <c r="AD257" s="107">
        <f t="shared" si="179"/>
        <v>0</v>
      </c>
      <c r="AE257" s="107">
        <f t="shared" si="179"/>
        <v>0</v>
      </c>
      <c r="AF257" s="107">
        <f t="shared" si="179"/>
        <v>0</v>
      </c>
      <c r="AG257" s="107">
        <f t="shared" si="179"/>
        <v>0</v>
      </c>
      <c r="AH257" s="107">
        <f t="shared" si="179"/>
        <v>0</v>
      </c>
      <c r="AI257" s="107">
        <f t="shared" si="179"/>
        <v>0</v>
      </c>
      <c r="AJ257" s="107">
        <f t="shared" si="179"/>
        <v>0</v>
      </c>
      <c r="AK257" s="107">
        <f t="shared" si="179"/>
        <v>0</v>
      </c>
      <c r="AL257" s="107">
        <f t="shared" si="179"/>
        <v>0</v>
      </c>
      <c r="AM257" s="107">
        <f t="shared" si="179"/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'Fluxo Rateio'!$H$33</f>
        <v>0.02</v>
      </c>
      <c r="J260" s="60"/>
      <c r="K260" s="60"/>
      <c r="L260" s="60"/>
      <c r="M260" s="1"/>
      <c r="N260" s="1"/>
      <c r="O260" s="109">
        <f t="shared" ref="O260:AM260" si="180">$I260*(O261-O262)</f>
        <v>3100.3718567211658</v>
      </c>
      <c r="P260" s="109">
        <f t="shared" si="180"/>
        <v>9301.1155701635089</v>
      </c>
      <c r="Q260" s="109">
        <f t="shared" si="180"/>
        <v>9301.1155701635089</v>
      </c>
      <c r="R260" s="109">
        <f t="shared" si="180"/>
        <v>9301.1155701635089</v>
      </c>
      <c r="S260" s="109">
        <f t="shared" si="180"/>
        <v>9301.1155701635089</v>
      </c>
      <c r="T260" s="109">
        <f t="shared" si="180"/>
        <v>9301.1155701635089</v>
      </c>
      <c r="U260" s="109">
        <f t="shared" si="180"/>
        <v>9301.1155701635089</v>
      </c>
      <c r="V260" s="109">
        <f t="shared" si="180"/>
        <v>9301.1155701635089</v>
      </c>
      <c r="W260" s="109">
        <f t="shared" si="180"/>
        <v>9301.1155701635089</v>
      </c>
      <c r="X260" s="109">
        <f t="shared" si="180"/>
        <v>9301.1155701635089</v>
      </c>
      <c r="Y260" s="109">
        <f t="shared" si="180"/>
        <v>9301.1155701635089</v>
      </c>
      <c r="Z260" s="109">
        <f t="shared" si="180"/>
        <v>9301.1155701635089</v>
      </c>
      <c r="AA260" s="109">
        <f t="shared" si="180"/>
        <v>9301.1155701635089</v>
      </c>
      <c r="AB260" s="109">
        <f t="shared" si="180"/>
        <v>9301.1155701635089</v>
      </c>
      <c r="AC260" s="109">
        <f t="shared" si="180"/>
        <v>9301.1155701635089</v>
      </c>
      <c r="AD260" s="109">
        <f t="shared" si="180"/>
        <v>9301.1155701635089</v>
      </c>
      <c r="AE260" s="109">
        <f t="shared" si="180"/>
        <v>9301.1155701635089</v>
      </c>
      <c r="AF260" s="109">
        <f t="shared" si="180"/>
        <v>9301.1155701635089</v>
      </c>
      <c r="AG260" s="109">
        <f t="shared" si="180"/>
        <v>9301.1155701635089</v>
      </c>
      <c r="AH260" s="109">
        <f t="shared" si="180"/>
        <v>9301.1155701635089</v>
      </c>
      <c r="AI260" s="109">
        <f t="shared" si="180"/>
        <v>9301.1155701635089</v>
      </c>
      <c r="AJ260" s="109">
        <f t="shared" si="180"/>
        <v>9301.1155701635089</v>
      </c>
      <c r="AK260" s="109">
        <f t="shared" si="180"/>
        <v>9301.1155701635089</v>
      </c>
      <c r="AL260" s="109">
        <f t="shared" si="180"/>
        <v>9301.1155701635089</v>
      </c>
      <c r="AM260" s="109">
        <f t="shared" si="180"/>
        <v>9301.1155701635089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f t="shared" ref="O261:AM261" si="181">O122*$I213</f>
        <v>155018.59283605829</v>
      </c>
      <c r="P261" s="107">
        <f t="shared" si="181"/>
        <v>465055.7785081754</v>
      </c>
      <c r="Q261" s="107">
        <f t="shared" si="181"/>
        <v>465055.7785081754</v>
      </c>
      <c r="R261" s="107">
        <f t="shared" si="181"/>
        <v>465055.7785081754</v>
      </c>
      <c r="S261" s="107">
        <f t="shared" si="181"/>
        <v>465055.7785081754</v>
      </c>
      <c r="T261" s="107">
        <f t="shared" si="181"/>
        <v>465055.7785081754</v>
      </c>
      <c r="U261" s="107">
        <f t="shared" si="181"/>
        <v>465055.7785081754</v>
      </c>
      <c r="V261" s="107">
        <f t="shared" si="181"/>
        <v>465055.7785081754</v>
      </c>
      <c r="W261" s="107">
        <f t="shared" si="181"/>
        <v>465055.7785081754</v>
      </c>
      <c r="X261" s="107">
        <f t="shared" si="181"/>
        <v>465055.7785081754</v>
      </c>
      <c r="Y261" s="107">
        <f t="shared" si="181"/>
        <v>465055.7785081754</v>
      </c>
      <c r="Z261" s="107">
        <f t="shared" si="181"/>
        <v>465055.7785081754</v>
      </c>
      <c r="AA261" s="107">
        <f t="shared" si="181"/>
        <v>465055.7785081754</v>
      </c>
      <c r="AB261" s="107">
        <f t="shared" si="181"/>
        <v>465055.7785081754</v>
      </c>
      <c r="AC261" s="107">
        <f t="shared" si="181"/>
        <v>465055.7785081754</v>
      </c>
      <c r="AD261" s="107">
        <f t="shared" si="181"/>
        <v>465055.7785081754</v>
      </c>
      <c r="AE261" s="107">
        <f t="shared" si="181"/>
        <v>465055.7785081754</v>
      </c>
      <c r="AF261" s="107">
        <f t="shared" si="181"/>
        <v>465055.7785081754</v>
      </c>
      <c r="AG261" s="107">
        <f t="shared" si="181"/>
        <v>465055.7785081754</v>
      </c>
      <c r="AH261" s="107">
        <f t="shared" si="181"/>
        <v>465055.7785081754</v>
      </c>
      <c r="AI261" s="107">
        <f t="shared" si="181"/>
        <v>465055.7785081754</v>
      </c>
      <c r="AJ261" s="107">
        <f t="shared" si="181"/>
        <v>465055.7785081754</v>
      </c>
      <c r="AK261" s="107">
        <f t="shared" si="181"/>
        <v>465055.7785081754</v>
      </c>
      <c r="AL261" s="107">
        <f t="shared" si="181"/>
        <v>465055.7785081754</v>
      </c>
      <c r="AM261" s="107">
        <f t="shared" si="181"/>
        <v>465055.7785081754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f t="shared" ref="O262:AM262" si="182">$I262</f>
        <v>0</v>
      </c>
      <c r="P262" s="107">
        <f t="shared" si="182"/>
        <v>0</v>
      </c>
      <c r="Q262" s="107">
        <f t="shared" si="182"/>
        <v>0</v>
      </c>
      <c r="R262" s="107">
        <f t="shared" si="182"/>
        <v>0</v>
      </c>
      <c r="S262" s="107">
        <f t="shared" si="182"/>
        <v>0</v>
      </c>
      <c r="T262" s="107">
        <f t="shared" si="182"/>
        <v>0</v>
      </c>
      <c r="U262" s="107">
        <f t="shared" si="182"/>
        <v>0</v>
      </c>
      <c r="V262" s="107">
        <f t="shared" si="182"/>
        <v>0</v>
      </c>
      <c r="W262" s="107">
        <f t="shared" si="182"/>
        <v>0</v>
      </c>
      <c r="X262" s="107">
        <f t="shared" si="182"/>
        <v>0</v>
      </c>
      <c r="Y262" s="107">
        <f t="shared" si="182"/>
        <v>0</v>
      </c>
      <c r="Z262" s="107">
        <f t="shared" si="182"/>
        <v>0</v>
      </c>
      <c r="AA262" s="107">
        <f t="shared" si="182"/>
        <v>0</v>
      </c>
      <c r="AB262" s="107">
        <f t="shared" si="182"/>
        <v>0</v>
      </c>
      <c r="AC262" s="107">
        <f t="shared" si="182"/>
        <v>0</v>
      </c>
      <c r="AD262" s="107">
        <f t="shared" si="182"/>
        <v>0</v>
      </c>
      <c r="AE262" s="107">
        <f t="shared" si="182"/>
        <v>0</v>
      </c>
      <c r="AF262" s="107">
        <f t="shared" si="182"/>
        <v>0</v>
      </c>
      <c r="AG262" s="107">
        <f t="shared" si="182"/>
        <v>0</v>
      </c>
      <c r="AH262" s="107">
        <f t="shared" si="182"/>
        <v>0</v>
      </c>
      <c r="AI262" s="107">
        <f t="shared" si="182"/>
        <v>0</v>
      </c>
      <c r="AJ262" s="107">
        <f t="shared" si="182"/>
        <v>0</v>
      </c>
      <c r="AK262" s="107">
        <f t="shared" si="182"/>
        <v>0</v>
      </c>
      <c r="AL262" s="107">
        <f t="shared" si="182"/>
        <v>0</v>
      </c>
      <c r="AM262" s="107">
        <f t="shared" si="182"/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75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21683.610119053905</v>
      </c>
      <c r="M266" s="183"/>
      <c r="N266" s="183"/>
      <c r="O266" s="445">
        <f t="shared" ref="O266:AM266" si="183">SUM(O267:O268)</f>
        <v>2430.3008888154495</v>
      </c>
      <c r="P266" s="445">
        <f t="shared" si="183"/>
        <v>1604.4424358532044</v>
      </c>
      <c r="Q266" s="445">
        <f t="shared" si="183"/>
        <v>1534.6840690769782</v>
      </c>
      <c r="R266" s="445">
        <f t="shared" si="183"/>
        <v>1464.9257023007517</v>
      </c>
      <c r="S266" s="445">
        <f t="shared" si="183"/>
        <v>1395.1673355245255</v>
      </c>
      <c r="T266" s="445">
        <f t="shared" si="183"/>
        <v>1325.408968748299</v>
      </c>
      <c r="U266" s="445">
        <f t="shared" si="183"/>
        <v>1255.6506019720728</v>
      </c>
      <c r="V266" s="445">
        <f t="shared" si="183"/>
        <v>1185.8922351958465</v>
      </c>
      <c r="W266" s="445">
        <f t="shared" si="183"/>
        <v>1116.1338684196203</v>
      </c>
      <c r="X266" s="445">
        <f t="shared" si="183"/>
        <v>1046.375501643394</v>
      </c>
      <c r="Y266" s="445">
        <f t="shared" si="183"/>
        <v>976.61713486716792</v>
      </c>
      <c r="Z266" s="445">
        <f t="shared" si="183"/>
        <v>906.85876809094157</v>
      </c>
      <c r="AA266" s="445">
        <f t="shared" si="183"/>
        <v>837.10040131471533</v>
      </c>
      <c r="AB266" s="445">
        <f t="shared" si="183"/>
        <v>767.34203453848909</v>
      </c>
      <c r="AC266" s="445">
        <f t="shared" si="183"/>
        <v>697.58366776226273</v>
      </c>
      <c r="AD266" s="445">
        <f t="shared" si="183"/>
        <v>627.82530098603638</v>
      </c>
      <c r="AE266" s="445">
        <f t="shared" si="183"/>
        <v>558.06693420981014</v>
      </c>
      <c r="AF266" s="445">
        <f t="shared" si="183"/>
        <v>488.30856743358396</v>
      </c>
      <c r="AG266" s="445">
        <f t="shared" si="183"/>
        <v>418.55020065735766</v>
      </c>
      <c r="AH266" s="445">
        <f t="shared" si="183"/>
        <v>348.79183388113137</v>
      </c>
      <c r="AI266" s="445">
        <f t="shared" si="183"/>
        <v>279.03346710490507</v>
      </c>
      <c r="AJ266" s="445">
        <f t="shared" si="183"/>
        <v>209.27510032867883</v>
      </c>
      <c r="AK266" s="445">
        <f t="shared" si="183"/>
        <v>139.51673355245254</v>
      </c>
      <c r="AL266" s="445">
        <f t="shared" si="183"/>
        <v>69.758366776226268</v>
      </c>
      <c r="AM266" s="445">
        <f t="shared" si="183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364545.13332231739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21076.03489685004</v>
      </c>
      <c r="M267" s="183"/>
      <c r="N267" s="183"/>
      <c r="O267" s="450">
        <f>$G$267*$H$267</f>
        <v>1822.725666611587</v>
      </c>
      <c r="P267" s="450">
        <f>$H$267*($L$75-SUM($O75:P$75))*$F$267</f>
        <v>1604.4424358532044</v>
      </c>
      <c r="Q267" s="450">
        <f>$H$267*($L$75-SUM($O75:Q$75))*$F$267</f>
        <v>1534.6840690769782</v>
      </c>
      <c r="R267" s="450">
        <f>$H$267*($L$75-SUM($O75:R$75))*$F$267</f>
        <v>1464.9257023007517</v>
      </c>
      <c r="S267" s="450">
        <f>$H$267*($L$75-SUM($O75:S$75))*$F$267</f>
        <v>1395.1673355245255</v>
      </c>
      <c r="T267" s="450">
        <f>$H$267*($L$75-SUM($O75:T$75))*$F$267</f>
        <v>1325.408968748299</v>
      </c>
      <c r="U267" s="450">
        <f>$H$267*($L$75-SUM($O75:U$75))*$F$267</f>
        <v>1255.6506019720728</v>
      </c>
      <c r="V267" s="450">
        <f>$H$267*($L$75-SUM($O75:V$75))*$F$267</f>
        <v>1185.8922351958465</v>
      </c>
      <c r="W267" s="450">
        <f>$H$267*($L$75-SUM($O75:W$75))*$F$267</f>
        <v>1116.1338684196203</v>
      </c>
      <c r="X267" s="450">
        <f>$H$267*($L$75-SUM($O75:X$75))*$F$267</f>
        <v>1046.375501643394</v>
      </c>
      <c r="Y267" s="450">
        <f>$H$267*($L$75-SUM($O75:Y$75))*$F$267</f>
        <v>976.61713486716792</v>
      </c>
      <c r="Z267" s="450">
        <f>$H$267*($L$75-SUM($O75:Z$75))*$F$267</f>
        <v>906.85876809094157</v>
      </c>
      <c r="AA267" s="450">
        <f>$H$267*($L$75-SUM($O75:AA$75))*$F$267</f>
        <v>837.10040131471533</v>
      </c>
      <c r="AB267" s="450">
        <f>$H$267*($L$75-SUM($O75:AB$75))*$F$267</f>
        <v>767.34203453848909</v>
      </c>
      <c r="AC267" s="450">
        <f>$H$267*($L$75-SUM($O75:AC$75))*$F$267</f>
        <v>697.58366776226273</v>
      </c>
      <c r="AD267" s="450">
        <f>$H$267*($L$75-SUM($O75:AD$75))*$F$267</f>
        <v>627.82530098603638</v>
      </c>
      <c r="AE267" s="450">
        <f>$H$267*($L$75-SUM($O75:AE$75))*$F$267</f>
        <v>558.06693420981014</v>
      </c>
      <c r="AF267" s="450">
        <f>$H$267*($L$75-SUM($O75:AF$75))*$F$267</f>
        <v>488.30856743358396</v>
      </c>
      <c r="AG267" s="450">
        <f>$H$267*($L$75-SUM($O75:AG$75))*$F$267</f>
        <v>418.55020065735766</v>
      </c>
      <c r="AH267" s="450">
        <f>$H$267*($L$75-SUM($O75:AH$75))*$F$267</f>
        <v>348.79183388113137</v>
      </c>
      <c r="AI267" s="450">
        <f>$H$267*($L$75-SUM($O75:AI$75))*$F$267</f>
        <v>279.03346710490507</v>
      </c>
      <c r="AJ267" s="450">
        <f>$H$267*($L$75-SUM($O75:AJ$75))*$F$267</f>
        <v>209.27510032867883</v>
      </c>
      <c r="AK267" s="450">
        <f>$H$267*($L$75-SUM($O75:AK$75))*$F$267</f>
        <v>139.51673355245254</v>
      </c>
      <c r="AL267" s="450">
        <f>$H$267*($L$75-SUM($O75:AL$75))*$F$267</f>
        <v>69.758366776226268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121515.04444077247</v>
      </c>
      <c r="H268" s="452">
        <v>5.0000000000000001E-3</v>
      </c>
      <c r="I268" s="451"/>
      <c r="J268" s="451"/>
      <c r="K268" s="451"/>
      <c r="L268" s="453">
        <f>SUM(O268:AM268)</f>
        <v>607.57522220386238</v>
      </c>
      <c r="M268" s="183"/>
      <c r="N268" s="183"/>
      <c r="O268" s="454">
        <f>$H$268*$G$268</f>
        <v>607.57522220386238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1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 t="shared" ref="O272:AM272" si="184">O273+O275</f>
        <v>963933.54487498128</v>
      </c>
      <c r="P272" s="348">
        <f t="shared" si="184"/>
        <v>963933.54487498128</v>
      </c>
      <c r="Q272" s="348">
        <f t="shared" si="184"/>
        <v>963933.54487498128</v>
      </c>
      <c r="R272" s="348">
        <f t="shared" si="184"/>
        <v>963933.54487498128</v>
      </c>
      <c r="S272" s="348">
        <f t="shared" si="184"/>
        <v>1374509.2925396985</v>
      </c>
      <c r="T272" s="348">
        <f t="shared" si="184"/>
        <v>1374509.2925396985</v>
      </c>
      <c r="U272" s="348">
        <f t="shared" si="184"/>
        <v>1374509.2925396985</v>
      </c>
      <c r="V272" s="348">
        <f t="shared" si="184"/>
        <v>1412066.1816136893</v>
      </c>
      <c r="W272" s="348">
        <f t="shared" si="184"/>
        <v>1467736.6354130728</v>
      </c>
      <c r="X272" s="348">
        <f t="shared" si="184"/>
        <v>1467736.6354130728</v>
      </c>
      <c r="Y272" s="348">
        <f t="shared" si="184"/>
        <v>1875464.4586021586</v>
      </c>
      <c r="Z272" s="348">
        <f t="shared" si="184"/>
        <v>1875464.4586021586</v>
      </c>
      <c r="AA272" s="348">
        <f t="shared" si="184"/>
        <v>2054696.7648433365</v>
      </c>
      <c r="AB272" s="348">
        <f t="shared" si="184"/>
        <v>2054696.7648433365</v>
      </c>
      <c r="AC272" s="348">
        <f t="shared" si="184"/>
        <v>2054696.7648433365</v>
      </c>
      <c r="AD272" s="348">
        <f t="shared" si="184"/>
        <v>2499940.5953364475</v>
      </c>
      <c r="AE272" s="348">
        <f t="shared" si="184"/>
        <v>2509021.4980421136</v>
      </c>
      <c r="AF272" s="348">
        <f t="shared" si="184"/>
        <v>2555651.9309057961</v>
      </c>
      <c r="AG272" s="348">
        <f t="shared" si="184"/>
        <v>2555651.9309057961</v>
      </c>
      <c r="AH272" s="348">
        <f t="shared" si="184"/>
        <v>2555651.9309057961</v>
      </c>
      <c r="AI272" s="348">
        <f t="shared" si="184"/>
        <v>2966186.7968005482</v>
      </c>
      <c r="AJ272" s="348">
        <f t="shared" si="184"/>
        <v>2966186.7968005482</v>
      </c>
      <c r="AK272" s="348">
        <f t="shared" si="184"/>
        <v>3003743.685874539</v>
      </c>
      <c r="AL272" s="348">
        <f t="shared" si="184"/>
        <v>3003743.685874539</v>
      </c>
      <c r="AM272" s="348">
        <f t="shared" si="184"/>
        <v>3006550.7285802052</v>
      </c>
    </row>
    <row r="273" spans="1:39" ht="15" customHeight="1" x14ac:dyDescent="0.3">
      <c r="B273" s="100" t="s">
        <v>5184</v>
      </c>
      <c r="L273" s="303"/>
      <c r="O273" s="303">
        <f>SUM(O274)</f>
        <v>0</v>
      </c>
      <c r="P273" s="303">
        <f t="shared" ref="P273:AM273" si="185">SUM(P274)</f>
        <v>0</v>
      </c>
      <c r="Q273" s="303">
        <f t="shared" si="185"/>
        <v>0</v>
      </c>
      <c r="R273" s="303">
        <f t="shared" si="185"/>
        <v>0</v>
      </c>
      <c r="S273" s="303">
        <f t="shared" si="185"/>
        <v>0</v>
      </c>
      <c r="T273" s="303">
        <f t="shared" si="185"/>
        <v>0</v>
      </c>
      <c r="U273" s="303">
        <f t="shared" si="185"/>
        <v>0</v>
      </c>
      <c r="V273" s="303">
        <f t="shared" si="185"/>
        <v>0</v>
      </c>
      <c r="W273" s="303">
        <f t="shared" si="185"/>
        <v>0</v>
      </c>
      <c r="X273" s="303">
        <f t="shared" si="185"/>
        <v>0</v>
      </c>
      <c r="Y273" s="303">
        <f t="shared" si="185"/>
        <v>0</v>
      </c>
      <c r="Z273" s="303">
        <f t="shared" si="185"/>
        <v>0</v>
      </c>
      <c r="AA273" s="303">
        <f t="shared" si="185"/>
        <v>0</v>
      </c>
      <c r="AB273" s="303">
        <f t="shared" si="185"/>
        <v>0</v>
      </c>
      <c r="AC273" s="303">
        <f t="shared" si="185"/>
        <v>0</v>
      </c>
      <c r="AD273" s="303">
        <f t="shared" si="185"/>
        <v>0</v>
      </c>
      <c r="AE273" s="303">
        <f t="shared" si="185"/>
        <v>0</v>
      </c>
      <c r="AF273" s="303">
        <f t="shared" si="185"/>
        <v>0</v>
      </c>
      <c r="AG273" s="303">
        <f t="shared" si="185"/>
        <v>0</v>
      </c>
      <c r="AH273" s="303">
        <f t="shared" si="185"/>
        <v>0</v>
      </c>
      <c r="AI273" s="303">
        <f t="shared" si="185"/>
        <v>0</v>
      </c>
      <c r="AJ273" s="303">
        <f t="shared" si="185"/>
        <v>0</v>
      </c>
      <c r="AK273" s="303">
        <f t="shared" si="185"/>
        <v>0</v>
      </c>
      <c r="AL273" s="303">
        <f t="shared" si="185"/>
        <v>0</v>
      </c>
      <c r="AM273" s="303">
        <f t="shared" si="185"/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1">
        <v>0</v>
      </c>
      <c r="U274" s="361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1">
        <v>0</v>
      </c>
      <c r="AD274" s="361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1">
        <v>0</v>
      </c>
      <c r="AM274" s="361"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O276</f>
        <v>963933.54487498128</v>
      </c>
      <c r="P275" s="347">
        <f t="shared" ref="P275:AM275" si="186">P276</f>
        <v>963933.54487498128</v>
      </c>
      <c r="Q275" s="347">
        <f t="shared" si="186"/>
        <v>963933.54487498128</v>
      </c>
      <c r="R275" s="347">
        <f t="shared" si="186"/>
        <v>963933.54487498128</v>
      </c>
      <c r="S275" s="347">
        <f t="shared" si="186"/>
        <v>1374509.2925396985</v>
      </c>
      <c r="T275" s="347">
        <f t="shared" si="186"/>
        <v>1374509.2925396985</v>
      </c>
      <c r="U275" s="347">
        <f t="shared" si="186"/>
        <v>1374509.2925396985</v>
      </c>
      <c r="V275" s="347">
        <f t="shared" si="186"/>
        <v>1412066.1816136893</v>
      </c>
      <c r="W275" s="347">
        <f t="shared" si="186"/>
        <v>1467736.6354130728</v>
      </c>
      <c r="X275" s="347">
        <f t="shared" si="186"/>
        <v>1467736.6354130728</v>
      </c>
      <c r="Y275" s="347">
        <f t="shared" si="186"/>
        <v>1875464.4586021586</v>
      </c>
      <c r="Z275" s="347">
        <f t="shared" si="186"/>
        <v>1875464.4586021586</v>
      </c>
      <c r="AA275" s="347">
        <f t="shared" si="186"/>
        <v>2054696.7648433365</v>
      </c>
      <c r="AB275" s="347">
        <f t="shared" si="186"/>
        <v>2054696.7648433365</v>
      </c>
      <c r="AC275" s="347">
        <f t="shared" si="186"/>
        <v>2054696.7648433365</v>
      </c>
      <c r="AD275" s="347">
        <f t="shared" si="186"/>
        <v>2499940.5953364475</v>
      </c>
      <c r="AE275" s="347">
        <f t="shared" si="186"/>
        <v>2509021.4980421136</v>
      </c>
      <c r="AF275" s="347">
        <f t="shared" si="186"/>
        <v>2555651.9309057961</v>
      </c>
      <c r="AG275" s="347">
        <f t="shared" si="186"/>
        <v>2555651.9309057961</v>
      </c>
      <c r="AH275" s="347">
        <f t="shared" si="186"/>
        <v>2555651.9309057961</v>
      </c>
      <c r="AI275" s="347">
        <f t="shared" si="186"/>
        <v>2966186.7968005482</v>
      </c>
      <c r="AJ275" s="347">
        <f t="shared" si="186"/>
        <v>2966186.7968005482</v>
      </c>
      <c r="AK275" s="347">
        <f t="shared" si="186"/>
        <v>3003743.685874539</v>
      </c>
      <c r="AL275" s="347">
        <f t="shared" si="186"/>
        <v>3003743.685874539</v>
      </c>
      <c r="AM275" s="347">
        <f t="shared" si="186"/>
        <v>3006550.7285802052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-SUM($O150:O150)</f>
        <v>963933.54487498128</v>
      </c>
      <c r="P276" s="366">
        <f>-SUM($O150:P150)</f>
        <v>963933.54487498128</v>
      </c>
      <c r="Q276" s="366">
        <f>-SUM($O150:Q150)</f>
        <v>963933.54487498128</v>
      </c>
      <c r="R276" s="366">
        <f>-SUM($O150:R150)</f>
        <v>963933.54487498128</v>
      </c>
      <c r="S276" s="366">
        <f>-SUM($O150:S150)</f>
        <v>1374509.2925396985</v>
      </c>
      <c r="T276" s="366">
        <f>-SUM($O150:T150)</f>
        <v>1374509.2925396985</v>
      </c>
      <c r="U276" s="366">
        <f>-SUM($O150:U150)</f>
        <v>1374509.2925396985</v>
      </c>
      <c r="V276" s="366">
        <f>-SUM($O150:V150)</f>
        <v>1412066.1816136893</v>
      </c>
      <c r="W276" s="366">
        <f>-SUM($O150:W150)</f>
        <v>1467736.6354130728</v>
      </c>
      <c r="X276" s="366">
        <f>-SUM($O150:X150)</f>
        <v>1467736.6354130728</v>
      </c>
      <c r="Y276" s="366">
        <f>-SUM($O150:Y150)</f>
        <v>1875464.4586021586</v>
      </c>
      <c r="Z276" s="366">
        <f>-SUM($O150:Z150)</f>
        <v>1875464.4586021586</v>
      </c>
      <c r="AA276" s="366">
        <f>-SUM($O150:AA150)</f>
        <v>2054696.7648433365</v>
      </c>
      <c r="AB276" s="366">
        <f>-SUM($O150:AB150)</f>
        <v>2054696.7648433365</v>
      </c>
      <c r="AC276" s="366">
        <f>-SUM($O150:AC150)</f>
        <v>2054696.7648433365</v>
      </c>
      <c r="AD276" s="366">
        <f>-SUM($O150:AD150)</f>
        <v>2499940.5953364475</v>
      </c>
      <c r="AE276" s="366">
        <f>-SUM($O150:AE150)</f>
        <v>2509021.4980421136</v>
      </c>
      <c r="AF276" s="366">
        <f>-SUM($O150:AF150)</f>
        <v>2555651.9309057961</v>
      </c>
      <c r="AG276" s="366">
        <f>-SUM($O150:AG150)</f>
        <v>2555651.9309057961</v>
      </c>
      <c r="AH276" s="366">
        <f>-SUM($O150:AH150)</f>
        <v>2555651.9309057961</v>
      </c>
      <c r="AI276" s="366">
        <f>-SUM($O150:AI150)</f>
        <v>2966186.7968005482</v>
      </c>
      <c r="AJ276" s="366">
        <f>-SUM($O150:AJ150)</f>
        <v>2966186.7968005482</v>
      </c>
      <c r="AK276" s="366">
        <f>-SUM($O150:AK150)</f>
        <v>3003743.685874539</v>
      </c>
      <c r="AL276" s="366">
        <f>-SUM($O150:AL150)</f>
        <v>3003743.685874539</v>
      </c>
      <c r="AM276" s="366">
        <f>-SUM($O150:AM150)</f>
        <v>3006550.7285802052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SUM(O279:O280)</f>
        <v>963933.54487498128</v>
      </c>
      <c r="P278" s="348">
        <f t="shared" ref="P278:AM278" si="187">SUM(P279:P280)</f>
        <v>963933.54487498128</v>
      </c>
      <c r="Q278" s="348">
        <f t="shared" si="187"/>
        <v>963933.54487498128</v>
      </c>
      <c r="R278" s="348">
        <f t="shared" si="187"/>
        <v>963933.54487498128</v>
      </c>
      <c r="S278" s="348">
        <f t="shared" si="187"/>
        <v>1374509.2925396985</v>
      </c>
      <c r="T278" s="348">
        <f t="shared" si="187"/>
        <v>1374509.2925396985</v>
      </c>
      <c r="U278" s="348">
        <f t="shared" si="187"/>
        <v>1374509.2925396985</v>
      </c>
      <c r="V278" s="348">
        <f t="shared" si="187"/>
        <v>1412066.1816136893</v>
      </c>
      <c r="W278" s="348">
        <f t="shared" si="187"/>
        <v>1467736.6354130728</v>
      </c>
      <c r="X278" s="348">
        <f t="shared" si="187"/>
        <v>1467736.6354130728</v>
      </c>
      <c r="Y278" s="348">
        <f t="shared" si="187"/>
        <v>1875464.4586021586</v>
      </c>
      <c r="Z278" s="348">
        <f t="shared" si="187"/>
        <v>1875464.4586021586</v>
      </c>
      <c r="AA278" s="348">
        <f t="shared" si="187"/>
        <v>2054696.7648433365</v>
      </c>
      <c r="AB278" s="348">
        <f t="shared" si="187"/>
        <v>2054696.7648433365</v>
      </c>
      <c r="AC278" s="348">
        <f t="shared" si="187"/>
        <v>2054696.7648433365</v>
      </c>
      <c r="AD278" s="348">
        <f t="shared" si="187"/>
        <v>2499940.5953364475</v>
      </c>
      <c r="AE278" s="348">
        <f t="shared" si="187"/>
        <v>2509021.4980421136</v>
      </c>
      <c r="AF278" s="348">
        <f t="shared" si="187"/>
        <v>2555651.9309057961</v>
      </c>
      <c r="AG278" s="348">
        <f t="shared" si="187"/>
        <v>2555651.9309057961</v>
      </c>
      <c r="AH278" s="348">
        <f t="shared" si="187"/>
        <v>2555651.9309057961</v>
      </c>
      <c r="AI278" s="348">
        <f t="shared" si="187"/>
        <v>2966186.7968005482</v>
      </c>
      <c r="AJ278" s="348">
        <f t="shared" si="187"/>
        <v>2966186.7968005482</v>
      </c>
      <c r="AK278" s="348">
        <f t="shared" si="187"/>
        <v>3003743.685874539</v>
      </c>
      <c r="AL278" s="348">
        <f t="shared" si="187"/>
        <v>3003743.685874539</v>
      </c>
      <c r="AM278" s="348">
        <f t="shared" si="187"/>
        <v>3006550.7285802052</v>
      </c>
    </row>
    <row r="279" spans="1:39" ht="15" customHeight="1" x14ac:dyDescent="0.3">
      <c r="B279" s="100" t="s">
        <v>5188</v>
      </c>
      <c r="O279" s="303">
        <f>SUM($O163:O163,$O164:O164)</f>
        <v>547288.91185626981</v>
      </c>
      <c r="P279" s="303">
        <f>SUM($O163:P163,$O164:P164)</f>
        <v>456074.0932135582</v>
      </c>
      <c r="Q279" s="303">
        <f>SUM($O163:Q163,$O164:Q164)</f>
        <v>364859.27457084658</v>
      </c>
      <c r="R279" s="303">
        <f>SUM($O163:R163,$O164:R164)</f>
        <v>273644.45592813496</v>
      </c>
      <c r="S279" s="303">
        <f>SUM($O163:S163,$O164:S164)</f>
        <v>182429.63728542335</v>
      </c>
      <c r="T279" s="303">
        <f>SUM($O163:T163,$O164:T164)</f>
        <v>91214.818642711718</v>
      </c>
      <c r="U279" s="303">
        <f>SUM($O163:U163,$O164:U164)</f>
        <v>0</v>
      </c>
      <c r="V279" s="303">
        <f>SUM($O163:V163,$O164:V164)</f>
        <v>8.7311491370201111E-11</v>
      </c>
      <c r="W279" s="303">
        <f>SUM($O163:W163,$O164:W164)</f>
        <v>8.7311491370201111E-11</v>
      </c>
      <c r="X279" s="303">
        <f>SUM($O163:X163,$O164:X164)</f>
        <v>8.7311491370201111E-11</v>
      </c>
      <c r="Y279" s="303">
        <f>SUM($O163:Y163,$O164:Y164)</f>
        <v>8.7311491370201111E-11</v>
      </c>
      <c r="Z279" s="303">
        <f>SUM($O163:Z163,$O164:Z164)</f>
        <v>8.7311491370201111E-11</v>
      </c>
      <c r="AA279" s="303">
        <f>SUM($O163:AA163,$O164:AA164)</f>
        <v>8.7311491370201111E-11</v>
      </c>
      <c r="AB279" s="303">
        <f>SUM($O163:AB163,$O164:AB164)</f>
        <v>8.7311491370201111E-11</v>
      </c>
      <c r="AC279" s="303">
        <f>SUM($O163:AC163,$O164:AC164)</f>
        <v>8.7311491370201111E-11</v>
      </c>
      <c r="AD279" s="303">
        <f>SUM($O163:AD163,$O164:AD164)</f>
        <v>8.7311491370201111E-11</v>
      </c>
      <c r="AE279" s="303">
        <f>SUM($O163:AE163,$O164:AE164)</f>
        <v>8.7311491370201111E-11</v>
      </c>
      <c r="AF279" s="303">
        <f>SUM($O163:AF163,$O164:AF164)</f>
        <v>8.7311491370201111E-11</v>
      </c>
      <c r="AG279" s="303">
        <f>SUM($O163:AG163,$O164:AG164)</f>
        <v>8.7311491370201111E-11</v>
      </c>
      <c r="AH279" s="303">
        <f>SUM($O163:AH163,$O164:AH164)</f>
        <v>8.7311491370201111E-11</v>
      </c>
      <c r="AI279" s="303">
        <f>SUM($O163:AI163,$O164:AI164)</f>
        <v>8.7311491370201111E-11</v>
      </c>
      <c r="AJ279" s="303">
        <f>SUM($O163:AJ163,$O164:AJ164)</f>
        <v>8.7311491370201111E-11</v>
      </c>
      <c r="AK279" s="303">
        <f>SUM($O163:AK163,$O164:AK164)</f>
        <v>8.7311491370201111E-11</v>
      </c>
      <c r="AL279" s="303">
        <f>SUM($O163:AL163,$O164:AL164)</f>
        <v>8.7311491370201111E-11</v>
      </c>
      <c r="AM279" s="303">
        <f>SUM($O163:AM163,$O164:AM164)</f>
        <v>8.7311491370201111E-11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O272-O279</f>
        <v>416644.63301871147</v>
      </c>
      <c r="P280" s="361">
        <f t="shared" ref="P280:AM280" si="188">P272-P279</f>
        <v>507859.45166142308</v>
      </c>
      <c r="Q280" s="361">
        <f t="shared" si="188"/>
        <v>599074.2703041347</v>
      </c>
      <c r="R280" s="361">
        <f t="shared" si="188"/>
        <v>690289.08894684631</v>
      </c>
      <c r="S280" s="361">
        <f t="shared" si="188"/>
        <v>1192079.6552542751</v>
      </c>
      <c r="T280" s="361">
        <f t="shared" si="188"/>
        <v>1283294.4738969868</v>
      </c>
      <c r="U280" s="361">
        <f t="shared" si="188"/>
        <v>1374509.2925396985</v>
      </c>
      <c r="V280" s="361">
        <f t="shared" si="188"/>
        <v>1412066.1816136893</v>
      </c>
      <c r="W280" s="361">
        <f t="shared" si="188"/>
        <v>1467736.6354130728</v>
      </c>
      <c r="X280" s="361">
        <f t="shared" si="188"/>
        <v>1467736.6354130728</v>
      </c>
      <c r="Y280" s="361">
        <f t="shared" si="188"/>
        <v>1875464.4586021586</v>
      </c>
      <c r="Z280" s="361">
        <f t="shared" si="188"/>
        <v>1875464.4586021586</v>
      </c>
      <c r="AA280" s="361">
        <f t="shared" si="188"/>
        <v>2054696.7648433365</v>
      </c>
      <c r="AB280" s="361">
        <f t="shared" si="188"/>
        <v>2054696.7648433365</v>
      </c>
      <c r="AC280" s="361">
        <f t="shared" si="188"/>
        <v>2054696.7648433365</v>
      </c>
      <c r="AD280" s="361">
        <f t="shared" si="188"/>
        <v>2499940.5953364475</v>
      </c>
      <c r="AE280" s="361">
        <f t="shared" si="188"/>
        <v>2509021.4980421136</v>
      </c>
      <c r="AF280" s="361">
        <f t="shared" si="188"/>
        <v>2555651.9309057961</v>
      </c>
      <c r="AG280" s="361">
        <f t="shared" si="188"/>
        <v>2555651.9309057961</v>
      </c>
      <c r="AH280" s="361">
        <f t="shared" si="188"/>
        <v>2555651.9309057961</v>
      </c>
      <c r="AI280" s="361">
        <f t="shared" si="188"/>
        <v>2966186.7968005482</v>
      </c>
      <c r="AJ280" s="361">
        <f t="shared" si="188"/>
        <v>2966186.7968005482</v>
      </c>
      <c r="AK280" s="361">
        <f t="shared" si="188"/>
        <v>3003743.685874539</v>
      </c>
      <c r="AL280" s="361">
        <f t="shared" si="188"/>
        <v>3003743.685874539</v>
      </c>
      <c r="AM280" s="361">
        <f t="shared" si="188"/>
        <v>3006550.7285802052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v>0</v>
      </c>
      <c r="P286" s="367">
        <f>O288</f>
        <v>-1720.2853571275373</v>
      </c>
      <c r="Q286" s="367">
        <f t="shared" ref="Q286:AM286" si="189">P288</f>
        <v>653016.59090648789</v>
      </c>
      <c r="R286" s="367">
        <f t="shared" si="189"/>
        <v>809425.82275941735</v>
      </c>
      <c r="S286" s="367">
        <f t="shared" si="189"/>
        <v>985559.16917670367</v>
      </c>
      <c r="T286" s="367">
        <f t="shared" si="189"/>
        <v>1174258.0392701395</v>
      </c>
      <c r="U286" s="367">
        <f t="shared" si="189"/>
        <v>1332479.6713290692</v>
      </c>
      <c r="V286" s="367">
        <f t="shared" si="189"/>
        <v>1508080.2877143412</v>
      </c>
      <c r="W286" s="367">
        <f t="shared" si="189"/>
        <v>1692667.6252107606</v>
      </c>
      <c r="X286" s="367">
        <f t="shared" si="189"/>
        <v>1893508.5718563984</v>
      </c>
      <c r="Y286" s="367">
        <f t="shared" si="189"/>
        <v>2106309.4959176658</v>
      </c>
      <c r="Z286" s="367">
        <f t="shared" si="189"/>
        <v>2329266.7691049934</v>
      </c>
      <c r="AA286" s="367">
        <f t="shared" si="189"/>
        <v>2538006.4516177662</v>
      </c>
      <c r="AB286" s="367">
        <f t="shared" si="189"/>
        <v>2756485.2602305445</v>
      </c>
      <c r="AC286" s="367">
        <f t="shared" si="189"/>
        <v>2982982.1929168706</v>
      </c>
      <c r="AD286" s="367">
        <f t="shared" si="189"/>
        <v>3226977.5205625882</v>
      </c>
      <c r="AE286" s="367">
        <f t="shared" si="189"/>
        <v>3486697.1648017149</v>
      </c>
      <c r="AF286" s="367">
        <f t="shared" si="189"/>
        <v>3729585.370193548</v>
      </c>
      <c r="AG286" s="367">
        <f t="shared" si="189"/>
        <v>3987172.1516082566</v>
      </c>
      <c r="AH286" s="367">
        <f t="shared" si="189"/>
        <v>4267292.4344570795</v>
      </c>
      <c r="AI286" s="367">
        <f t="shared" si="189"/>
        <v>4572706.7425340246</v>
      </c>
      <c r="AJ286" s="367">
        <f t="shared" si="189"/>
        <v>4897406.5582814049</v>
      </c>
      <c r="AK286" s="367">
        <f t="shared" si="189"/>
        <v>5217645.8600324746</v>
      </c>
      <c r="AL286" s="367">
        <f t="shared" si="189"/>
        <v>5558629.2440057192</v>
      </c>
      <c r="AM286" s="367">
        <f t="shared" si="189"/>
        <v>5933800.0578196505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 t="shared" ref="O287:AM287" si="190">O138</f>
        <v>-1720.2853571275373</v>
      </c>
      <c r="P287" s="367">
        <f t="shared" si="190"/>
        <v>654736.87626361544</v>
      </c>
      <c r="Q287" s="367">
        <f t="shared" si="190"/>
        <v>156409.23185292952</v>
      </c>
      <c r="R287" s="367">
        <f t="shared" si="190"/>
        <v>176133.34641728632</v>
      </c>
      <c r="S287" s="367">
        <f t="shared" si="190"/>
        <v>188698.87009343586</v>
      </c>
      <c r="T287" s="367">
        <f t="shared" si="190"/>
        <v>158221.63205892965</v>
      </c>
      <c r="U287" s="367">
        <f t="shared" si="190"/>
        <v>175600.61638527195</v>
      </c>
      <c r="V287" s="367">
        <f t="shared" si="190"/>
        <v>184587.33749641938</v>
      </c>
      <c r="W287" s="367">
        <f t="shared" si="190"/>
        <v>200840.94664563768</v>
      </c>
      <c r="X287" s="367">
        <f t="shared" si="190"/>
        <v>212800.92406126723</v>
      </c>
      <c r="Y287" s="367">
        <f t="shared" si="190"/>
        <v>222957.27318732761</v>
      </c>
      <c r="Z287" s="367">
        <f t="shared" si="190"/>
        <v>208739.68251277256</v>
      </c>
      <c r="AA287" s="367">
        <f t="shared" si="190"/>
        <v>218478.80861277814</v>
      </c>
      <c r="AB287" s="367">
        <f t="shared" si="190"/>
        <v>226496.93268632604</v>
      </c>
      <c r="AC287" s="367">
        <f t="shared" si="190"/>
        <v>243995.32764571742</v>
      </c>
      <c r="AD287" s="367">
        <f t="shared" si="190"/>
        <v>259719.64423912676</v>
      </c>
      <c r="AE287" s="367">
        <f t="shared" si="190"/>
        <v>242888.20539183327</v>
      </c>
      <c r="AF287" s="367">
        <f t="shared" si="190"/>
        <v>257586.78141470841</v>
      </c>
      <c r="AG287" s="367">
        <f t="shared" si="190"/>
        <v>280120.28284882254</v>
      </c>
      <c r="AH287" s="367">
        <f t="shared" si="190"/>
        <v>305414.30807694484</v>
      </c>
      <c r="AI287" s="367">
        <f t="shared" si="190"/>
        <v>324699.81574738066</v>
      </c>
      <c r="AJ287" s="367">
        <f t="shared" si="190"/>
        <v>320239.30175106932</v>
      </c>
      <c r="AK287" s="367">
        <f t="shared" si="190"/>
        <v>340983.38397324475</v>
      </c>
      <c r="AL287" s="367">
        <f t="shared" si="190"/>
        <v>375170.81381393143</v>
      </c>
      <c r="AM287" s="367">
        <f t="shared" si="190"/>
        <v>421861.8697963992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-1720.2853571275373</v>
      </c>
      <c r="P288" s="367">
        <f t="shared" ref="P288:AM288" si="191">P287+P286</f>
        <v>653016.59090648789</v>
      </c>
      <c r="Q288" s="367">
        <f t="shared" si="191"/>
        <v>809425.82275941735</v>
      </c>
      <c r="R288" s="367">
        <f t="shared" si="191"/>
        <v>985559.16917670367</v>
      </c>
      <c r="S288" s="367">
        <f t="shared" si="191"/>
        <v>1174258.0392701395</v>
      </c>
      <c r="T288" s="367">
        <f t="shared" si="191"/>
        <v>1332479.6713290692</v>
      </c>
      <c r="U288" s="367">
        <f t="shared" si="191"/>
        <v>1508080.2877143412</v>
      </c>
      <c r="V288" s="367">
        <f t="shared" si="191"/>
        <v>1692667.6252107606</v>
      </c>
      <c r="W288" s="367">
        <f t="shared" si="191"/>
        <v>1893508.5718563984</v>
      </c>
      <c r="X288" s="367">
        <f t="shared" si="191"/>
        <v>2106309.4959176658</v>
      </c>
      <c r="Y288" s="367">
        <f t="shared" si="191"/>
        <v>2329266.7691049934</v>
      </c>
      <c r="Z288" s="367">
        <f t="shared" si="191"/>
        <v>2538006.4516177662</v>
      </c>
      <c r="AA288" s="367">
        <f t="shared" si="191"/>
        <v>2756485.2602305445</v>
      </c>
      <c r="AB288" s="367">
        <f t="shared" si="191"/>
        <v>2982982.1929168706</v>
      </c>
      <c r="AC288" s="367">
        <f t="shared" si="191"/>
        <v>3226977.5205625882</v>
      </c>
      <c r="AD288" s="367">
        <f t="shared" si="191"/>
        <v>3486697.1648017149</v>
      </c>
      <c r="AE288" s="367">
        <f t="shared" si="191"/>
        <v>3729585.370193548</v>
      </c>
      <c r="AF288" s="367">
        <f t="shared" si="191"/>
        <v>3987172.1516082566</v>
      </c>
      <c r="AG288" s="367">
        <f t="shared" si="191"/>
        <v>4267292.4344570795</v>
      </c>
      <c r="AH288" s="367">
        <f t="shared" si="191"/>
        <v>4572706.7425340246</v>
      </c>
      <c r="AI288" s="367">
        <f t="shared" si="191"/>
        <v>4897406.5582814049</v>
      </c>
      <c r="AJ288" s="367">
        <f t="shared" si="191"/>
        <v>5217645.8600324746</v>
      </c>
      <c r="AK288" s="367">
        <f t="shared" si="191"/>
        <v>5558629.2440057192</v>
      </c>
      <c r="AL288" s="367">
        <f t="shared" si="191"/>
        <v>5933800.0578196505</v>
      </c>
      <c r="AM288" s="367">
        <f t="shared" si="191"/>
        <v>6355661.9276160495</v>
      </c>
    </row>
    <row r="289" spans="2:50" ht="14.25" customHeight="1" x14ac:dyDescent="0.3"/>
    <row r="290" spans="2:50" ht="15" customHeight="1" x14ac:dyDescent="0.3">
      <c r="B290" s="326" t="s">
        <v>5161</v>
      </c>
    </row>
    <row r="291" spans="2:50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v>0</v>
      </c>
      <c r="P291" s="367">
        <f t="shared" ref="P291:AM291" si="192">O294</f>
        <v>0</v>
      </c>
      <c r="Q291" s="367">
        <f t="shared" si="192"/>
        <v>0</v>
      </c>
      <c r="R291" s="367">
        <f t="shared" si="192"/>
        <v>0</v>
      </c>
      <c r="S291" s="367">
        <f t="shared" si="192"/>
        <v>0</v>
      </c>
      <c r="T291" s="367">
        <f t="shared" si="192"/>
        <v>0</v>
      </c>
      <c r="U291" s="367">
        <f t="shared" si="192"/>
        <v>0</v>
      </c>
      <c r="V291" s="367">
        <f t="shared" si="192"/>
        <v>0</v>
      </c>
      <c r="W291" s="367">
        <f t="shared" si="192"/>
        <v>0</v>
      </c>
      <c r="X291" s="367">
        <f t="shared" si="192"/>
        <v>0</v>
      </c>
      <c r="Y291" s="367">
        <f t="shared" si="192"/>
        <v>0</v>
      </c>
      <c r="Z291" s="367">
        <f t="shared" si="192"/>
        <v>0</v>
      </c>
      <c r="AA291" s="367">
        <f t="shared" si="192"/>
        <v>0</v>
      </c>
      <c r="AB291" s="367">
        <f t="shared" si="192"/>
        <v>0</v>
      </c>
      <c r="AC291" s="367">
        <f t="shared" si="192"/>
        <v>0</v>
      </c>
      <c r="AD291" s="367">
        <f t="shared" si="192"/>
        <v>0</v>
      </c>
      <c r="AE291" s="367">
        <f t="shared" si="192"/>
        <v>0</v>
      </c>
      <c r="AF291" s="367">
        <f t="shared" si="192"/>
        <v>0</v>
      </c>
      <c r="AG291" s="367">
        <f t="shared" si="192"/>
        <v>0</v>
      </c>
      <c r="AH291" s="367">
        <f t="shared" si="192"/>
        <v>0</v>
      </c>
      <c r="AI291" s="367">
        <f t="shared" si="192"/>
        <v>0</v>
      </c>
      <c r="AJ291" s="367">
        <f t="shared" si="192"/>
        <v>0</v>
      </c>
      <c r="AK291" s="367">
        <f t="shared" si="192"/>
        <v>0</v>
      </c>
      <c r="AL291" s="367">
        <f t="shared" si="192"/>
        <v>0</v>
      </c>
      <c r="AM291" s="367">
        <f t="shared" si="192"/>
        <v>0</v>
      </c>
    </row>
    <row r="292" spans="2:50" ht="3.75" customHeight="1" x14ac:dyDescent="0.3"/>
    <row r="293" spans="2:50" ht="15" customHeight="1" x14ac:dyDescent="0.3">
      <c r="B293" s="359" t="s">
        <v>5163</v>
      </c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O293" s="368">
        <f t="shared" ref="O293:AM293" si="193">-O288</f>
        <v>1720.2853571275373</v>
      </c>
      <c r="P293" s="368">
        <f t="shared" si="193"/>
        <v>-653016.59090648789</v>
      </c>
      <c r="Q293" s="368">
        <f t="shared" si="193"/>
        <v>-809425.82275941735</v>
      </c>
      <c r="R293" s="368">
        <f t="shared" si="193"/>
        <v>-985559.16917670367</v>
      </c>
      <c r="S293" s="368">
        <f t="shared" si="193"/>
        <v>-1174258.0392701395</v>
      </c>
      <c r="T293" s="368">
        <f t="shared" si="193"/>
        <v>-1332479.6713290692</v>
      </c>
      <c r="U293" s="368">
        <f t="shared" si="193"/>
        <v>-1508080.2877143412</v>
      </c>
      <c r="V293" s="368">
        <f t="shared" si="193"/>
        <v>-1692667.6252107606</v>
      </c>
      <c r="W293" s="368">
        <f t="shared" si="193"/>
        <v>-1893508.5718563984</v>
      </c>
      <c r="X293" s="368">
        <f t="shared" si="193"/>
        <v>-2106309.4959176658</v>
      </c>
      <c r="Y293" s="368">
        <f t="shared" si="193"/>
        <v>-2329266.7691049934</v>
      </c>
      <c r="Z293" s="368">
        <f t="shared" si="193"/>
        <v>-2538006.4516177662</v>
      </c>
      <c r="AA293" s="368">
        <f t="shared" si="193"/>
        <v>-2756485.2602305445</v>
      </c>
      <c r="AB293" s="368">
        <f t="shared" si="193"/>
        <v>-2982982.1929168706</v>
      </c>
      <c r="AC293" s="368">
        <f t="shared" si="193"/>
        <v>-3226977.5205625882</v>
      </c>
      <c r="AD293" s="368">
        <f t="shared" si="193"/>
        <v>-3486697.1648017149</v>
      </c>
      <c r="AE293" s="368">
        <f t="shared" si="193"/>
        <v>-3729585.370193548</v>
      </c>
      <c r="AF293" s="368">
        <f t="shared" si="193"/>
        <v>-3987172.1516082566</v>
      </c>
      <c r="AG293" s="368">
        <f t="shared" si="193"/>
        <v>-4267292.4344570795</v>
      </c>
      <c r="AH293" s="368">
        <f t="shared" si="193"/>
        <v>-4572706.7425340246</v>
      </c>
      <c r="AI293" s="368">
        <f t="shared" si="193"/>
        <v>-4897406.5582814049</v>
      </c>
      <c r="AJ293" s="368">
        <f t="shared" si="193"/>
        <v>-5217645.8600324746</v>
      </c>
      <c r="AK293" s="368">
        <f t="shared" si="193"/>
        <v>-5558629.2440057192</v>
      </c>
      <c r="AL293" s="368">
        <f t="shared" si="193"/>
        <v>-5933800.0578196505</v>
      </c>
      <c r="AM293" s="368">
        <f t="shared" si="193"/>
        <v>-6355661.9276160495</v>
      </c>
    </row>
    <row r="294" spans="2:50" ht="15" customHeight="1" x14ac:dyDescent="0.3">
      <c r="B294" s="364" t="s">
        <v>5164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O294" s="367">
        <f t="shared" ref="O294:AM294" si="194">O288+O293</f>
        <v>0</v>
      </c>
      <c r="P294" s="367">
        <f t="shared" si="194"/>
        <v>0</v>
      </c>
      <c r="Q294" s="367">
        <f t="shared" si="194"/>
        <v>0</v>
      </c>
      <c r="R294" s="367">
        <f t="shared" si="194"/>
        <v>0</v>
      </c>
      <c r="S294" s="367">
        <f t="shared" si="194"/>
        <v>0</v>
      </c>
      <c r="T294" s="367">
        <f t="shared" si="194"/>
        <v>0</v>
      </c>
      <c r="U294" s="367">
        <f t="shared" si="194"/>
        <v>0</v>
      </c>
      <c r="V294" s="367">
        <f t="shared" si="194"/>
        <v>0</v>
      </c>
      <c r="W294" s="367">
        <f t="shared" si="194"/>
        <v>0</v>
      </c>
      <c r="X294" s="367">
        <f t="shared" si="194"/>
        <v>0</v>
      </c>
      <c r="Y294" s="367">
        <f t="shared" si="194"/>
        <v>0</v>
      </c>
      <c r="Z294" s="367">
        <f t="shared" si="194"/>
        <v>0</v>
      </c>
      <c r="AA294" s="367">
        <f t="shared" si="194"/>
        <v>0</v>
      </c>
      <c r="AB294" s="367">
        <f t="shared" si="194"/>
        <v>0</v>
      </c>
      <c r="AC294" s="367">
        <f t="shared" si="194"/>
        <v>0</v>
      </c>
      <c r="AD294" s="367">
        <f t="shared" si="194"/>
        <v>0</v>
      </c>
      <c r="AE294" s="367">
        <f t="shared" si="194"/>
        <v>0</v>
      </c>
      <c r="AF294" s="367">
        <f t="shared" si="194"/>
        <v>0</v>
      </c>
      <c r="AG294" s="367">
        <f t="shared" si="194"/>
        <v>0</v>
      </c>
      <c r="AH294" s="367">
        <f t="shared" si="194"/>
        <v>0</v>
      </c>
      <c r="AI294" s="367">
        <f t="shared" si="194"/>
        <v>0</v>
      </c>
      <c r="AJ294" s="367">
        <f t="shared" si="194"/>
        <v>0</v>
      </c>
      <c r="AK294" s="367">
        <f t="shared" si="194"/>
        <v>0</v>
      </c>
      <c r="AL294" s="367">
        <f t="shared" si="194"/>
        <v>0</v>
      </c>
      <c r="AM294" s="367">
        <f t="shared" si="194"/>
        <v>0</v>
      </c>
    </row>
    <row r="295" spans="2:50" ht="4.5" customHeight="1" x14ac:dyDescent="0.3"/>
    <row r="296" spans="2:50" ht="15" customHeight="1" x14ac:dyDescent="0.3">
      <c r="B296" s="324"/>
      <c r="C296" s="323" t="s">
        <v>5165</v>
      </c>
      <c r="D296" s="324"/>
      <c r="E296" s="324"/>
      <c r="F296" s="324"/>
      <c r="G296" s="324"/>
      <c r="H296" s="324"/>
      <c r="I296" s="324"/>
      <c r="J296" s="324"/>
      <c r="K296" s="324"/>
      <c r="L296" s="324"/>
      <c r="O296" s="369">
        <f>-O293</f>
        <v>-1720.2853571275373</v>
      </c>
      <c r="P296" s="369">
        <f t="shared" ref="P296:AM296" si="195">-P293</f>
        <v>653016.59090648789</v>
      </c>
      <c r="Q296" s="369">
        <f t="shared" si="195"/>
        <v>809425.82275941735</v>
      </c>
      <c r="R296" s="369">
        <f t="shared" si="195"/>
        <v>985559.16917670367</v>
      </c>
      <c r="S296" s="369">
        <f t="shared" si="195"/>
        <v>1174258.0392701395</v>
      </c>
      <c r="T296" s="369">
        <f t="shared" si="195"/>
        <v>1332479.6713290692</v>
      </c>
      <c r="U296" s="369">
        <f t="shared" si="195"/>
        <v>1508080.2877143412</v>
      </c>
      <c r="V296" s="369">
        <f t="shared" si="195"/>
        <v>1692667.6252107606</v>
      </c>
      <c r="W296" s="369">
        <f t="shared" si="195"/>
        <v>1893508.5718563984</v>
      </c>
      <c r="X296" s="369">
        <f t="shared" si="195"/>
        <v>2106309.4959176658</v>
      </c>
      <c r="Y296" s="369">
        <f t="shared" si="195"/>
        <v>2329266.7691049934</v>
      </c>
      <c r="Z296" s="369">
        <f t="shared" si="195"/>
        <v>2538006.4516177662</v>
      </c>
      <c r="AA296" s="369">
        <f t="shared" si="195"/>
        <v>2756485.2602305445</v>
      </c>
      <c r="AB296" s="369">
        <f t="shared" si="195"/>
        <v>2982982.1929168706</v>
      </c>
      <c r="AC296" s="369">
        <f t="shared" si="195"/>
        <v>3226977.5205625882</v>
      </c>
      <c r="AD296" s="369">
        <f t="shared" si="195"/>
        <v>3486697.1648017149</v>
      </c>
      <c r="AE296" s="369">
        <f t="shared" si="195"/>
        <v>3729585.370193548</v>
      </c>
      <c r="AF296" s="369">
        <f t="shared" si="195"/>
        <v>3987172.1516082566</v>
      </c>
      <c r="AG296" s="369">
        <f t="shared" si="195"/>
        <v>4267292.4344570795</v>
      </c>
      <c r="AH296" s="369">
        <f t="shared" si="195"/>
        <v>4572706.7425340246</v>
      </c>
      <c r="AI296" s="369">
        <f t="shared" si="195"/>
        <v>4897406.5582814049</v>
      </c>
      <c r="AJ296" s="369">
        <f t="shared" si="195"/>
        <v>5217645.8600324746</v>
      </c>
      <c r="AK296" s="369">
        <f t="shared" si="195"/>
        <v>5558629.2440057192</v>
      </c>
      <c r="AL296" s="369">
        <f t="shared" si="195"/>
        <v>5933800.0578196505</v>
      </c>
      <c r="AM296" s="369">
        <f t="shared" si="195"/>
        <v>6355661.9276160495</v>
      </c>
    </row>
    <row r="297" spans="2:50" ht="12.75" customHeight="1" x14ac:dyDescent="0.3"/>
    <row r="298" spans="2:50" ht="15" customHeight="1" x14ac:dyDescent="0.3">
      <c r="B298" s="321" t="s">
        <v>126</v>
      </c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2"/>
      <c r="N298" s="322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5"/>
      <c r="AO298" s="9"/>
      <c r="AP298" s="9"/>
      <c r="AQ298" s="9"/>
      <c r="AR298" s="9"/>
      <c r="AS298" s="9"/>
      <c r="AT298" s="9"/>
      <c r="AU298" s="9"/>
      <c r="AV298" s="9"/>
      <c r="AW298" s="9"/>
      <c r="AX298" s="221"/>
    </row>
    <row r="299" spans="2:50" ht="15" customHeight="1" thickBo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  <c r="AX299" s="221"/>
    </row>
    <row r="300" spans="2:50" ht="15" customHeight="1" x14ac:dyDescent="0.3">
      <c r="B300" s="1"/>
      <c r="C300" s="636" t="s">
        <v>5273</v>
      </c>
      <c r="D300" s="637"/>
      <c r="E300" s="637"/>
      <c r="F300" s="638"/>
      <c r="G300" s="165"/>
      <c r="H300" s="165"/>
      <c r="I300" s="205"/>
      <c r="J300" s="205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  <c r="AX300" s="221"/>
    </row>
    <row r="301" spans="2:50" ht="15" customHeight="1" x14ac:dyDescent="0.3">
      <c r="B301" s="1"/>
      <c r="C301" s="634" t="s">
        <v>127</v>
      </c>
      <c r="D301" s="627"/>
      <c r="E301" s="635" t="s">
        <v>128</v>
      </c>
      <c r="F301" s="629"/>
      <c r="G301" s="165"/>
      <c r="H301" s="295"/>
      <c r="I301" s="295"/>
      <c r="J301" s="296"/>
      <c r="K301" s="144"/>
      <c r="L301" s="14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  <c r="AX301" s="221"/>
    </row>
    <row r="302" spans="2:50" ht="15" customHeight="1" x14ac:dyDescent="0.3">
      <c r="B302" s="1"/>
      <c r="C302" s="626" t="s">
        <v>5158</v>
      </c>
      <c r="D302" s="627"/>
      <c r="E302" s="639">
        <f>Painel!I17</f>
        <v>98725.583333333328</v>
      </c>
      <c r="F302" s="640"/>
      <c r="G302" s="297"/>
      <c r="H302" s="298"/>
      <c r="I302" s="296"/>
      <c r="J302" s="16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  <c r="AX302" s="221"/>
    </row>
    <row r="303" spans="2:50" ht="15" customHeight="1" x14ac:dyDescent="0.3">
      <c r="B303" s="1"/>
      <c r="C303" s="626" t="s">
        <v>5171</v>
      </c>
      <c r="D303" s="641"/>
      <c r="E303" s="639">
        <f>Painel!I18</f>
        <v>6941.1566666666668</v>
      </c>
      <c r="F303" s="640"/>
      <c r="G303" s="297"/>
      <c r="H303" s="298"/>
      <c r="I303" s="296"/>
      <c r="J303" s="16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75"/>
      <c r="AO303" s="1"/>
      <c r="AP303" s="1"/>
      <c r="AQ303" s="1"/>
      <c r="AR303" s="1"/>
      <c r="AS303" s="1"/>
      <c r="AT303" s="1"/>
      <c r="AU303" s="1"/>
      <c r="AV303" s="1"/>
      <c r="AW303" s="1"/>
      <c r="AX303" s="221"/>
    </row>
    <row r="304" spans="2:50" ht="15" customHeight="1" x14ac:dyDescent="0.3">
      <c r="B304" s="1"/>
      <c r="C304" s="626" t="s">
        <v>5173</v>
      </c>
      <c r="D304" s="627"/>
      <c r="E304" s="642">
        <f>SUM(E302:F303)</f>
        <v>105666.73999999999</v>
      </c>
      <c r="F304" s="643"/>
      <c r="G304" s="297"/>
      <c r="H304" s="298"/>
      <c r="I304" s="296"/>
      <c r="J304" s="16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75"/>
      <c r="AO304" s="1"/>
      <c r="AP304" s="1"/>
      <c r="AQ304" s="1"/>
      <c r="AR304" s="1"/>
      <c r="AS304" s="1"/>
      <c r="AT304" s="1"/>
      <c r="AU304" s="1"/>
      <c r="AV304" s="1"/>
      <c r="AW304" s="1"/>
      <c r="AX304" s="221"/>
    </row>
    <row r="305" spans="2:50" ht="15" customHeight="1" x14ac:dyDescent="0.3">
      <c r="B305" s="1"/>
      <c r="C305" s="626" t="s">
        <v>5172</v>
      </c>
      <c r="D305" s="627"/>
      <c r="E305" s="642">
        <f>E304*12</f>
        <v>1268000.8799999999</v>
      </c>
      <c r="F305" s="643"/>
      <c r="G305" s="165"/>
      <c r="H305" s="165"/>
      <c r="I305" s="165"/>
      <c r="J305" s="299"/>
      <c r="K305" s="17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  <c r="AX305" s="221"/>
    </row>
    <row r="306" spans="2:50" ht="15" customHeight="1" x14ac:dyDescent="0.3">
      <c r="B306" s="1"/>
      <c r="C306" s="178"/>
      <c r="D306" s="179"/>
      <c r="E306" s="179"/>
      <c r="F306" s="176"/>
      <c r="G306" s="180"/>
      <c r="H306" s="181"/>
      <c r="I306" s="146"/>
      <c r="J306" s="145"/>
      <c r="K306" s="145"/>
      <c r="L306" s="147"/>
      <c r="M306" s="148"/>
      <c r="N306" s="148"/>
      <c r="O306" s="148"/>
      <c r="P306" s="149"/>
      <c r="Q306" s="149"/>
      <c r="R306" s="149"/>
      <c r="S306" s="149"/>
      <c r="T306" s="149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7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50" ht="15" customHeight="1" x14ac:dyDescent="0.3">
      <c r="B307" s="321" t="s">
        <v>209</v>
      </c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1"/>
      <c r="N307" s="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  <c r="AE307" s="321"/>
      <c r="AF307" s="321"/>
      <c r="AG307" s="321"/>
      <c r="AH307" s="321"/>
      <c r="AI307" s="321"/>
      <c r="AJ307" s="321"/>
      <c r="AK307" s="321"/>
      <c r="AL307" s="321"/>
      <c r="AM307" s="321"/>
      <c r="AN307" s="5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2:50" ht="15" customHeight="1" x14ac:dyDescent="0.3">
      <c r="B308" s="94" t="s">
        <v>5169</v>
      </c>
      <c r="C308" s="94"/>
      <c r="D308" s="94"/>
      <c r="E308" s="94"/>
      <c r="F308" s="94"/>
      <c r="G308" s="94"/>
      <c r="H308" s="94"/>
      <c r="I308" s="94"/>
      <c r="J308" s="94"/>
      <c r="K308" s="97">
        <f>NPV(WACC!$D$35,O308:AV308)</f>
        <v>3961443.5239059469</v>
      </c>
      <c r="L308" s="97">
        <f t="shared" ref="L308:L310" si="196">SUM(O308:AV308)</f>
        <v>11316357.277032264</v>
      </c>
      <c r="M308" s="1"/>
      <c r="N308" s="1"/>
      <c r="O308" s="97">
        <f t="shared" ref="O308:AM308" si="197">O75</f>
        <v>155018.59283605829</v>
      </c>
      <c r="P308" s="97">
        <f t="shared" si="197"/>
        <v>465055.7785081754</v>
      </c>
      <c r="Q308" s="97">
        <f t="shared" si="197"/>
        <v>465055.7785081754</v>
      </c>
      <c r="R308" s="97">
        <f t="shared" si="197"/>
        <v>465055.7785081754</v>
      </c>
      <c r="S308" s="97">
        <f t="shared" si="197"/>
        <v>465055.7785081754</v>
      </c>
      <c r="T308" s="97">
        <f t="shared" si="197"/>
        <v>465055.7785081754</v>
      </c>
      <c r="U308" s="97">
        <f t="shared" si="197"/>
        <v>465055.7785081754</v>
      </c>
      <c r="V308" s="97">
        <f t="shared" si="197"/>
        <v>465055.7785081754</v>
      </c>
      <c r="W308" s="97">
        <f t="shared" si="197"/>
        <v>465055.7785081754</v>
      </c>
      <c r="X308" s="97">
        <f t="shared" si="197"/>
        <v>465055.7785081754</v>
      </c>
      <c r="Y308" s="97">
        <f t="shared" si="197"/>
        <v>465055.7785081754</v>
      </c>
      <c r="Z308" s="97">
        <f t="shared" si="197"/>
        <v>465055.7785081754</v>
      </c>
      <c r="AA308" s="97">
        <f t="shared" si="197"/>
        <v>465055.7785081754</v>
      </c>
      <c r="AB308" s="97">
        <f t="shared" si="197"/>
        <v>465055.7785081754</v>
      </c>
      <c r="AC308" s="97">
        <f t="shared" si="197"/>
        <v>465055.7785081754</v>
      </c>
      <c r="AD308" s="97">
        <f t="shared" si="197"/>
        <v>465055.7785081754</v>
      </c>
      <c r="AE308" s="97">
        <f t="shared" si="197"/>
        <v>465055.7785081754</v>
      </c>
      <c r="AF308" s="97">
        <f t="shared" si="197"/>
        <v>465055.7785081754</v>
      </c>
      <c r="AG308" s="97">
        <f t="shared" si="197"/>
        <v>465055.7785081754</v>
      </c>
      <c r="AH308" s="97">
        <f t="shared" si="197"/>
        <v>465055.7785081754</v>
      </c>
      <c r="AI308" s="97">
        <f t="shared" si="197"/>
        <v>465055.7785081754</v>
      </c>
      <c r="AJ308" s="97">
        <f t="shared" si="197"/>
        <v>465055.7785081754</v>
      </c>
      <c r="AK308" s="97">
        <f t="shared" si="197"/>
        <v>465055.7785081754</v>
      </c>
      <c r="AL308" s="97">
        <f t="shared" si="197"/>
        <v>465055.7785081754</v>
      </c>
      <c r="AM308" s="97">
        <f t="shared" si="197"/>
        <v>465055.7785081754</v>
      </c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50" ht="15" customHeight="1" x14ac:dyDescent="0.3">
      <c r="B309" s="94" t="s">
        <v>5170</v>
      </c>
      <c r="C309" s="94"/>
      <c r="D309" s="94"/>
      <c r="E309" s="94"/>
      <c r="F309" s="94"/>
      <c r="G309" s="94"/>
      <c r="H309" s="94"/>
      <c r="I309" s="94"/>
      <c r="J309" s="94"/>
      <c r="K309" s="97">
        <f>NPV(WACC!$D$35,O309:AV309)</f>
        <v>11570059.917038666</v>
      </c>
      <c r="L309" s="177">
        <f t="shared" si="196"/>
        <v>31700021.999999981</v>
      </c>
      <c r="M309" s="1"/>
      <c r="N309" s="1"/>
      <c r="O309" s="97">
        <f t="shared" ref="O309:AM309" si="198">$E$305</f>
        <v>1268000.8799999999</v>
      </c>
      <c r="P309" s="97">
        <f t="shared" si="198"/>
        <v>1268000.8799999999</v>
      </c>
      <c r="Q309" s="97">
        <f t="shared" si="198"/>
        <v>1268000.8799999999</v>
      </c>
      <c r="R309" s="97">
        <f t="shared" si="198"/>
        <v>1268000.8799999999</v>
      </c>
      <c r="S309" s="97">
        <f t="shared" si="198"/>
        <v>1268000.8799999999</v>
      </c>
      <c r="T309" s="97">
        <f t="shared" si="198"/>
        <v>1268000.8799999999</v>
      </c>
      <c r="U309" s="97">
        <f t="shared" si="198"/>
        <v>1268000.8799999999</v>
      </c>
      <c r="V309" s="97">
        <f t="shared" si="198"/>
        <v>1268000.8799999999</v>
      </c>
      <c r="W309" s="97">
        <f t="shared" si="198"/>
        <v>1268000.8799999999</v>
      </c>
      <c r="X309" s="97">
        <f t="shared" si="198"/>
        <v>1268000.8799999999</v>
      </c>
      <c r="Y309" s="97">
        <f t="shared" si="198"/>
        <v>1268000.8799999999</v>
      </c>
      <c r="Z309" s="97">
        <f t="shared" si="198"/>
        <v>1268000.8799999999</v>
      </c>
      <c r="AA309" s="97">
        <f t="shared" si="198"/>
        <v>1268000.8799999999</v>
      </c>
      <c r="AB309" s="97">
        <f t="shared" si="198"/>
        <v>1268000.8799999999</v>
      </c>
      <c r="AC309" s="97">
        <f t="shared" si="198"/>
        <v>1268000.8799999999</v>
      </c>
      <c r="AD309" s="97">
        <f t="shared" si="198"/>
        <v>1268000.8799999999</v>
      </c>
      <c r="AE309" s="97">
        <f t="shared" si="198"/>
        <v>1268000.8799999999</v>
      </c>
      <c r="AF309" s="97">
        <f t="shared" si="198"/>
        <v>1268000.8799999999</v>
      </c>
      <c r="AG309" s="97">
        <f t="shared" si="198"/>
        <v>1268000.8799999999</v>
      </c>
      <c r="AH309" s="97">
        <f t="shared" si="198"/>
        <v>1268000.8799999999</v>
      </c>
      <c r="AI309" s="97">
        <f t="shared" si="198"/>
        <v>1268000.8799999999</v>
      </c>
      <c r="AJ309" s="97">
        <f t="shared" si="198"/>
        <v>1268000.8799999999</v>
      </c>
      <c r="AK309" s="97">
        <f t="shared" si="198"/>
        <v>1268000.8799999999</v>
      </c>
      <c r="AL309" s="97">
        <f t="shared" si="198"/>
        <v>1268000.8799999999</v>
      </c>
      <c r="AM309" s="97">
        <f t="shared" si="198"/>
        <v>1268000.8799999999</v>
      </c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50" ht="15" customHeight="1" x14ac:dyDescent="0.3">
      <c r="B310" s="53" t="s">
        <v>210</v>
      </c>
      <c r="C310" s="53"/>
      <c r="D310" s="53"/>
      <c r="E310" s="53"/>
      <c r="F310" s="53"/>
      <c r="G310" s="53"/>
      <c r="H310" s="53"/>
      <c r="I310" s="53"/>
      <c r="J310" s="53"/>
      <c r="K310" s="97">
        <f>NPV(WACC!$D$35,O310:AV310)</f>
        <v>7608616.3931327183</v>
      </c>
      <c r="L310" s="177">
        <f t="shared" si="196"/>
        <v>20383664.722967722</v>
      </c>
      <c r="M310" s="1"/>
      <c r="N310" s="1"/>
      <c r="O310" s="54">
        <f>O309-O308</f>
        <v>1112982.2871639417</v>
      </c>
      <c r="P310" s="54">
        <f t="shared" ref="P310:AM310" si="199">P309-P308</f>
        <v>802945.10149182449</v>
      </c>
      <c r="Q310" s="54">
        <f t="shared" si="199"/>
        <v>802945.10149182449</v>
      </c>
      <c r="R310" s="54">
        <f t="shared" si="199"/>
        <v>802945.10149182449</v>
      </c>
      <c r="S310" s="54">
        <f t="shared" si="199"/>
        <v>802945.10149182449</v>
      </c>
      <c r="T310" s="54">
        <f t="shared" si="199"/>
        <v>802945.10149182449</v>
      </c>
      <c r="U310" s="54">
        <f t="shared" si="199"/>
        <v>802945.10149182449</v>
      </c>
      <c r="V310" s="54">
        <f t="shared" si="199"/>
        <v>802945.10149182449</v>
      </c>
      <c r="W310" s="54">
        <f t="shared" si="199"/>
        <v>802945.10149182449</v>
      </c>
      <c r="X310" s="54">
        <f t="shared" si="199"/>
        <v>802945.10149182449</v>
      </c>
      <c r="Y310" s="54">
        <f t="shared" si="199"/>
        <v>802945.10149182449</v>
      </c>
      <c r="Z310" s="54">
        <f t="shared" si="199"/>
        <v>802945.10149182449</v>
      </c>
      <c r="AA310" s="54">
        <f t="shared" si="199"/>
        <v>802945.10149182449</v>
      </c>
      <c r="AB310" s="54">
        <f t="shared" si="199"/>
        <v>802945.10149182449</v>
      </c>
      <c r="AC310" s="54">
        <f t="shared" si="199"/>
        <v>802945.10149182449</v>
      </c>
      <c r="AD310" s="54">
        <f t="shared" si="199"/>
        <v>802945.10149182449</v>
      </c>
      <c r="AE310" s="54">
        <f t="shared" si="199"/>
        <v>802945.10149182449</v>
      </c>
      <c r="AF310" s="54">
        <f t="shared" si="199"/>
        <v>802945.10149182449</v>
      </c>
      <c r="AG310" s="54">
        <f t="shared" si="199"/>
        <v>802945.10149182449</v>
      </c>
      <c r="AH310" s="54">
        <f t="shared" si="199"/>
        <v>802945.10149182449</v>
      </c>
      <c r="AI310" s="54">
        <f t="shared" si="199"/>
        <v>802945.10149182449</v>
      </c>
      <c r="AJ310" s="54">
        <f t="shared" si="199"/>
        <v>802945.10149182449</v>
      </c>
      <c r="AK310" s="54">
        <f t="shared" si="199"/>
        <v>802945.10149182449</v>
      </c>
      <c r="AL310" s="54">
        <f t="shared" si="199"/>
        <v>802945.10149182449</v>
      </c>
      <c r="AM310" s="54">
        <f t="shared" si="199"/>
        <v>802945.10149182449</v>
      </c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50" ht="15" customHeight="1" x14ac:dyDescent="0.3">
      <c r="B311" s="53" t="s">
        <v>211</v>
      </c>
      <c r="C311" s="53"/>
      <c r="D311" s="53"/>
      <c r="E311" s="53"/>
      <c r="F311" s="53"/>
      <c r="G311" s="53"/>
      <c r="H311" s="53"/>
      <c r="I311" s="53"/>
      <c r="J311" s="53"/>
      <c r="K311" s="177"/>
      <c r="L311" s="191">
        <f>AVERAGE(O311:AM311)</f>
        <v>0.64301736834654999</v>
      </c>
      <c r="M311" s="1"/>
      <c r="N311" s="1"/>
      <c r="O311" s="182">
        <f>1-(O308/O309)</f>
        <v>0.87774567409128434</v>
      </c>
      <c r="P311" s="182">
        <f t="shared" ref="P311:AM311" si="200">1-(P308/P309)</f>
        <v>0.63323702227385248</v>
      </c>
      <c r="Q311" s="182">
        <f t="shared" si="200"/>
        <v>0.63323702227385248</v>
      </c>
      <c r="R311" s="182">
        <f t="shared" si="200"/>
        <v>0.63323702227385248</v>
      </c>
      <c r="S311" s="182">
        <f t="shared" si="200"/>
        <v>0.63323702227385248</v>
      </c>
      <c r="T311" s="182">
        <f t="shared" si="200"/>
        <v>0.63323702227385248</v>
      </c>
      <c r="U311" s="182">
        <f t="shared" si="200"/>
        <v>0.63323702227385248</v>
      </c>
      <c r="V311" s="182">
        <f t="shared" si="200"/>
        <v>0.63323702227385248</v>
      </c>
      <c r="W311" s="182">
        <f t="shared" si="200"/>
        <v>0.63323702227385248</v>
      </c>
      <c r="X311" s="182">
        <f t="shared" si="200"/>
        <v>0.63323702227385248</v>
      </c>
      <c r="Y311" s="182">
        <f t="shared" si="200"/>
        <v>0.63323702227385248</v>
      </c>
      <c r="Z311" s="182">
        <f t="shared" si="200"/>
        <v>0.63323702227385248</v>
      </c>
      <c r="AA311" s="182">
        <f t="shared" si="200"/>
        <v>0.63323702227385248</v>
      </c>
      <c r="AB311" s="182">
        <f t="shared" si="200"/>
        <v>0.63323702227385248</v>
      </c>
      <c r="AC311" s="182">
        <f t="shared" si="200"/>
        <v>0.63323702227385248</v>
      </c>
      <c r="AD311" s="182">
        <f t="shared" si="200"/>
        <v>0.63323702227385248</v>
      </c>
      <c r="AE311" s="182">
        <f t="shared" si="200"/>
        <v>0.63323702227385248</v>
      </c>
      <c r="AF311" s="182">
        <f t="shared" si="200"/>
        <v>0.63323702227385248</v>
      </c>
      <c r="AG311" s="182">
        <f t="shared" si="200"/>
        <v>0.63323702227385248</v>
      </c>
      <c r="AH311" s="182">
        <f t="shared" si="200"/>
        <v>0.63323702227385248</v>
      </c>
      <c r="AI311" s="182">
        <f t="shared" si="200"/>
        <v>0.63323702227385248</v>
      </c>
      <c r="AJ311" s="182">
        <f t="shared" si="200"/>
        <v>0.63323702227385248</v>
      </c>
      <c r="AK311" s="182">
        <f t="shared" si="200"/>
        <v>0.63323702227385248</v>
      </c>
      <c r="AL311" s="182">
        <f t="shared" si="200"/>
        <v>0.63323702227385248</v>
      </c>
      <c r="AM311" s="182">
        <f t="shared" si="200"/>
        <v>0.63323702227385248</v>
      </c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50" ht="15" customHeight="1" thickBot="1" x14ac:dyDescent="0.35"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50" ht="15" customHeight="1" x14ac:dyDescent="0.3">
      <c r="C313" s="636" t="s">
        <v>5157</v>
      </c>
      <c r="D313" s="637"/>
      <c r="E313" s="637"/>
      <c r="F313" s="638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50" ht="15" customHeight="1" x14ac:dyDescent="0.3">
      <c r="C314" s="634" t="s">
        <v>163</v>
      </c>
      <c r="D314" s="627"/>
      <c r="E314" s="635" t="s">
        <v>128</v>
      </c>
      <c r="F314" s="629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50" ht="15" customHeight="1" x14ac:dyDescent="0.3">
      <c r="C315" s="626" t="s">
        <v>212</v>
      </c>
      <c r="D315" s="627"/>
      <c r="E315" s="628">
        <f>K308</f>
        <v>3961443.5239059469</v>
      </c>
      <c r="F315" s="629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50" ht="15" customHeight="1" x14ac:dyDescent="0.3">
      <c r="C316" s="626" t="s">
        <v>213</v>
      </c>
      <c r="D316" s="627"/>
      <c r="E316" s="628">
        <f>K309</f>
        <v>11570059.917038666</v>
      </c>
      <c r="F316" s="629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50" ht="15" customHeight="1" x14ac:dyDescent="0.3">
      <c r="C317" s="626" t="s">
        <v>214</v>
      </c>
      <c r="D317" s="627"/>
      <c r="E317" s="632">
        <f>E316-E315</f>
        <v>7608616.3931327192</v>
      </c>
      <c r="F317" s="633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50" ht="15" customHeight="1" x14ac:dyDescent="0.3">
      <c r="C318" s="626" t="s">
        <v>164</v>
      </c>
      <c r="D318" s="627"/>
      <c r="E318" s="628">
        <f>L308</f>
        <v>11316357.277032264</v>
      </c>
      <c r="F318" s="629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50" ht="15" customHeight="1" x14ac:dyDescent="0.3">
      <c r="B319" s="1"/>
      <c r="C319" s="626" t="s">
        <v>165</v>
      </c>
      <c r="D319" s="627"/>
      <c r="E319" s="628">
        <f>L309</f>
        <v>31700021.999999981</v>
      </c>
      <c r="F319" s="629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5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50" ht="15" customHeight="1" x14ac:dyDescent="0.3">
      <c r="B320" s="1"/>
      <c r="C320" s="626" t="s">
        <v>5174</v>
      </c>
      <c r="D320" s="627"/>
      <c r="E320" s="630">
        <f>1-(E318/E319)</f>
        <v>0.64301736834654966</v>
      </c>
      <c r="F320" s="63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321" t="s">
        <v>5189</v>
      </c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1"/>
      <c r="N322" s="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5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376" t="s">
        <v>5190</v>
      </c>
      <c r="D324" s="377" t="s">
        <v>5191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3.8" x14ac:dyDescent="0.3">
      <c r="B325" s="1"/>
      <c r="C325" s="110">
        <v>0</v>
      </c>
      <c r="D325" s="110">
        <v>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8.25" customHeight="1" x14ac:dyDescent="0.3">
      <c r="B326" s="1"/>
      <c r="C326" s="370"/>
      <c r="D326" s="370"/>
      <c r="E326" s="6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376" t="s">
        <v>5192</v>
      </c>
      <c r="D327" s="376" t="s">
        <v>5193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371">
        <f>L29</f>
        <v>2972866.2161122118</v>
      </c>
      <c r="D328" s="371">
        <f>L11</f>
        <v>5291912.3215502268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9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376" t="s">
        <v>5194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379">
        <f>$L$157</f>
        <v>9.9320884002751519E-2</v>
      </c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3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234"/>
      <c r="C333" s="378"/>
      <c r="D333" s="624" t="s">
        <v>104</v>
      </c>
      <c r="E333" s="624"/>
      <c r="F333" s="624"/>
      <c r="G333" s="624"/>
      <c r="H333" s="624"/>
      <c r="I333" s="624"/>
      <c r="J333" s="62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625" t="s">
        <v>5195</v>
      </c>
      <c r="C334" s="375">
        <f>$C$331</f>
        <v>9.9320884002751519E-2</v>
      </c>
      <c r="D334" s="372">
        <v>-15</v>
      </c>
      <c r="E334" s="372">
        <v>-10</v>
      </c>
      <c r="F334" s="372">
        <v>-5</v>
      </c>
      <c r="G334" s="372">
        <v>0</v>
      </c>
      <c r="H334" s="372">
        <v>5</v>
      </c>
      <c r="I334" s="372">
        <v>10</v>
      </c>
      <c r="J334" s="372">
        <v>15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625"/>
      <c r="C335" s="373">
        <v>-15</v>
      </c>
      <c r="D335" s="374">
        <f t="dataTable" ref="D335:J341" dt2D="1" dtr="1" r1="C325" r2="D325"/>
        <v>0.24207446178111836</v>
      </c>
      <c r="E335" s="374">
        <v>0.21312560959459392</v>
      </c>
      <c r="F335" s="374">
        <v>0.18724294972473254</v>
      </c>
      <c r="G335" s="374">
        <v>0.16389816782149458</v>
      </c>
      <c r="H335" s="374">
        <v>0.1426632121179332</v>
      </c>
      <c r="I335" s="374">
        <v>0.12318837086005607</v>
      </c>
      <c r="J335" s="374">
        <v>0.10518574113033807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625"/>
      <c r="C336" s="373">
        <v>-10</v>
      </c>
      <c r="D336" s="374">
        <v>0.21646893875245832</v>
      </c>
      <c r="E336" s="374">
        <v>0.1895011230233703</v>
      </c>
      <c r="F336" s="374">
        <v>0.16526685051474854</v>
      </c>
      <c r="G336" s="374">
        <v>0.14329245822743708</v>
      </c>
      <c r="H336" s="374">
        <v>0.12319322431913893</v>
      </c>
      <c r="I336" s="374">
        <v>0.10465414106954829</v>
      </c>
      <c r="J336" s="374">
        <v>8.7415304531415439E-2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625"/>
      <c r="C337" s="373">
        <v>-5</v>
      </c>
      <c r="D337" s="374">
        <v>0.19025635979647593</v>
      </c>
      <c r="E337" s="374">
        <v>0.16518336939801803</v>
      </c>
      <c r="F337" s="374">
        <v>0.14251541869050444</v>
      </c>
      <c r="G337" s="374">
        <v>0.12183142545567072</v>
      </c>
      <c r="H337" s="374">
        <v>0.10278851090782393</v>
      </c>
      <c r="I337" s="374">
        <v>8.510522005874499E-2</v>
      </c>
      <c r="J337" s="374">
        <v>6.8548707552879229E-2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625"/>
      <c r="C338" s="373">
        <v>0</v>
      </c>
      <c r="D338" s="374">
        <v>0.16332141421264246</v>
      </c>
      <c r="E338" s="374">
        <v>0.14003088005894071</v>
      </c>
      <c r="F338" s="374">
        <v>0.11882094064270809</v>
      </c>
      <c r="G338" s="374">
        <v>9.9320884002751519E-2</v>
      </c>
      <c r="H338" s="374">
        <v>8.1227961795383496E-2</v>
      </c>
      <c r="I338" s="374">
        <v>6.4292877835114171E-2</v>
      </c>
      <c r="J338" s="374">
        <v>4.8308707658159866E-2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625"/>
      <c r="C339" s="373">
        <v>5</v>
      </c>
      <c r="D339" s="374">
        <v>0.13546987689425793</v>
      </c>
      <c r="E339" s="374">
        <v>0.11381454541787539</v>
      </c>
      <c r="F339" s="374">
        <v>9.3918877052183491E-2</v>
      </c>
      <c r="G339" s="374">
        <v>7.5460015540604664E-2</v>
      </c>
      <c r="H339" s="374">
        <v>5.8173302651908454E-2</v>
      </c>
      <c r="I339" s="374">
        <v>4.1839959733926957E-2</v>
      </c>
      <c r="J339" s="374">
        <v>2.6277775930453773E-2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625"/>
      <c r="C340" s="373">
        <v>10</v>
      </c>
      <c r="D340" s="374">
        <v>0.10637803365095722</v>
      </c>
      <c r="E340" s="374">
        <v>8.6161715454699639E-2</v>
      </c>
      <c r="F340" s="374">
        <v>6.7386061197036273E-2</v>
      </c>
      <c r="G340" s="374">
        <v>4.9773107363575653E-2</v>
      </c>
      <c r="H340" s="374">
        <v>3.3093963023045347E-2</v>
      </c>
      <c r="I340" s="374">
        <v>1.7158779506022404E-2</v>
      </c>
      <c r="J340" s="374">
        <v>1.8094202268799098E-3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625"/>
      <c r="C341" s="373">
        <v>15</v>
      </c>
      <c r="D341" s="374">
        <v>7.5499550823786121E-2</v>
      </c>
      <c r="E341" s="374">
        <v>5.6452726467168812E-2</v>
      </c>
      <c r="F341" s="374">
        <v>3.8525927686566819E-2</v>
      </c>
      <c r="G341" s="374">
        <v>2.1482911368426061E-2</v>
      </c>
      <c r="H341" s="374">
        <v>5.1287261500421177E-3</v>
      </c>
      <c r="I341" s="374">
        <v>-1.0697595619295619E-2</v>
      </c>
      <c r="J341" s="374">
        <v>-2.612781728938518E-2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321" t="s">
        <v>5196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1"/>
      <c r="N344" s="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5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 t="s">
        <v>5224</v>
      </c>
      <c r="D346" s="435">
        <f>NPV(WACC!$D$35,PA!O355:AM355)</f>
        <v>4398005.8192555532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7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 t="s">
        <v>5225</v>
      </c>
      <c r="D347" s="435">
        <f>NPV(WACC!$D$35,O358:AM358)</f>
        <v>3961443.5239059469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7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7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436" t="s">
        <v>5226</v>
      </c>
      <c r="D349" s="437">
        <f>1-(D347/D346)</f>
        <v>9.9263692066579146E-2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7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7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438"/>
      <c r="C351" s="439" t="s">
        <v>5227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1"/>
      <c r="N351" s="1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  <c r="AH351" s="438"/>
      <c r="AI351" s="438"/>
      <c r="AJ351" s="438"/>
      <c r="AK351" s="438"/>
      <c r="AL351" s="438"/>
      <c r="AM351" s="438"/>
      <c r="AN351" s="17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234" t="s">
        <v>5228</v>
      </c>
      <c r="D352" s="1"/>
      <c r="E352" s="441">
        <v>0.25840000000000002</v>
      </c>
      <c r="F352" s="1"/>
      <c r="G352" s="1"/>
      <c r="H352" s="1"/>
      <c r="I352" s="1"/>
      <c r="J352" s="1"/>
      <c r="K352" s="1"/>
      <c r="L352" s="1"/>
      <c r="M352" s="1"/>
      <c r="N352" s="1"/>
      <c r="O352" s="195">
        <f t="shared" ref="O352:AM352" si="201">(O29)*(1+$E$352)</f>
        <v>1170625.3823809535</v>
      </c>
      <c r="P352" s="195">
        <f t="shared" si="201"/>
        <v>0</v>
      </c>
      <c r="Q352" s="195">
        <f t="shared" si="201"/>
        <v>0</v>
      </c>
      <c r="R352" s="195">
        <f t="shared" si="201"/>
        <v>0</v>
      </c>
      <c r="S352" s="195">
        <f t="shared" si="201"/>
        <v>516668.52086128009</v>
      </c>
      <c r="T352" s="195">
        <f t="shared" si="201"/>
        <v>0</v>
      </c>
      <c r="U352" s="195">
        <f t="shared" si="201"/>
        <v>0</v>
      </c>
      <c r="V352" s="195">
        <f t="shared" si="201"/>
        <v>47261.589210709972</v>
      </c>
      <c r="W352" s="195">
        <f t="shared" si="201"/>
        <v>70055.699061144231</v>
      </c>
      <c r="X352" s="195">
        <f t="shared" si="201"/>
        <v>0</v>
      </c>
      <c r="Y352" s="195">
        <f t="shared" si="201"/>
        <v>513084.69270114548</v>
      </c>
      <c r="Z352" s="195">
        <f t="shared" si="201"/>
        <v>0</v>
      </c>
      <c r="AA352" s="195">
        <f t="shared" si="201"/>
        <v>225545.93417389833</v>
      </c>
      <c r="AB352" s="195">
        <f t="shared" si="201"/>
        <v>0</v>
      </c>
      <c r="AC352" s="195">
        <f t="shared" si="201"/>
        <v>0</v>
      </c>
      <c r="AD352" s="195">
        <f t="shared" si="201"/>
        <v>560294.83629253111</v>
      </c>
      <c r="AE352" s="195">
        <f t="shared" si="201"/>
        <v>11427.407964810238</v>
      </c>
      <c r="AF352" s="195">
        <f t="shared" si="201"/>
        <v>58679.736715658342</v>
      </c>
      <c r="AG352" s="195">
        <f t="shared" si="201"/>
        <v>0</v>
      </c>
      <c r="AH352" s="195">
        <f t="shared" si="201"/>
        <v>0</v>
      </c>
      <c r="AI352" s="195">
        <f t="shared" si="201"/>
        <v>516617.0752419557</v>
      </c>
      <c r="AJ352" s="195">
        <f t="shared" si="201"/>
        <v>0</v>
      </c>
      <c r="AK352" s="195">
        <f t="shared" si="201"/>
        <v>47261.589210709972</v>
      </c>
      <c r="AL352" s="195">
        <f t="shared" si="201"/>
        <v>0</v>
      </c>
      <c r="AM352" s="195">
        <f t="shared" si="201"/>
        <v>3532.3825408102384</v>
      </c>
      <c r="AN352" s="17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234" t="s">
        <v>161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95">
        <f t="shared" ref="O353:AM353" si="202">(O11)*(1+$E$352)</f>
        <v>171236.65386822648</v>
      </c>
      <c r="P353" s="195">
        <f t="shared" si="202"/>
        <v>268520.84690900642</v>
      </c>
      <c r="Q353" s="195">
        <f t="shared" si="202"/>
        <v>277496.55725701916</v>
      </c>
      <c r="R353" s="195">
        <f t="shared" si="202"/>
        <v>268345.27905150398</v>
      </c>
      <c r="S353" s="195">
        <f t="shared" si="202"/>
        <v>269758.68493551674</v>
      </c>
      <c r="T353" s="195">
        <f t="shared" si="202"/>
        <v>275732.01565800153</v>
      </c>
      <c r="U353" s="195">
        <f t="shared" si="202"/>
        <v>269583.11707801436</v>
      </c>
      <c r="V353" s="195">
        <f t="shared" si="202"/>
        <v>275556.44780049915</v>
      </c>
      <c r="W353" s="195">
        <f t="shared" si="202"/>
        <v>269407.54922051198</v>
      </c>
      <c r="X353" s="195">
        <f t="shared" si="202"/>
        <v>267818.57547899679</v>
      </c>
      <c r="Y353" s="195">
        <f t="shared" si="202"/>
        <v>276794.28582700953</v>
      </c>
      <c r="Z353" s="195">
        <f t="shared" si="202"/>
        <v>267643.00762149435</v>
      </c>
      <c r="AA353" s="195">
        <f t="shared" si="202"/>
        <v>276618.7179695071</v>
      </c>
      <c r="AB353" s="195">
        <f t="shared" si="202"/>
        <v>267467.43976399192</v>
      </c>
      <c r="AC353" s="195">
        <f t="shared" si="202"/>
        <v>268880.84564800473</v>
      </c>
      <c r="AD353" s="195">
        <f t="shared" si="202"/>
        <v>274854.17637048953</v>
      </c>
      <c r="AE353" s="195">
        <f t="shared" si="202"/>
        <v>268705.27779050235</v>
      </c>
      <c r="AF353" s="195">
        <f t="shared" si="202"/>
        <v>274678.60851298709</v>
      </c>
      <c r="AG353" s="195">
        <f t="shared" si="202"/>
        <v>268529.70993299992</v>
      </c>
      <c r="AH353" s="195">
        <f t="shared" si="202"/>
        <v>266940.73619148473</v>
      </c>
      <c r="AI353" s="195">
        <f t="shared" si="202"/>
        <v>275916.44653949747</v>
      </c>
      <c r="AJ353" s="195">
        <f t="shared" si="202"/>
        <v>266765.16833398229</v>
      </c>
      <c r="AK353" s="195">
        <f t="shared" si="202"/>
        <v>275740.87868199509</v>
      </c>
      <c r="AL353" s="195">
        <f t="shared" si="202"/>
        <v>266589.60047647991</v>
      </c>
      <c r="AM353" s="195">
        <f t="shared" si="202"/>
        <v>249761.83852108187</v>
      </c>
      <c r="AN353" s="17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256" t="s">
        <v>5154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95">
        <f>-O165</f>
        <v>42250.703995304029</v>
      </c>
      <c r="P354" s="195">
        <f t="shared" ref="P354:AM354" si="203">-P165</f>
        <v>35208.919996086697</v>
      </c>
      <c r="Q354" s="195">
        <f t="shared" si="203"/>
        <v>28167.135996869358</v>
      </c>
      <c r="R354" s="195">
        <f t="shared" si="203"/>
        <v>21125.351997652022</v>
      </c>
      <c r="S354" s="195">
        <f t="shared" si="203"/>
        <v>14083.567998434683</v>
      </c>
      <c r="T354" s="195">
        <f t="shared" si="203"/>
        <v>7041.7839992173449</v>
      </c>
      <c r="U354" s="195">
        <f t="shared" si="203"/>
        <v>0</v>
      </c>
      <c r="V354" s="195">
        <f t="shared" si="203"/>
        <v>6.7404471337795266E-12</v>
      </c>
      <c r="W354" s="195">
        <f t="shared" si="203"/>
        <v>6.7404471337795266E-12</v>
      </c>
      <c r="X354" s="195">
        <f t="shared" si="203"/>
        <v>6.7404471337795266E-12</v>
      </c>
      <c r="Y354" s="195">
        <f t="shared" si="203"/>
        <v>6.7404471337795266E-12</v>
      </c>
      <c r="Z354" s="195">
        <f t="shared" si="203"/>
        <v>6.7404471337795266E-12</v>
      </c>
      <c r="AA354" s="195">
        <f t="shared" si="203"/>
        <v>6.7404471337795266E-12</v>
      </c>
      <c r="AB354" s="195">
        <f t="shared" si="203"/>
        <v>6.7404471337795266E-12</v>
      </c>
      <c r="AC354" s="195">
        <f t="shared" si="203"/>
        <v>6.7404471337795266E-12</v>
      </c>
      <c r="AD354" s="195">
        <f t="shared" si="203"/>
        <v>6.7404471337795266E-12</v>
      </c>
      <c r="AE354" s="195">
        <f t="shared" si="203"/>
        <v>6.7404471337795266E-12</v>
      </c>
      <c r="AF354" s="195">
        <f t="shared" si="203"/>
        <v>6.7404471337795266E-12</v>
      </c>
      <c r="AG354" s="195">
        <f t="shared" si="203"/>
        <v>6.7404471337795266E-12</v>
      </c>
      <c r="AH354" s="195">
        <f t="shared" si="203"/>
        <v>6.7404471337795266E-12</v>
      </c>
      <c r="AI354" s="195">
        <f t="shared" si="203"/>
        <v>6.7404471337795266E-12</v>
      </c>
      <c r="AJ354" s="195">
        <f t="shared" si="203"/>
        <v>6.7404471337795266E-12</v>
      </c>
      <c r="AK354" s="195">
        <f t="shared" si="203"/>
        <v>6.7404471337795266E-12</v>
      </c>
      <c r="AL354" s="195">
        <f t="shared" si="203"/>
        <v>6.7404471337795266E-12</v>
      </c>
      <c r="AM354" s="195">
        <f t="shared" si="203"/>
        <v>6.7404471337795266E-12</v>
      </c>
      <c r="AN354" s="17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234" t="s">
        <v>129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95">
        <f t="shared" ref="O355:AM355" si="204">SUM(O352:O354)</f>
        <v>1384112.740244484</v>
      </c>
      <c r="P355" s="195">
        <f t="shared" si="204"/>
        <v>303729.7669050931</v>
      </c>
      <c r="Q355" s="195">
        <f t="shared" si="204"/>
        <v>305663.69325388852</v>
      </c>
      <c r="R355" s="195">
        <f t="shared" si="204"/>
        <v>289470.63104915601</v>
      </c>
      <c r="S355" s="195">
        <f t="shared" si="204"/>
        <v>800510.77379523148</v>
      </c>
      <c r="T355" s="195">
        <f t="shared" si="204"/>
        <v>282773.79965721886</v>
      </c>
      <c r="U355" s="195">
        <f t="shared" si="204"/>
        <v>269583.11707801436</v>
      </c>
      <c r="V355" s="195">
        <f t="shared" si="204"/>
        <v>322818.03701120912</v>
      </c>
      <c r="W355" s="195">
        <f t="shared" si="204"/>
        <v>339463.24828165618</v>
      </c>
      <c r="X355" s="195">
        <f t="shared" si="204"/>
        <v>267818.57547899679</v>
      </c>
      <c r="Y355" s="195">
        <f t="shared" si="204"/>
        <v>789878.97852815501</v>
      </c>
      <c r="Z355" s="195">
        <f t="shared" si="204"/>
        <v>267643.00762149435</v>
      </c>
      <c r="AA355" s="195">
        <f t="shared" si="204"/>
        <v>502164.6521434054</v>
      </c>
      <c r="AB355" s="195">
        <f t="shared" si="204"/>
        <v>267467.43976399192</v>
      </c>
      <c r="AC355" s="195">
        <f t="shared" si="204"/>
        <v>268880.84564800473</v>
      </c>
      <c r="AD355" s="195">
        <f t="shared" si="204"/>
        <v>835149.01266302064</v>
      </c>
      <c r="AE355" s="195">
        <f t="shared" si="204"/>
        <v>280132.68575531262</v>
      </c>
      <c r="AF355" s="195">
        <f t="shared" si="204"/>
        <v>333358.34522864543</v>
      </c>
      <c r="AG355" s="195">
        <f t="shared" si="204"/>
        <v>268529.70993299992</v>
      </c>
      <c r="AH355" s="195">
        <f t="shared" si="204"/>
        <v>266940.73619148473</v>
      </c>
      <c r="AI355" s="195">
        <f t="shared" si="204"/>
        <v>792533.52178145316</v>
      </c>
      <c r="AJ355" s="195">
        <f t="shared" si="204"/>
        <v>266765.16833398229</v>
      </c>
      <c r="AK355" s="195">
        <f t="shared" si="204"/>
        <v>323002.46789270506</v>
      </c>
      <c r="AL355" s="195">
        <f t="shared" si="204"/>
        <v>266589.60047647991</v>
      </c>
      <c r="AM355" s="195">
        <f t="shared" si="204"/>
        <v>253294.22106189211</v>
      </c>
      <c r="AN355" s="17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60"/>
      <c r="D356" s="60"/>
      <c r="E356" s="6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7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438"/>
      <c r="C357" s="440" t="s">
        <v>5229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1"/>
      <c r="N357" s="1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  <c r="AH357" s="438"/>
      <c r="AI357" s="438"/>
      <c r="AJ357" s="438"/>
      <c r="AK357" s="438"/>
      <c r="AL357" s="438"/>
      <c r="AM357" s="438"/>
      <c r="AN357" s="17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 t="s">
        <v>5230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95">
        <f>O75</f>
        <v>155018.59283605829</v>
      </c>
      <c r="P358" s="195">
        <f t="shared" ref="P358:AM358" si="205">P75</f>
        <v>465055.7785081754</v>
      </c>
      <c r="Q358" s="195">
        <f t="shared" si="205"/>
        <v>465055.7785081754</v>
      </c>
      <c r="R358" s="195">
        <f t="shared" si="205"/>
        <v>465055.7785081754</v>
      </c>
      <c r="S358" s="195">
        <f t="shared" si="205"/>
        <v>465055.7785081754</v>
      </c>
      <c r="T358" s="195">
        <f t="shared" si="205"/>
        <v>465055.7785081754</v>
      </c>
      <c r="U358" s="195">
        <f t="shared" si="205"/>
        <v>465055.7785081754</v>
      </c>
      <c r="V358" s="195">
        <f t="shared" si="205"/>
        <v>465055.7785081754</v>
      </c>
      <c r="W358" s="195">
        <f t="shared" si="205"/>
        <v>465055.7785081754</v>
      </c>
      <c r="X358" s="195">
        <f t="shared" si="205"/>
        <v>465055.7785081754</v>
      </c>
      <c r="Y358" s="195">
        <f t="shared" si="205"/>
        <v>465055.7785081754</v>
      </c>
      <c r="Z358" s="195">
        <f t="shared" si="205"/>
        <v>465055.7785081754</v>
      </c>
      <c r="AA358" s="195">
        <f t="shared" si="205"/>
        <v>465055.7785081754</v>
      </c>
      <c r="AB358" s="195">
        <f t="shared" si="205"/>
        <v>465055.7785081754</v>
      </c>
      <c r="AC358" s="195">
        <f t="shared" si="205"/>
        <v>465055.7785081754</v>
      </c>
      <c r="AD358" s="195">
        <f t="shared" si="205"/>
        <v>465055.7785081754</v>
      </c>
      <c r="AE358" s="195">
        <f t="shared" si="205"/>
        <v>465055.7785081754</v>
      </c>
      <c r="AF358" s="195">
        <f t="shared" si="205"/>
        <v>465055.7785081754</v>
      </c>
      <c r="AG358" s="195">
        <f t="shared" si="205"/>
        <v>465055.7785081754</v>
      </c>
      <c r="AH358" s="195">
        <f t="shared" si="205"/>
        <v>465055.7785081754</v>
      </c>
      <c r="AI358" s="195">
        <f t="shared" si="205"/>
        <v>465055.7785081754</v>
      </c>
      <c r="AJ358" s="195">
        <f t="shared" si="205"/>
        <v>465055.7785081754</v>
      </c>
      <c r="AK358" s="195">
        <f t="shared" si="205"/>
        <v>465055.7785081754</v>
      </c>
      <c r="AL358" s="195">
        <f t="shared" si="205"/>
        <v>465055.7785081754</v>
      </c>
      <c r="AM358" s="195">
        <f t="shared" si="205"/>
        <v>465055.7785081754</v>
      </c>
      <c r="AN358" s="17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5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5" customHeight="1" x14ac:dyDescent="0.3">
      <c r="B465" s="1"/>
      <c r="C465" s="60"/>
      <c r="D465" s="60"/>
      <c r="E465" s="6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5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5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5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5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5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5" customHeight="1" x14ac:dyDescent="0.3">
      <c r="B470" s="1"/>
      <c r="C470" s="60"/>
      <c r="D470" s="60"/>
      <c r="E470" s="6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5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5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5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5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5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5" customHeight="1" x14ac:dyDescent="0.3">
      <c r="B475" s="1"/>
      <c r="C475" s="60"/>
      <c r="D475" s="60"/>
      <c r="E475" s="6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5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5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5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5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5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5" customHeight="1" x14ac:dyDescent="0.3">
      <c r="B480" s="1"/>
      <c r="C480" s="60"/>
      <c r="D480" s="60"/>
      <c r="E480" s="6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5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5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5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5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5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5" customHeight="1" x14ac:dyDescent="0.3">
      <c r="B485" s="1"/>
      <c r="C485" s="60"/>
      <c r="D485" s="60"/>
      <c r="E485" s="6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5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5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5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5"/>
      <c r="AO488" s="1"/>
      <c r="AP488" s="1"/>
      <c r="AQ488" s="1"/>
      <c r="AR488" s="1"/>
      <c r="AS488" s="1"/>
      <c r="AT488" s="1"/>
      <c r="AU488" s="1"/>
      <c r="AV488" s="1"/>
      <c r="AW488" s="1"/>
    </row>
  </sheetData>
  <mergeCells count="28">
    <mergeCell ref="C314:D314"/>
    <mergeCell ref="E314:F314"/>
    <mergeCell ref="C300:F300"/>
    <mergeCell ref="C301:D301"/>
    <mergeCell ref="E301:F301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13:F313"/>
    <mergeCell ref="C315:D315"/>
    <mergeCell ref="E315:F315"/>
    <mergeCell ref="C316:D316"/>
    <mergeCell ref="E316:F316"/>
    <mergeCell ref="C317:D317"/>
    <mergeCell ref="E317:F317"/>
    <mergeCell ref="D333:J333"/>
    <mergeCell ref="B334:B341"/>
    <mergeCell ref="C318:D318"/>
    <mergeCell ref="E318:F318"/>
    <mergeCell ref="C319:D319"/>
    <mergeCell ref="E319:F319"/>
    <mergeCell ref="C320:D320"/>
    <mergeCell ref="E320:F320"/>
  </mergeCells>
  <conditionalFormatting sqref="D335:J341 L3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disablePrompts="1" count="3">
    <dataValidation type="list" allowBlank="1" showInputMessage="1" showErrorMessage="1" sqref="C325:D325" xr:uid="{46303864-8A7B-4604-8333-BCD905554325}">
      <formula1>"-15,-10,-5,0,5,10,15"</formula1>
    </dataValidation>
    <dataValidation type="list" allowBlank="1" showErrorMessage="1" sqref="G114" xr:uid="{AD2415E9-24CF-473C-8113-DB392CD4FC4C}">
      <formula1>"Regulatório,Gerencial"</formula1>
    </dataValidation>
    <dataValidation type="list" allowBlank="1" showErrorMessage="1" sqref="F83" xr:uid="{E426B9BB-59E0-4463-8013-5AC2C256A22D}">
      <formula1>"Real,Nominal"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L67:AM69 P82:AM92 J102:L105 K124:L127 O76:AM76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FFB30-8F78-4976-9921-FA91757F6669}">
  <dimension ref="A1:XFD488"/>
  <sheetViews>
    <sheetView showGridLines="0" zoomScale="85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A7" sqref="A7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38" width="13" customWidth="1"/>
    <col min="39" max="39" width="13.88671875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7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(SUM(O11:AM11))*(1+$D$325/100)</f>
        <v>5199803.1278062956</v>
      </c>
      <c r="M11" s="1"/>
      <c r="N11" s="1"/>
      <c r="O11" s="13">
        <f>(O12+O13+O266)*(1+$D$325/100)</f>
        <v>133744.04862320219</v>
      </c>
      <c r="P11" s="13">
        <f t="shared" ref="P11:AM11" si="4">(P12+P13+P266)*(1+$D$325/100)</f>
        <v>209642.38925409873</v>
      </c>
      <c r="Q11" s="13">
        <f t="shared" si="4"/>
        <v>216727.75962784194</v>
      </c>
      <c r="R11" s="13">
        <f t="shared" si="4"/>
        <v>209505.5007845902</v>
      </c>
      <c r="S11" s="13">
        <f t="shared" si="4"/>
        <v>210581.41115833347</v>
      </c>
      <c r="T11" s="13">
        <f t="shared" si="4"/>
        <v>215378.07231508166</v>
      </c>
      <c r="U11" s="13">
        <f t="shared" si="4"/>
        <v>210444.52268882497</v>
      </c>
      <c r="V11" s="13">
        <f t="shared" si="4"/>
        <v>215241.18384557316</v>
      </c>
      <c r="W11" s="13">
        <f t="shared" si="4"/>
        <v>210307.63421931647</v>
      </c>
      <c r="X11" s="13">
        <f t="shared" si="4"/>
        <v>209094.8353760647</v>
      </c>
      <c r="Y11" s="13">
        <f t="shared" si="4"/>
        <v>216180.20574980794</v>
      </c>
      <c r="Z11" s="13">
        <f t="shared" si="4"/>
        <v>208957.94690655617</v>
      </c>
      <c r="AA11" s="13">
        <f t="shared" si="4"/>
        <v>216043.31728029941</v>
      </c>
      <c r="AB11" s="13">
        <f t="shared" si="4"/>
        <v>208821.05843704767</v>
      </c>
      <c r="AC11" s="13">
        <f t="shared" si="4"/>
        <v>209896.96881079095</v>
      </c>
      <c r="AD11" s="13">
        <f t="shared" si="4"/>
        <v>214693.62996753913</v>
      </c>
      <c r="AE11" s="13">
        <f t="shared" si="4"/>
        <v>209760.08034128245</v>
      </c>
      <c r="AF11" s="13">
        <f t="shared" si="4"/>
        <v>214556.74149803063</v>
      </c>
      <c r="AG11" s="13">
        <f t="shared" si="4"/>
        <v>209623.19187177395</v>
      </c>
      <c r="AH11" s="13">
        <f t="shared" si="4"/>
        <v>208410.39302852217</v>
      </c>
      <c r="AI11" s="13">
        <f t="shared" si="4"/>
        <v>215495.76340226538</v>
      </c>
      <c r="AJ11" s="13">
        <f t="shared" si="4"/>
        <v>208273.50455901364</v>
      </c>
      <c r="AK11" s="13">
        <f t="shared" si="4"/>
        <v>215358.87493275688</v>
      </c>
      <c r="AL11" s="13">
        <f t="shared" si="4"/>
        <v>208136.61608950514</v>
      </c>
      <c r="AM11" s="13">
        <f t="shared" si="4"/>
        <v>194927.47703817568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2475067.4672222119</v>
      </c>
      <c r="M12" s="1"/>
      <c r="N12" s="1"/>
      <c r="O12" s="415">
        <f>O14</f>
        <v>53493.007145408686</v>
      </c>
      <c r="P12" s="415">
        <f t="shared" ref="P12:AM12" si="5">P14</f>
        <v>98933.454771703749</v>
      </c>
      <c r="Q12" s="415">
        <f t="shared" si="5"/>
        <v>104942.91477170374</v>
      </c>
      <c r="R12" s="415">
        <f t="shared" si="5"/>
        <v>98933.454771703749</v>
      </c>
      <c r="S12" s="415">
        <f t="shared" si="5"/>
        <v>98933.454771703749</v>
      </c>
      <c r="T12" s="415">
        <f t="shared" si="5"/>
        <v>104942.91477170374</v>
      </c>
      <c r="U12" s="415">
        <f t="shared" si="5"/>
        <v>98933.454771703749</v>
      </c>
      <c r="V12" s="415">
        <f t="shared" si="5"/>
        <v>104942.91477170374</v>
      </c>
      <c r="W12" s="415">
        <f t="shared" si="5"/>
        <v>98933.454771703749</v>
      </c>
      <c r="X12" s="415">
        <f t="shared" si="5"/>
        <v>98933.454771703749</v>
      </c>
      <c r="Y12" s="415">
        <f t="shared" si="5"/>
        <v>104942.91477170374</v>
      </c>
      <c r="Z12" s="415">
        <f t="shared" si="5"/>
        <v>98933.454771703749</v>
      </c>
      <c r="AA12" s="415">
        <f t="shared" si="5"/>
        <v>104942.91477170374</v>
      </c>
      <c r="AB12" s="415">
        <f t="shared" si="5"/>
        <v>98933.454771703749</v>
      </c>
      <c r="AC12" s="415">
        <f t="shared" si="5"/>
        <v>98933.454771703749</v>
      </c>
      <c r="AD12" s="415">
        <f t="shared" si="5"/>
        <v>104942.91477170374</v>
      </c>
      <c r="AE12" s="415">
        <f t="shared" si="5"/>
        <v>98933.454771703749</v>
      </c>
      <c r="AF12" s="415">
        <f t="shared" si="5"/>
        <v>104942.91477170374</v>
      </c>
      <c r="AG12" s="415">
        <f t="shared" si="5"/>
        <v>98933.454771703749</v>
      </c>
      <c r="AH12" s="415">
        <f t="shared" si="5"/>
        <v>98933.454771703749</v>
      </c>
      <c r="AI12" s="415">
        <f t="shared" si="5"/>
        <v>104942.91477170374</v>
      </c>
      <c r="AJ12" s="415">
        <f t="shared" si="5"/>
        <v>98933.454771703749</v>
      </c>
      <c r="AK12" s="415">
        <f t="shared" si="5"/>
        <v>104942.91477170374</v>
      </c>
      <c r="AL12" s="415">
        <f t="shared" si="5"/>
        <v>98933.454771703749</v>
      </c>
      <c r="AM12" s="415">
        <f t="shared" si="5"/>
        <v>92019.860327616683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2703460.5337441871</v>
      </c>
      <c r="M13" s="1"/>
      <c r="N13" s="1"/>
      <c r="O13" s="415">
        <f>'Fluxo Rateio'!O4*$G$16</f>
        <v>77866.523430071058</v>
      </c>
      <c r="P13" s="415">
        <f>'Fluxo Rateio'!P4*$G$16</f>
        <v>109134.71708304713</v>
      </c>
      <c r="Q13" s="415">
        <f>'Fluxo Rateio'!Q4*$G$16</f>
        <v>110279.07169154465</v>
      </c>
      <c r="R13" s="415">
        <f>'Fluxo Rateio'!R4*$G$16</f>
        <v>109134.71708304713</v>
      </c>
      <c r="S13" s="415">
        <f>'Fluxo Rateio'!S4*$G$16</f>
        <v>110279.07169154465</v>
      </c>
      <c r="T13" s="415">
        <f>'Fluxo Rateio'!T4*$G$16</f>
        <v>109134.71708304713</v>
      </c>
      <c r="U13" s="415">
        <f>'Fluxo Rateio'!U4*$G$16</f>
        <v>110279.07169154465</v>
      </c>
      <c r="V13" s="415">
        <f>'Fluxo Rateio'!V4*$G$16</f>
        <v>109134.71708304713</v>
      </c>
      <c r="W13" s="415">
        <f>'Fluxo Rateio'!W4*$G$16</f>
        <v>110279.07169154465</v>
      </c>
      <c r="X13" s="415">
        <f>'Fluxo Rateio'!X4*$G$16</f>
        <v>109134.71708304713</v>
      </c>
      <c r="Y13" s="415">
        <f>'Fluxo Rateio'!Y4*$G$16</f>
        <v>110279.07169154465</v>
      </c>
      <c r="Z13" s="415">
        <f>'Fluxo Rateio'!Z4*$G$16</f>
        <v>109134.71708304713</v>
      </c>
      <c r="AA13" s="415">
        <f>'Fluxo Rateio'!AA4*$G$16</f>
        <v>110279.07169154465</v>
      </c>
      <c r="AB13" s="415">
        <f>'Fluxo Rateio'!AB4*$G$16</f>
        <v>109134.71708304713</v>
      </c>
      <c r="AC13" s="415">
        <f>'Fluxo Rateio'!AC4*$G$16</f>
        <v>110279.07169154465</v>
      </c>
      <c r="AD13" s="415">
        <f>'Fluxo Rateio'!AD4*$G$16</f>
        <v>109134.71708304713</v>
      </c>
      <c r="AE13" s="415">
        <f>'Fluxo Rateio'!AE4*$G$16</f>
        <v>110279.07169154465</v>
      </c>
      <c r="AF13" s="415">
        <f>'Fluxo Rateio'!AF4*$G$16</f>
        <v>109134.71708304713</v>
      </c>
      <c r="AG13" s="415">
        <f>'Fluxo Rateio'!AG4*$G$16</f>
        <v>110279.07169154465</v>
      </c>
      <c r="AH13" s="415">
        <f>'Fluxo Rateio'!AH4*$G$16</f>
        <v>109134.71708304713</v>
      </c>
      <c r="AI13" s="415">
        <f>'Fluxo Rateio'!AI4*$G$16</f>
        <v>110279.07169154465</v>
      </c>
      <c r="AJ13" s="415">
        <f>'Fluxo Rateio'!AJ4*$G$16</f>
        <v>109134.71708304713</v>
      </c>
      <c r="AK13" s="415">
        <f>'Fluxo Rateio'!AK4*$G$16</f>
        <v>110279.07169154465</v>
      </c>
      <c r="AL13" s="415">
        <f>'Fluxo Rateio'!AL4*$G$16</f>
        <v>109134.71708304713</v>
      </c>
      <c r="AM13" s="415">
        <f>'Fluxo Rateio'!AM4*$G$16</f>
        <v>102907.61671055898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SUM(O14:AM14)*(1+$D$325/100)</f>
        <v>2475067.4672222119</v>
      </c>
      <c r="M14" s="183"/>
      <c r="N14" s="1"/>
      <c r="O14" s="486">
        <f>(SUM(O16:O20,O22)*(1+$D$325/100))</f>
        <v>53493.007145408686</v>
      </c>
      <c r="P14" s="486">
        <f t="shared" ref="P14:AM14" si="6">(SUM(P16:P20,P22)*(1+$D$325/100))</f>
        <v>98933.454771703749</v>
      </c>
      <c r="Q14" s="486">
        <f t="shared" si="6"/>
        <v>104942.91477170374</v>
      </c>
      <c r="R14" s="486">
        <f t="shared" si="6"/>
        <v>98933.454771703749</v>
      </c>
      <c r="S14" s="486">
        <f t="shared" si="6"/>
        <v>98933.454771703749</v>
      </c>
      <c r="T14" s="486">
        <f t="shared" si="6"/>
        <v>104942.91477170374</v>
      </c>
      <c r="U14" s="486">
        <f t="shared" si="6"/>
        <v>98933.454771703749</v>
      </c>
      <c r="V14" s="486">
        <f t="shared" si="6"/>
        <v>104942.91477170374</v>
      </c>
      <c r="W14" s="486">
        <f t="shared" si="6"/>
        <v>98933.454771703749</v>
      </c>
      <c r="X14" s="486">
        <f t="shared" si="6"/>
        <v>98933.454771703749</v>
      </c>
      <c r="Y14" s="486">
        <f t="shared" si="6"/>
        <v>104942.91477170374</v>
      </c>
      <c r="Z14" s="486">
        <f t="shared" si="6"/>
        <v>98933.454771703749</v>
      </c>
      <c r="AA14" s="486">
        <f t="shared" si="6"/>
        <v>104942.91477170374</v>
      </c>
      <c r="AB14" s="486">
        <f t="shared" si="6"/>
        <v>98933.454771703749</v>
      </c>
      <c r="AC14" s="486">
        <f t="shared" si="6"/>
        <v>98933.454771703749</v>
      </c>
      <c r="AD14" s="486">
        <f t="shared" si="6"/>
        <v>104942.91477170374</v>
      </c>
      <c r="AE14" s="486">
        <f t="shared" si="6"/>
        <v>98933.454771703749</v>
      </c>
      <c r="AF14" s="486">
        <f t="shared" si="6"/>
        <v>104942.91477170374</v>
      </c>
      <c r="AG14" s="486">
        <f t="shared" si="6"/>
        <v>98933.454771703749</v>
      </c>
      <c r="AH14" s="486">
        <f t="shared" si="6"/>
        <v>98933.454771703749</v>
      </c>
      <c r="AI14" s="486">
        <f t="shared" si="6"/>
        <v>104942.91477170374</v>
      </c>
      <c r="AJ14" s="486">
        <f t="shared" si="6"/>
        <v>98933.454771703749</v>
      </c>
      <c r="AK14" s="486">
        <f t="shared" si="6"/>
        <v>104942.91477170374</v>
      </c>
      <c r="AL14" s="486">
        <f t="shared" si="6"/>
        <v>98933.454771703749</v>
      </c>
      <c r="AM14" s="486">
        <f t="shared" si="6"/>
        <v>92019.860327616683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f>'Fluxo Rateio'!$F$34</f>
        <v>5.3854591940104446E-2</v>
      </c>
      <c r="H16" s="397"/>
      <c r="I16" s="398"/>
      <c r="J16" s="427"/>
      <c r="K16" s="399">
        <f t="shared" ref="K16:K18" si="7">L16/$L$14</f>
        <v>0.44442275884787069</v>
      </c>
      <c r="L16" s="431">
        <f t="shared" ref="L16:L23" si="8">SUM(O16:AV16)</f>
        <v>1099976.3121175072</v>
      </c>
      <c r="M16" s="184"/>
      <c r="N16" s="200"/>
      <c r="O16" s="424">
        <v>21417.566664522332</v>
      </c>
      <c r="P16" s="424">
        <v>42835.133329044664</v>
      </c>
      <c r="Q16" s="424">
        <v>48844.593329044656</v>
      </c>
      <c r="R16" s="424">
        <v>42835.133329044664</v>
      </c>
      <c r="S16" s="424">
        <v>42835.133329044664</v>
      </c>
      <c r="T16" s="424">
        <v>48844.593329044656</v>
      </c>
      <c r="U16" s="424">
        <v>42835.133329044664</v>
      </c>
      <c r="V16" s="424">
        <v>48844.593329044656</v>
      </c>
      <c r="W16" s="424">
        <v>42835.133329044664</v>
      </c>
      <c r="X16" s="424">
        <v>42835.133329044664</v>
      </c>
      <c r="Y16" s="424">
        <v>48844.593329044656</v>
      </c>
      <c r="Z16" s="424">
        <v>42835.133329044664</v>
      </c>
      <c r="AA16" s="424">
        <v>48844.593329044656</v>
      </c>
      <c r="AB16" s="424">
        <v>42835.133329044664</v>
      </c>
      <c r="AC16" s="424">
        <v>42835.133329044664</v>
      </c>
      <c r="AD16" s="424">
        <v>48844.593329044656</v>
      </c>
      <c r="AE16" s="424">
        <v>42835.133329044664</v>
      </c>
      <c r="AF16" s="424">
        <v>48844.593329044656</v>
      </c>
      <c r="AG16" s="424">
        <v>42835.133329044664</v>
      </c>
      <c r="AH16" s="424">
        <v>42835.133329044664</v>
      </c>
      <c r="AI16" s="424">
        <v>48844.593329044656</v>
      </c>
      <c r="AJ16" s="424">
        <v>42835.133329044664</v>
      </c>
      <c r="AK16" s="424">
        <v>48844.593329044656</v>
      </c>
      <c r="AL16" s="424">
        <v>42835.133329044664</v>
      </c>
      <c r="AM16" s="424">
        <v>39265.538884957612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7"/>
        <v>0</v>
      </c>
      <c r="L17" s="421">
        <f t="shared" si="8"/>
        <v>0</v>
      </c>
      <c r="M17" s="184"/>
      <c r="N17" s="200"/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7"/>
        <v>0.3199023907370982</v>
      </c>
      <c r="L18" s="421">
        <f t="shared" si="8"/>
        <v>791780</v>
      </c>
      <c r="M18" s="184"/>
      <c r="N18" s="200"/>
      <c r="O18" s="411">
        <v>21472</v>
      </c>
      <c r="P18" s="411">
        <v>32208</v>
      </c>
      <c r="Q18" s="411">
        <v>32208</v>
      </c>
      <c r="R18" s="411">
        <v>32208</v>
      </c>
      <c r="S18" s="411">
        <v>32208</v>
      </c>
      <c r="T18" s="411">
        <v>32208</v>
      </c>
      <c r="U18" s="411">
        <v>32208</v>
      </c>
      <c r="V18" s="411">
        <v>32208</v>
      </c>
      <c r="W18" s="411">
        <v>32208</v>
      </c>
      <c r="X18" s="411">
        <v>32208</v>
      </c>
      <c r="Y18" s="411">
        <v>32208</v>
      </c>
      <c r="Z18" s="411">
        <v>32208</v>
      </c>
      <c r="AA18" s="411">
        <v>32208</v>
      </c>
      <c r="AB18" s="411">
        <v>32208</v>
      </c>
      <c r="AC18" s="411">
        <v>32208</v>
      </c>
      <c r="AD18" s="411">
        <v>32208</v>
      </c>
      <c r="AE18" s="411">
        <v>32208</v>
      </c>
      <c r="AF18" s="411">
        <v>32208</v>
      </c>
      <c r="AG18" s="411">
        <v>32208</v>
      </c>
      <c r="AH18" s="411">
        <v>32208</v>
      </c>
      <c r="AI18" s="411">
        <v>32208</v>
      </c>
      <c r="AJ18" s="411">
        <v>32208</v>
      </c>
      <c r="AK18" s="411">
        <v>32208</v>
      </c>
      <c r="AL18" s="411">
        <v>32208</v>
      </c>
      <c r="AM18" s="411">
        <v>29524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7.8664522312401189E-2</v>
      </c>
      <c r="L19" s="421">
        <f t="shared" si="8"/>
        <v>194700</v>
      </c>
      <c r="M19" s="183"/>
      <c r="N19" s="1"/>
      <c r="O19" s="411">
        <v>5280</v>
      </c>
      <c r="P19" s="411">
        <v>7920</v>
      </c>
      <c r="Q19" s="411">
        <v>7920</v>
      </c>
      <c r="R19" s="411">
        <v>7920</v>
      </c>
      <c r="S19" s="411">
        <v>7920</v>
      </c>
      <c r="T19" s="411">
        <v>7920</v>
      </c>
      <c r="U19" s="411">
        <v>7920</v>
      </c>
      <c r="V19" s="411">
        <v>7920</v>
      </c>
      <c r="W19" s="411">
        <v>7920</v>
      </c>
      <c r="X19" s="411">
        <v>7920</v>
      </c>
      <c r="Y19" s="411">
        <v>7920</v>
      </c>
      <c r="Z19" s="411">
        <v>7920</v>
      </c>
      <c r="AA19" s="411">
        <v>7920</v>
      </c>
      <c r="AB19" s="411">
        <v>7920</v>
      </c>
      <c r="AC19" s="411">
        <v>7920</v>
      </c>
      <c r="AD19" s="411">
        <v>7920</v>
      </c>
      <c r="AE19" s="411">
        <v>7920</v>
      </c>
      <c r="AF19" s="411">
        <v>7920</v>
      </c>
      <c r="AG19" s="411">
        <v>7920</v>
      </c>
      <c r="AH19" s="411">
        <v>7920</v>
      </c>
      <c r="AI19" s="411">
        <v>7920</v>
      </c>
      <c r="AJ19" s="411">
        <v>7920</v>
      </c>
      <c r="AK19" s="411">
        <v>7920</v>
      </c>
      <c r="AL19" s="411">
        <v>7920</v>
      </c>
      <c r="AM19" s="411">
        <v>7260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8"/>
        <v>0</v>
      </c>
      <c r="M20" s="1"/>
      <c r="N20" s="1"/>
      <c r="O20" s="411">
        <v>0</v>
      </c>
      <c r="P20" s="411">
        <v>0</v>
      </c>
      <c r="Q20" s="411">
        <v>0</v>
      </c>
      <c r="R20" s="411">
        <v>0</v>
      </c>
      <c r="S20" s="411">
        <v>0</v>
      </c>
      <c r="T20" s="411">
        <v>0</v>
      </c>
      <c r="U20" s="411">
        <v>0</v>
      </c>
      <c r="V20" s="411">
        <v>0</v>
      </c>
      <c r="W20" s="411">
        <v>0</v>
      </c>
      <c r="X20" s="411">
        <v>0</v>
      </c>
      <c r="Y20" s="411">
        <v>0</v>
      </c>
      <c r="Z20" s="411">
        <v>0</v>
      </c>
      <c r="AA20" s="411">
        <v>0</v>
      </c>
      <c r="AB20" s="411">
        <v>0</v>
      </c>
      <c r="AC20" s="411">
        <v>0</v>
      </c>
      <c r="AD20" s="411">
        <v>0</v>
      </c>
      <c r="AE20" s="411">
        <v>0</v>
      </c>
      <c r="AF20" s="411">
        <v>0</v>
      </c>
      <c r="AG20" s="411">
        <v>0</v>
      </c>
      <c r="AH20" s="411">
        <v>0</v>
      </c>
      <c r="AI20" s="411">
        <v>0</v>
      </c>
      <c r="AJ20" s="411">
        <v>0</v>
      </c>
      <c r="AK20" s="411">
        <v>0</v>
      </c>
      <c r="AL20" s="411">
        <v>0</v>
      </c>
      <c r="AM20" s="411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393" t="s">
        <v>162</v>
      </c>
      <c r="C21" s="183"/>
      <c r="D21" s="183"/>
      <c r="E21" s="183"/>
      <c r="F21" s="183"/>
      <c r="G21" s="183"/>
      <c r="H21" s="183"/>
      <c r="I21" s="183"/>
      <c r="J21" s="183"/>
      <c r="K21" s="423"/>
      <c r="L21" s="395">
        <f t="shared" si="8"/>
        <v>403909.43955078354</v>
      </c>
      <c r="M21" s="1"/>
      <c r="N21" s="1"/>
      <c r="O21" s="425">
        <f>'Fluxo Rateio'!O12*$G$16</f>
        <v>16156.377582031333</v>
      </c>
      <c r="P21" s="425">
        <f>'Fluxo Rateio'!P12*$G$16</f>
        <v>16156.377582031333</v>
      </c>
      <c r="Q21" s="425">
        <f>'Fluxo Rateio'!Q12*$G$16</f>
        <v>16156.377582031333</v>
      </c>
      <c r="R21" s="425">
        <f>'Fluxo Rateio'!R12*$G$16</f>
        <v>16156.377582031333</v>
      </c>
      <c r="S21" s="425">
        <f>'Fluxo Rateio'!S12*$G$16</f>
        <v>16156.377582031333</v>
      </c>
      <c r="T21" s="425">
        <f>'Fluxo Rateio'!T12*$G$16</f>
        <v>16156.377582031333</v>
      </c>
      <c r="U21" s="425">
        <f>'Fluxo Rateio'!U12*$G$16</f>
        <v>16156.377582031333</v>
      </c>
      <c r="V21" s="425">
        <f>'Fluxo Rateio'!V12*$G$16</f>
        <v>16156.377582031333</v>
      </c>
      <c r="W21" s="425">
        <f>'Fluxo Rateio'!W12*$G$16</f>
        <v>16156.377582031333</v>
      </c>
      <c r="X21" s="425">
        <f>'Fluxo Rateio'!X12*$G$16</f>
        <v>16156.377582031333</v>
      </c>
      <c r="Y21" s="425">
        <f>'Fluxo Rateio'!Y12*$G$16</f>
        <v>16156.377582031333</v>
      </c>
      <c r="Z21" s="425">
        <f>'Fluxo Rateio'!Z12*$G$16</f>
        <v>16156.377582031333</v>
      </c>
      <c r="AA21" s="425">
        <f>'Fluxo Rateio'!AA12*$G$16</f>
        <v>16156.377582031333</v>
      </c>
      <c r="AB21" s="425">
        <f>'Fluxo Rateio'!AB12*$G$16</f>
        <v>16156.377582031333</v>
      </c>
      <c r="AC21" s="425">
        <f>'Fluxo Rateio'!AC12*$G$16</f>
        <v>16156.377582031333</v>
      </c>
      <c r="AD21" s="425">
        <f>'Fluxo Rateio'!AD12*$G$16</f>
        <v>16156.377582031333</v>
      </c>
      <c r="AE21" s="425">
        <f>'Fluxo Rateio'!AE12*$G$16</f>
        <v>16156.377582031333</v>
      </c>
      <c r="AF21" s="425">
        <f>'Fluxo Rateio'!AF12*$G$16</f>
        <v>16156.377582031333</v>
      </c>
      <c r="AG21" s="425">
        <f>'Fluxo Rateio'!AG12*$G$16</f>
        <v>16156.377582031333</v>
      </c>
      <c r="AH21" s="425">
        <f>'Fluxo Rateio'!AH12*$G$16</f>
        <v>16156.377582031333</v>
      </c>
      <c r="AI21" s="425">
        <f>'Fluxo Rateio'!AI12*$G$16</f>
        <v>16156.377582031333</v>
      </c>
      <c r="AJ21" s="425">
        <f>'Fluxo Rateio'!AJ12*$G$16</f>
        <v>16156.377582031333</v>
      </c>
      <c r="AK21" s="425">
        <f>'Fluxo Rateio'!AK12*$G$16</f>
        <v>16156.377582031333</v>
      </c>
      <c r="AL21" s="425">
        <f>'Fluxo Rateio'!AL12*$G$16</f>
        <v>16156.377582031333</v>
      </c>
      <c r="AM21" s="425">
        <f>'Fluxo Rateio'!AM12*$G$16</f>
        <v>16156.377582031333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611">
        <f t="shared" si="8"/>
        <v>388611.15510470408</v>
      </c>
      <c r="M22" s="1"/>
      <c r="N22" s="1"/>
      <c r="O22" s="612">
        <f>O75*$G$22</f>
        <v>5323.4404808863537</v>
      </c>
      <c r="P22" s="612">
        <f t="shared" ref="P22:AM22" si="9">P75*$G$22</f>
        <v>15970.321442659078</v>
      </c>
      <c r="Q22" s="619">
        <f t="shared" si="9"/>
        <v>15970.321442659078</v>
      </c>
      <c r="R22" s="612">
        <f t="shared" si="9"/>
        <v>15970.321442659078</v>
      </c>
      <c r="S22" s="612">
        <f t="shared" si="9"/>
        <v>15970.321442659078</v>
      </c>
      <c r="T22" s="612">
        <f t="shared" si="9"/>
        <v>15970.321442659078</v>
      </c>
      <c r="U22" s="612">
        <f t="shared" si="9"/>
        <v>15970.321442659078</v>
      </c>
      <c r="V22" s="612">
        <f t="shared" si="9"/>
        <v>15970.321442659078</v>
      </c>
      <c r="W22" s="612">
        <f t="shared" si="9"/>
        <v>15970.321442659078</v>
      </c>
      <c r="X22" s="612">
        <f t="shared" si="9"/>
        <v>15970.321442659078</v>
      </c>
      <c r="Y22" s="612">
        <f t="shared" si="9"/>
        <v>15970.321442659078</v>
      </c>
      <c r="Z22" s="612">
        <f t="shared" si="9"/>
        <v>15970.321442659078</v>
      </c>
      <c r="AA22" s="612">
        <f t="shared" si="9"/>
        <v>15970.321442659078</v>
      </c>
      <c r="AB22" s="612">
        <f t="shared" si="9"/>
        <v>15970.321442659078</v>
      </c>
      <c r="AC22" s="612">
        <f t="shared" si="9"/>
        <v>15970.321442659078</v>
      </c>
      <c r="AD22" s="612">
        <f t="shared" si="9"/>
        <v>15970.321442659078</v>
      </c>
      <c r="AE22" s="612">
        <f t="shared" si="9"/>
        <v>15970.321442659078</v>
      </c>
      <c r="AF22" s="612">
        <f t="shared" si="9"/>
        <v>15970.321442659078</v>
      </c>
      <c r="AG22" s="612">
        <f t="shared" si="9"/>
        <v>15970.321442659078</v>
      </c>
      <c r="AH22" s="612">
        <f t="shared" si="9"/>
        <v>15970.321442659078</v>
      </c>
      <c r="AI22" s="612">
        <f t="shared" si="9"/>
        <v>15970.321442659078</v>
      </c>
      <c r="AJ22" s="612">
        <f t="shared" si="9"/>
        <v>15970.321442659078</v>
      </c>
      <c r="AK22" s="612">
        <f t="shared" si="9"/>
        <v>15970.321442659078</v>
      </c>
      <c r="AL22" s="612">
        <f t="shared" si="9"/>
        <v>15970.321442659078</v>
      </c>
      <c r="AM22" s="612">
        <f t="shared" si="9"/>
        <v>15970.321442659078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609" t="s">
        <v>5363</v>
      </c>
      <c r="H23" s="599"/>
      <c r="I23" s="599"/>
      <c r="J23" s="599"/>
      <c r="K23" s="600"/>
      <c r="L23" s="611">
        <f t="shared" si="8"/>
        <v>80781.8879101567</v>
      </c>
      <c r="M23" s="1"/>
      <c r="N23" s="1"/>
      <c r="O23" s="604">
        <f>$G$16*'Fluxo Rateio'!O13</f>
        <v>3231.2755164062669</v>
      </c>
      <c r="P23" s="604">
        <f>$G$16*'Fluxo Rateio'!P13</f>
        <v>3231.2755164062669</v>
      </c>
      <c r="Q23" s="604">
        <f>$G$16*'Fluxo Rateio'!Q13</f>
        <v>3231.2755164062669</v>
      </c>
      <c r="R23" s="604">
        <f>$G$16*'Fluxo Rateio'!R13</f>
        <v>3231.2755164062669</v>
      </c>
      <c r="S23" s="604">
        <f>$G$16*'Fluxo Rateio'!S13</f>
        <v>3231.2755164062669</v>
      </c>
      <c r="T23" s="604">
        <f>$G$16*'Fluxo Rateio'!T13</f>
        <v>3231.2755164062669</v>
      </c>
      <c r="U23" s="604">
        <f>$G$16*'Fluxo Rateio'!U13</f>
        <v>3231.2755164062669</v>
      </c>
      <c r="V23" s="604">
        <f>$G$16*'Fluxo Rateio'!V13</f>
        <v>3231.2755164062669</v>
      </c>
      <c r="W23" s="604">
        <f>$G$16*'Fluxo Rateio'!W13</f>
        <v>3231.2755164062669</v>
      </c>
      <c r="X23" s="604">
        <f>$G$16*'Fluxo Rateio'!X13</f>
        <v>3231.2755164062669</v>
      </c>
      <c r="Y23" s="604">
        <f>$G$16*'Fluxo Rateio'!Y13</f>
        <v>3231.2755164062669</v>
      </c>
      <c r="Z23" s="604">
        <f>$G$16*'Fluxo Rateio'!Z13</f>
        <v>3231.2755164062669</v>
      </c>
      <c r="AA23" s="604">
        <f>$G$16*'Fluxo Rateio'!AA13</f>
        <v>3231.2755164062669</v>
      </c>
      <c r="AB23" s="604">
        <f>$G$16*'Fluxo Rateio'!AB13</f>
        <v>3231.2755164062669</v>
      </c>
      <c r="AC23" s="604">
        <f>$G$16*'Fluxo Rateio'!AC13</f>
        <v>3231.2755164062669</v>
      </c>
      <c r="AD23" s="604">
        <f>$G$16*'Fluxo Rateio'!AD13</f>
        <v>3231.2755164062669</v>
      </c>
      <c r="AE23" s="604">
        <f>$G$16*'Fluxo Rateio'!AE13</f>
        <v>3231.2755164062669</v>
      </c>
      <c r="AF23" s="604">
        <f>$G$16*'Fluxo Rateio'!AF13</f>
        <v>3231.2755164062669</v>
      </c>
      <c r="AG23" s="604">
        <f>$G$16*'Fluxo Rateio'!AG13</f>
        <v>3231.2755164062669</v>
      </c>
      <c r="AH23" s="604">
        <f>$G$16*'Fluxo Rateio'!AH13</f>
        <v>3231.2755164062669</v>
      </c>
      <c r="AI23" s="604">
        <f>$G$16*'Fluxo Rateio'!AI13</f>
        <v>3231.2755164062669</v>
      </c>
      <c r="AJ23" s="604">
        <f>$G$16*'Fluxo Rateio'!AJ13</f>
        <v>3231.2755164062669</v>
      </c>
      <c r="AK23" s="604">
        <f>$G$16*'Fluxo Rateio'!AK13</f>
        <v>3231.2755164062669</v>
      </c>
      <c r="AL23" s="604">
        <f>$G$16*'Fluxo Rateio'!AL13</f>
        <v>3231.2755164062669</v>
      </c>
      <c r="AM23" s="604">
        <f>$G$16*'Fluxo Rateio'!AM13</f>
        <v>3231.2755164062669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(SUM(O29:AM29))*(1+$C$325/100)</f>
        <v>2908040.6328103491</v>
      </c>
      <c r="M29" s="1"/>
      <c r="N29" s="1"/>
      <c r="O29" s="300">
        <f t="shared" ref="O29:AM29" si="10">(O30+O31)*(1+$C$325/100)</f>
        <v>913761.9471962899</v>
      </c>
      <c r="P29" s="300">
        <f t="shared" si="10"/>
        <v>0</v>
      </c>
      <c r="Q29" s="300">
        <f t="shared" si="10"/>
        <v>0</v>
      </c>
      <c r="R29" s="300">
        <f t="shared" si="10"/>
        <v>0</v>
      </c>
      <c r="S29" s="300">
        <f t="shared" si="10"/>
        <v>401836.91962439282</v>
      </c>
      <c r="T29" s="300">
        <f t="shared" si="10"/>
        <v>0</v>
      </c>
      <c r="U29" s="300">
        <f t="shared" si="10"/>
        <v>0</v>
      </c>
      <c r="V29" s="300">
        <f t="shared" si="10"/>
        <v>36027.434344636582</v>
      </c>
      <c r="W29" s="300">
        <f t="shared" si="10"/>
        <v>53019.312724472242</v>
      </c>
      <c r="X29" s="300">
        <f t="shared" si="10"/>
        <v>0</v>
      </c>
      <c r="Y29" s="300">
        <f t="shared" si="10"/>
        <v>399104.97311353683</v>
      </c>
      <c r="Z29" s="300">
        <f t="shared" si="10"/>
        <v>0</v>
      </c>
      <c r="AA29" s="300">
        <f t="shared" si="10"/>
        <v>175620.45897219155</v>
      </c>
      <c r="AB29" s="300">
        <f t="shared" si="10"/>
        <v>0</v>
      </c>
      <c r="AC29" s="300">
        <f t="shared" si="10"/>
        <v>0</v>
      </c>
      <c r="AD29" s="300">
        <f t="shared" si="10"/>
        <v>435093.19054432254</v>
      </c>
      <c r="AE29" s="300">
        <f t="shared" si="10"/>
        <v>8327.0595970052218</v>
      </c>
      <c r="AF29" s="300">
        <f t="shared" si="10"/>
        <v>44731.4700413178</v>
      </c>
      <c r="AG29" s="300">
        <f t="shared" si="10"/>
        <v>0</v>
      </c>
      <c r="AH29" s="300">
        <f t="shared" si="10"/>
        <v>0</v>
      </c>
      <c r="AI29" s="300">
        <f t="shared" si="10"/>
        <v>401797.70271054201</v>
      </c>
      <c r="AJ29" s="300">
        <f t="shared" si="10"/>
        <v>0</v>
      </c>
      <c r="AK29" s="300">
        <f t="shared" si="10"/>
        <v>36027.434344636582</v>
      </c>
      <c r="AL29" s="300">
        <f t="shared" si="10"/>
        <v>0</v>
      </c>
      <c r="AM29" s="300">
        <f t="shared" si="10"/>
        <v>2692.7295970052223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1368743.7023895746</v>
      </c>
      <c r="M30" s="1"/>
      <c r="N30" s="1"/>
      <c r="O30" s="414">
        <f>O32</f>
        <v>493276.56026614155</v>
      </c>
      <c r="P30" s="414">
        <f t="shared" ref="P30:AM30" si="11">P32</f>
        <v>0</v>
      </c>
      <c r="Q30" s="414">
        <f t="shared" si="11"/>
        <v>0</v>
      </c>
      <c r="R30" s="414">
        <f t="shared" si="11"/>
        <v>0</v>
      </c>
      <c r="S30" s="414">
        <f t="shared" si="11"/>
        <v>184484.89058823528</v>
      </c>
      <c r="T30" s="414">
        <f t="shared" si="11"/>
        <v>0</v>
      </c>
      <c r="U30" s="414">
        <f t="shared" si="11"/>
        <v>0</v>
      </c>
      <c r="V30" s="414">
        <f t="shared" si="11"/>
        <v>0</v>
      </c>
      <c r="W30" s="414">
        <f t="shared" si="11"/>
        <v>5634.33</v>
      </c>
      <c r="X30" s="414">
        <f t="shared" si="11"/>
        <v>0</v>
      </c>
      <c r="Y30" s="414">
        <f t="shared" si="11"/>
        <v>184484.89058823528</v>
      </c>
      <c r="Z30" s="414">
        <f t="shared" si="11"/>
        <v>0</v>
      </c>
      <c r="AA30" s="414">
        <f t="shared" si="11"/>
        <v>126258.91977049178</v>
      </c>
      <c r="AB30" s="414">
        <f t="shared" si="11"/>
        <v>0</v>
      </c>
      <c r="AC30" s="414">
        <f t="shared" si="11"/>
        <v>0</v>
      </c>
      <c r="AD30" s="414">
        <f t="shared" si="11"/>
        <v>184484.89058823528</v>
      </c>
      <c r="AE30" s="414">
        <f t="shared" si="11"/>
        <v>5634.33</v>
      </c>
      <c r="AF30" s="414">
        <f t="shared" si="11"/>
        <v>0</v>
      </c>
      <c r="AG30" s="414">
        <f t="shared" si="11"/>
        <v>0</v>
      </c>
      <c r="AH30" s="414">
        <f t="shared" si="11"/>
        <v>0</v>
      </c>
      <c r="AI30" s="414">
        <f t="shared" si="11"/>
        <v>184484.89058823528</v>
      </c>
      <c r="AJ30" s="414">
        <f t="shared" si="11"/>
        <v>0</v>
      </c>
      <c r="AK30" s="414">
        <f t="shared" si="11"/>
        <v>0</v>
      </c>
      <c r="AL30" s="414">
        <f t="shared" si="11"/>
        <v>0</v>
      </c>
      <c r="AM30" s="414">
        <f t="shared" si="11"/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1539296.9304207752</v>
      </c>
      <c r="M31" s="1"/>
      <c r="N31" s="1"/>
      <c r="O31" s="414">
        <f>'Fluxo Rateio'!O15*$G$34</f>
        <v>420485.38693014829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217352.02903615753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36027.434344636582</v>
      </c>
      <c r="W31" s="414">
        <f>'Fluxo Rateio'!W15*$G$34</f>
        <v>47384.98272447224</v>
      </c>
      <c r="X31" s="414">
        <f>'Fluxo Rateio'!X15*$G$34</f>
        <v>0</v>
      </c>
      <c r="Y31" s="414">
        <f>'Fluxo Rateio'!Y15*$G$34</f>
        <v>214620.08252530152</v>
      </c>
      <c r="Z31" s="414">
        <f>'Fluxo Rateio'!Z15*$G$34</f>
        <v>0</v>
      </c>
      <c r="AA31" s="414">
        <f>'Fluxo Rateio'!AA15*$G$34</f>
        <v>49361.539201699765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250608.29995608726</v>
      </c>
      <c r="AE31" s="414">
        <f>'Fluxo Rateio'!AE15*$G$34</f>
        <v>2692.7295970052223</v>
      </c>
      <c r="AF31" s="414">
        <f>'Fluxo Rateio'!AF15*$G$34</f>
        <v>44731.4700413178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217312.81212230673</v>
      </c>
      <c r="AJ31" s="414">
        <f>'Fluxo Rateio'!AJ15*$G$34</f>
        <v>0</v>
      </c>
      <c r="AK31" s="414">
        <f>'Fluxo Rateio'!AK15*$G$34</f>
        <v>36027.434344636582</v>
      </c>
      <c r="AL31" s="414">
        <f>'Fluxo Rateio'!AL15*$G$34</f>
        <v>0</v>
      </c>
      <c r="AM31" s="414">
        <f>'Fluxo Rateio'!AM15*$G$34</f>
        <v>2692.7295970052223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(L34+L35+L38+L36+L37+L39)*(1+$C$325/100)</f>
        <v>1368743.7023895744</v>
      </c>
      <c r="M32" s="1"/>
      <c r="N32" s="1"/>
      <c r="O32" s="92">
        <f t="shared" ref="O32:AM32" si="12">(O34+O35+O38+O36+O37+O39)*(1+$C$325/100)</f>
        <v>493276.56026614155</v>
      </c>
      <c r="P32" s="92">
        <f t="shared" si="12"/>
        <v>0</v>
      </c>
      <c r="Q32" s="92">
        <f t="shared" si="12"/>
        <v>0</v>
      </c>
      <c r="R32" s="92">
        <f t="shared" si="12"/>
        <v>0</v>
      </c>
      <c r="S32" s="92">
        <f t="shared" si="12"/>
        <v>184484.89058823528</v>
      </c>
      <c r="T32" s="92">
        <f t="shared" si="12"/>
        <v>0</v>
      </c>
      <c r="U32" s="92">
        <f t="shared" si="12"/>
        <v>0</v>
      </c>
      <c r="V32" s="92">
        <f t="shared" si="12"/>
        <v>0</v>
      </c>
      <c r="W32" s="92">
        <f t="shared" si="12"/>
        <v>5634.33</v>
      </c>
      <c r="X32" s="92">
        <f t="shared" si="12"/>
        <v>0</v>
      </c>
      <c r="Y32" s="92">
        <f t="shared" si="12"/>
        <v>184484.89058823528</v>
      </c>
      <c r="Z32" s="92">
        <f t="shared" si="12"/>
        <v>0</v>
      </c>
      <c r="AA32" s="92">
        <f t="shared" si="12"/>
        <v>126258.91977049178</v>
      </c>
      <c r="AB32" s="92">
        <f t="shared" si="12"/>
        <v>0</v>
      </c>
      <c r="AC32" s="92">
        <f t="shared" si="12"/>
        <v>0</v>
      </c>
      <c r="AD32" s="92">
        <f t="shared" si="12"/>
        <v>184484.89058823528</v>
      </c>
      <c r="AE32" s="92">
        <f t="shared" si="12"/>
        <v>5634.33</v>
      </c>
      <c r="AF32" s="92">
        <f t="shared" si="12"/>
        <v>0</v>
      </c>
      <c r="AG32" s="92">
        <f t="shared" si="12"/>
        <v>0</v>
      </c>
      <c r="AH32" s="92">
        <f t="shared" si="12"/>
        <v>0</v>
      </c>
      <c r="AI32" s="92">
        <f t="shared" si="12"/>
        <v>184484.89058823528</v>
      </c>
      <c r="AJ32" s="92">
        <f t="shared" si="12"/>
        <v>0</v>
      </c>
      <c r="AK32" s="92">
        <f t="shared" si="12"/>
        <v>0</v>
      </c>
      <c r="AL32" s="92">
        <f t="shared" si="12"/>
        <v>0</v>
      </c>
      <c r="AM32" s="92">
        <f t="shared" si="12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f>'Fluxo Rateio'!$F$34</f>
        <v>5.3854591940104446E-2</v>
      </c>
      <c r="H34" s="350"/>
      <c r="I34" s="401"/>
      <c r="J34" s="401"/>
      <c r="K34" s="402">
        <f>L34/$L$32</f>
        <v>0.16149623790219303</v>
      </c>
      <c r="L34" s="403">
        <f>SUM(O34:AM34)</f>
        <v>221046.9585882352</v>
      </c>
      <c r="M34" s="165"/>
      <c r="N34" s="165"/>
      <c r="O34" s="410">
        <v>221046.9585882352</v>
      </c>
      <c r="P34" s="410">
        <v>0</v>
      </c>
      <c r="Q34" s="410">
        <v>0</v>
      </c>
      <c r="R34" s="410">
        <v>0</v>
      </c>
      <c r="S34" s="410">
        <v>0</v>
      </c>
      <c r="T34" s="410">
        <v>0</v>
      </c>
      <c r="U34" s="410">
        <v>0</v>
      </c>
      <c r="V34" s="410">
        <v>0</v>
      </c>
      <c r="W34" s="410">
        <v>0</v>
      </c>
      <c r="X34" s="410">
        <v>0</v>
      </c>
      <c r="Y34" s="410">
        <v>0</v>
      </c>
      <c r="Z34" s="410">
        <v>0</v>
      </c>
      <c r="AA34" s="410">
        <v>0</v>
      </c>
      <c r="AB34" s="410">
        <v>0</v>
      </c>
      <c r="AC34" s="410">
        <v>0</v>
      </c>
      <c r="AD34" s="410">
        <v>0</v>
      </c>
      <c r="AE34" s="410">
        <v>0</v>
      </c>
      <c r="AF34" s="410">
        <v>0</v>
      </c>
      <c r="AG34" s="410">
        <v>0</v>
      </c>
      <c r="AH34" s="410">
        <v>0</v>
      </c>
      <c r="AI34" s="410">
        <v>0</v>
      </c>
      <c r="AJ34" s="410">
        <v>0</v>
      </c>
      <c r="AK34" s="410">
        <v>0</v>
      </c>
      <c r="AL34" s="410">
        <v>0</v>
      </c>
      <c r="AM34" s="410"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>L35/$L$32</f>
        <v>8.9405088444864958E-2</v>
      </c>
      <c r="L35" s="405">
        <f>SUM(O35:AM35)</f>
        <v>122372.65177049182</v>
      </c>
      <c r="M35" s="1"/>
      <c r="N35" s="1"/>
      <c r="O35" s="411">
        <v>122372.65177049182</v>
      </c>
      <c r="P35" s="411">
        <v>0</v>
      </c>
      <c r="Q35" s="411">
        <v>0</v>
      </c>
      <c r="R35" s="411">
        <v>0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>L36/$L$32</f>
        <v>1.4017160383280633E-3</v>
      </c>
      <c r="L36" s="405">
        <f t="shared" ref="L36:L39" si="13">SUM(O36:AM36)</f>
        <v>1918.59</v>
      </c>
      <c r="M36" s="1"/>
      <c r="N36" s="1"/>
      <c r="O36" s="411">
        <v>1918.59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>L37/$L$32</f>
        <v>0.10808331731436742</v>
      </c>
      <c r="L37" s="405">
        <f t="shared" si="13"/>
        <v>147938.35990741444</v>
      </c>
      <c r="M37" s="1"/>
      <c r="N37" s="1"/>
      <c r="O37" s="411">
        <v>147938.35990741444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>
        <v>0</v>
      </c>
      <c r="X37" s="411">
        <v>0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0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>L38/$L$32</f>
        <v>0</v>
      </c>
      <c r="L38" s="405">
        <f t="shared" si="13"/>
        <v>0</v>
      </c>
      <c r="M38" s="1"/>
      <c r="N38" s="1"/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408"/>
      <c r="L39" s="409">
        <f t="shared" si="13"/>
        <v>875467.14212343283</v>
      </c>
      <c r="M39" s="1"/>
      <c r="N39" s="1"/>
      <c r="O39" s="412">
        <v>0</v>
      </c>
      <c r="P39" s="412">
        <v>0</v>
      </c>
      <c r="Q39" s="412">
        <v>0</v>
      </c>
      <c r="R39" s="412">
        <v>0</v>
      </c>
      <c r="S39" s="412">
        <v>184484.89058823528</v>
      </c>
      <c r="T39" s="412">
        <v>0</v>
      </c>
      <c r="U39" s="412">
        <v>0</v>
      </c>
      <c r="V39" s="412">
        <v>0</v>
      </c>
      <c r="W39" s="412">
        <v>5634.33</v>
      </c>
      <c r="X39" s="412">
        <v>0</v>
      </c>
      <c r="Y39" s="412">
        <v>184484.89058823528</v>
      </c>
      <c r="Z39" s="412">
        <v>0</v>
      </c>
      <c r="AA39" s="412">
        <v>126258.91977049178</v>
      </c>
      <c r="AB39" s="412">
        <v>0</v>
      </c>
      <c r="AC39" s="412">
        <v>0</v>
      </c>
      <c r="AD39" s="412">
        <v>184484.89058823528</v>
      </c>
      <c r="AE39" s="412">
        <v>5634.33</v>
      </c>
      <c r="AF39" s="412">
        <v>0</v>
      </c>
      <c r="AG39" s="412">
        <v>0</v>
      </c>
      <c r="AH39" s="412">
        <v>0</v>
      </c>
      <c r="AI39" s="412">
        <v>184484.89058823528</v>
      </c>
      <c r="AJ39" s="412">
        <v>0</v>
      </c>
      <c r="AK39" s="412">
        <v>0</v>
      </c>
      <c r="AL39" s="412">
        <v>0</v>
      </c>
      <c r="AM39" s="412"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32312.755164062666</v>
      </c>
      <c r="M41" s="1"/>
      <c r="N41" s="1"/>
      <c r="O41" s="15">
        <f t="shared" ref="O41:AM41" si="14">SUM(O42:O47)</f>
        <v>32312.755164062666</v>
      </c>
      <c r="P41" s="15">
        <f t="shared" si="14"/>
        <v>0</v>
      </c>
      <c r="Q41" s="15">
        <f t="shared" si="14"/>
        <v>0</v>
      </c>
      <c r="R41" s="15">
        <f t="shared" si="14"/>
        <v>0</v>
      </c>
      <c r="S41" s="15">
        <f t="shared" si="14"/>
        <v>0</v>
      </c>
      <c r="T41" s="15">
        <f t="shared" si="14"/>
        <v>0</v>
      </c>
      <c r="U41" s="15">
        <f t="shared" si="14"/>
        <v>0</v>
      </c>
      <c r="V41" s="15">
        <f t="shared" si="14"/>
        <v>0</v>
      </c>
      <c r="W41" s="15">
        <f t="shared" si="14"/>
        <v>0</v>
      </c>
      <c r="X41" s="15">
        <f t="shared" si="14"/>
        <v>0</v>
      </c>
      <c r="Y41" s="15">
        <f t="shared" si="14"/>
        <v>0</v>
      </c>
      <c r="Z41" s="15">
        <f t="shared" si="14"/>
        <v>0</v>
      </c>
      <c r="AA41" s="15">
        <f t="shared" si="14"/>
        <v>0</v>
      </c>
      <c r="AB41" s="15">
        <f t="shared" si="14"/>
        <v>0</v>
      </c>
      <c r="AC41" s="15">
        <f t="shared" si="14"/>
        <v>0</v>
      </c>
      <c r="AD41" s="15">
        <f t="shared" si="14"/>
        <v>0</v>
      </c>
      <c r="AE41" s="15">
        <f t="shared" si="14"/>
        <v>0</v>
      </c>
      <c r="AF41" s="15">
        <f t="shared" si="14"/>
        <v>0</v>
      </c>
      <c r="AG41" s="15">
        <f t="shared" si="14"/>
        <v>0</v>
      </c>
      <c r="AH41" s="15">
        <f t="shared" si="14"/>
        <v>0</v>
      </c>
      <c r="AI41" s="15">
        <f t="shared" si="14"/>
        <v>0</v>
      </c>
      <c r="AJ41" s="15">
        <f t="shared" si="14"/>
        <v>0</v>
      </c>
      <c r="AK41" s="15">
        <f t="shared" si="14"/>
        <v>0</v>
      </c>
      <c r="AL41" s="15">
        <f t="shared" si="14"/>
        <v>0</v>
      </c>
      <c r="AM41" s="15">
        <f t="shared" si="14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5">SUM(O42:AV42)</f>
        <v>32312.755164062666</v>
      </c>
      <c r="M42" s="1"/>
      <c r="N42" s="1"/>
      <c r="O42" s="44">
        <f>'Fluxo Rateio'!O24*$G$34</f>
        <v>32312.755164062666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5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5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5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5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5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 t="shared" ref="O49:AM49" si="16">O50+O59</f>
        <v>0</v>
      </c>
      <c r="P49" s="13">
        <f t="shared" si="16"/>
        <v>0</v>
      </c>
      <c r="Q49" s="13">
        <f t="shared" si="16"/>
        <v>0</v>
      </c>
      <c r="R49" s="13">
        <f t="shared" si="16"/>
        <v>0</v>
      </c>
      <c r="S49" s="13">
        <f t="shared" si="16"/>
        <v>0</v>
      </c>
      <c r="T49" s="13">
        <f t="shared" si="16"/>
        <v>0</v>
      </c>
      <c r="U49" s="13">
        <f t="shared" si="16"/>
        <v>0</v>
      </c>
      <c r="V49" s="13">
        <f t="shared" si="16"/>
        <v>0</v>
      </c>
      <c r="W49" s="13">
        <f t="shared" si="16"/>
        <v>0</v>
      </c>
      <c r="X49" s="13">
        <f t="shared" si="16"/>
        <v>0</v>
      </c>
      <c r="Y49" s="13">
        <f t="shared" si="16"/>
        <v>0</v>
      </c>
      <c r="Z49" s="13">
        <f t="shared" si="16"/>
        <v>0</v>
      </c>
      <c r="AA49" s="13">
        <f t="shared" si="16"/>
        <v>0</v>
      </c>
      <c r="AB49" s="13">
        <f t="shared" si="16"/>
        <v>0</v>
      </c>
      <c r="AC49" s="13">
        <f t="shared" si="16"/>
        <v>0</v>
      </c>
      <c r="AD49" s="13">
        <f t="shared" si="16"/>
        <v>0</v>
      </c>
      <c r="AE49" s="13">
        <f t="shared" si="16"/>
        <v>0</v>
      </c>
      <c r="AF49" s="13">
        <f t="shared" si="16"/>
        <v>0</v>
      </c>
      <c r="AG49" s="13">
        <f t="shared" si="16"/>
        <v>0</v>
      </c>
      <c r="AH49" s="13">
        <f t="shared" si="16"/>
        <v>0</v>
      </c>
      <c r="AI49" s="13">
        <f t="shared" si="16"/>
        <v>0</v>
      </c>
      <c r="AJ49" s="13">
        <f t="shared" si="16"/>
        <v>0</v>
      </c>
      <c r="AK49" s="13">
        <f t="shared" si="16"/>
        <v>0</v>
      </c>
      <c r="AL49" s="13">
        <f t="shared" si="16"/>
        <v>0</v>
      </c>
      <c r="AM49" s="13">
        <f t="shared" si="16"/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SUM(O50:AM50)</f>
        <v>0</v>
      </c>
      <c r="M50" s="1"/>
      <c r="N50" s="1"/>
      <c r="O50" s="15">
        <f>'Fluxo Rateio'!O26*$G$16</f>
        <v>0</v>
      </c>
      <c r="P50" s="15">
        <f>'Fluxo Rateio'!P26*$G$16</f>
        <v>0</v>
      </c>
      <c r="Q50" s="15">
        <f>'Fluxo Rateio'!Q26*$G$16</f>
        <v>0</v>
      </c>
      <c r="R50" s="15">
        <f>'Fluxo Rateio'!R26*$G$16</f>
        <v>0</v>
      </c>
      <c r="S50" s="15">
        <f>'Fluxo Rateio'!S26*$G$16</f>
        <v>0</v>
      </c>
      <c r="T50" s="15">
        <f>'Fluxo Rateio'!T26*$G$16</f>
        <v>0</v>
      </c>
      <c r="U50" s="15">
        <f>'Fluxo Rateio'!U26*$G$16</f>
        <v>0</v>
      </c>
      <c r="V50" s="15">
        <f>'Fluxo Rateio'!V26*$G$16</f>
        <v>0</v>
      </c>
      <c r="W50" s="15">
        <f>'Fluxo Rateio'!W26*$G$16</f>
        <v>0</v>
      </c>
      <c r="X50" s="15">
        <f>'Fluxo Rateio'!X26*$G$16</f>
        <v>0</v>
      </c>
      <c r="Y50" s="15">
        <f>'Fluxo Rateio'!Y26*$G$16</f>
        <v>0</v>
      </c>
      <c r="Z50" s="15">
        <f>'Fluxo Rateio'!Z26*$G$16</f>
        <v>0</v>
      </c>
      <c r="AA50" s="15">
        <f>'Fluxo Rateio'!AA26*$G$16</f>
        <v>0</v>
      </c>
      <c r="AB50" s="15">
        <f>'Fluxo Rateio'!AB26*$G$16</f>
        <v>0</v>
      </c>
      <c r="AC50" s="15">
        <f>'Fluxo Rateio'!AC26*$G$16</f>
        <v>0</v>
      </c>
      <c r="AD50" s="15">
        <f>'Fluxo Rateio'!AD26*$G$16</f>
        <v>0</v>
      </c>
      <c r="AE50" s="15">
        <f>'Fluxo Rateio'!AE26*$G$16</f>
        <v>0</v>
      </c>
      <c r="AF50" s="15">
        <f>'Fluxo Rateio'!AF26*$G$16</f>
        <v>0</v>
      </c>
      <c r="AG50" s="15">
        <f>'Fluxo Rateio'!AG26*$G$16</f>
        <v>0</v>
      </c>
      <c r="AH50" s="15">
        <f>'Fluxo Rateio'!AH26*$G$16</f>
        <v>0</v>
      </c>
      <c r="AI50" s="15">
        <f>'Fluxo Rateio'!AI26*$G$16</f>
        <v>0</v>
      </c>
      <c r="AJ50" s="15">
        <f>'Fluxo Rateio'!AJ26*$G$16</f>
        <v>0</v>
      </c>
      <c r="AK50" s="15">
        <f>'Fluxo Rateio'!AK26*$G$16</f>
        <v>0</v>
      </c>
      <c r="AL50" s="15">
        <f>'Fluxo Rateio'!AL26*$G$16</f>
        <v>0</v>
      </c>
      <c r="AM50" s="15">
        <f>'Fluxo Rateio'!AM26*$G$16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7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7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7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7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7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7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7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8">SUM(O60:AV60)</f>
        <v>2908040.6328103491</v>
      </c>
      <c r="M60" s="1"/>
      <c r="N60" s="1"/>
      <c r="O60" s="52">
        <f t="shared" ref="O60:AM60" si="19">O29</f>
        <v>913761.9471962899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401836.91962439282</v>
      </c>
      <c r="T60" s="52">
        <f t="shared" si="19"/>
        <v>0</v>
      </c>
      <c r="U60" s="52">
        <f t="shared" si="19"/>
        <v>0</v>
      </c>
      <c r="V60" s="52">
        <f t="shared" si="19"/>
        <v>36027.434344636582</v>
      </c>
      <c r="W60" s="52">
        <f t="shared" si="19"/>
        <v>53019.312724472242</v>
      </c>
      <c r="X60" s="52">
        <f t="shared" si="19"/>
        <v>0</v>
      </c>
      <c r="Y60" s="52">
        <f t="shared" si="19"/>
        <v>399104.97311353683</v>
      </c>
      <c r="Z60" s="52">
        <f t="shared" si="19"/>
        <v>0</v>
      </c>
      <c r="AA60" s="52">
        <f t="shared" si="19"/>
        <v>175620.45897219155</v>
      </c>
      <c r="AB60" s="52">
        <f t="shared" si="19"/>
        <v>0</v>
      </c>
      <c r="AC60" s="52">
        <f t="shared" si="19"/>
        <v>0</v>
      </c>
      <c r="AD60" s="52">
        <f t="shared" si="19"/>
        <v>435093.19054432254</v>
      </c>
      <c r="AE60" s="52">
        <f t="shared" si="19"/>
        <v>8327.0595970052218</v>
      </c>
      <c r="AF60" s="52">
        <f t="shared" si="19"/>
        <v>44731.4700413178</v>
      </c>
      <c r="AG60" s="52">
        <f t="shared" si="19"/>
        <v>0</v>
      </c>
      <c r="AH60" s="52">
        <f t="shared" si="19"/>
        <v>0</v>
      </c>
      <c r="AI60" s="52">
        <f t="shared" si="19"/>
        <v>401797.70271054201</v>
      </c>
      <c r="AJ60" s="52">
        <f t="shared" si="19"/>
        <v>0</v>
      </c>
      <c r="AK60" s="52">
        <f t="shared" si="19"/>
        <v>36027.434344636582</v>
      </c>
      <c r="AL60" s="52">
        <f t="shared" si="19"/>
        <v>0</v>
      </c>
      <c r="AM60" s="52">
        <f t="shared" si="19"/>
        <v>2692.7295970052223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8"/>
        <v>0</v>
      </c>
      <c r="M61" s="1"/>
      <c r="N61" s="1"/>
      <c r="O61" s="54">
        <f t="shared" ref="O61:AM61" si="20">O49</f>
        <v>0</v>
      </c>
      <c r="P61" s="54">
        <f t="shared" si="20"/>
        <v>0</v>
      </c>
      <c r="Q61" s="54">
        <f t="shared" si="20"/>
        <v>0</v>
      </c>
      <c r="R61" s="54">
        <f t="shared" si="20"/>
        <v>0</v>
      </c>
      <c r="S61" s="54">
        <f t="shared" si="20"/>
        <v>0</v>
      </c>
      <c r="T61" s="54">
        <f t="shared" si="20"/>
        <v>0</v>
      </c>
      <c r="U61" s="54">
        <f t="shared" si="20"/>
        <v>0</v>
      </c>
      <c r="V61" s="54">
        <f t="shared" si="20"/>
        <v>0</v>
      </c>
      <c r="W61" s="54">
        <f t="shared" si="20"/>
        <v>0</v>
      </c>
      <c r="X61" s="54">
        <f t="shared" si="20"/>
        <v>0</v>
      </c>
      <c r="Y61" s="54">
        <f t="shared" si="20"/>
        <v>0</v>
      </c>
      <c r="Z61" s="54">
        <f t="shared" si="20"/>
        <v>0</v>
      </c>
      <c r="AA61" s="54">
        <f t="shared" si="20"/>
        <v>0</v>
      </c>
      <c r="AB61" s="54">
        <f t="shared" si="20"/>
        <v>0</v>
      </c>
      <c r="AC61" s="54">
        <f t="shared" si="20"/>
        <v>0</v>
      </c>
      <c r="AD61" s="54">
        <f t="shared" si="20"/>
        <v>0</v>
      </c>
      <c r="AE61" s="54">
        <f t="shared" si="20"/>
        <v>0</v>
      </c>
      <c r="AF61" s="54">
        <f t="shared" si="20"/>
        <v>0</v>
      </c>
      <c r="AG61" s="54">
        <f t="shared" si="20"/>
        <v>0</v>
      </c>
      <c r="AH61" s="54">
        <f t="shared" si="20"/>
        <v>0</v>
      </c>
      <c r="AI61" s="54">
        <f t="shared" si="20"/>
        <v>0</v>
      </c>
      <c r="AJ61" s="54">
        <f t="shared" si="20"/>
        <v>0</v>
      </c>
      <c r="AK61" s="54">
        <f t="shared" si="20"/>
        <v>0</v>
      </c>
      <c r="AL61" s="54">
        <f t="shared" si="20"/>
        <v>0</v>
      </c>
      <c r="AM61" s="54">
        <f t="shared" si="20"/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8"/>
        <v>11103175.860134406</v>
      </c>
      <c r="M62" s="1"/>
      <c r="N62" s="1"/>
      <c r="O62" s="54">
        <f t="shared" ref="O62:AM62" si="21">O75</f>
        <v>152098.2994538958</v>
      </c>
      <c r="P62" s="54">
        <f t="shared" si="21"/>
        <v>456294.8983616879</v>
      </c>
      <c r="Q62" s="54">
        <f t="shared" si="21"/>
        <v>456294.8983616879</v>
      </c>
      <c r="R62" s="54">
        <f t="shared" si="21"/>
        <v>456294.8983616879</v>
      </c>
      <c r="S62" s="54">
        <f t="shared" si="21"/>
        <v>456294.8983616879</v>
      </c>
      <c r="T62" s="54">
        <f t="shared" si="21"/>
        <v>456294.8983616879</v>
      </c>
      <c r="U62" s="54">
        <f t="shared" si="21"/>
        <v>456294.8983616879</v>
      </c>
      <c r="V62" s="54">
        <f t="shared" si="21"/>
        <v>456294.8983616879</v>
      </c>
      <c r="W62" s="54">
        <f t="shared" si="21"/>
        <v>456294.8983616879</v>
      </c>
      <c r="X62" s="54">
        <f t="shared" si="21"/>
        <v>456294.8983616879</v>
      </c>
      <c r="Y62" s="54">
        <f t="shared" si="21"/>
        <v>456294.8983616879</v>
      </c>
      <c r="Z62" s="54">
        <f t="shared" si="21"/>
        <v>456294.8983616879</v>
      </c>
      <c r="AA62" s="54">
        <f t="shared" si="21"/>
        <v>456294.8983616879</v>
      </c>
      <c r="AB62" s="54">
        <f t="shared" si="21"/>
        <v>456294.8983616879</v>
      </c>
      <c r="AC62" s="54">
        <f t="shared" si="21"/>
        <v>456294.8983616879</v>
      </c>
      <c r="AD62" s="54">
        <f t="shared" si="21"/>
        <v>456294.8983616879</v>
      </c>
      <c r="AE62" s="54">
        <f t="shared" si="21"/>
        <v>456294.8983616879</v>
      </c>
      <c r="AF62" s="54">
        <f t="shared" si="21"/>
        <v>456294.8983616879</v>
      </c>
      <c r="AG62" s="54">
        <f t="shared" si="21"/>
        <v>456294.8983616879</v>
      </c>
      <c r="AH62" s="54">
        <f t="shared" si="21"/>
        <v>456294.8983616879</v>
      </c>
      <c r="AI62" s="54">
        <f t="shared" si="21"/>
        <v>456294.8983616879</v>
      </c>
      <c r="AJ62" s="54">
        <f t="shared" si="21"/>
        <v>456294.8983616879</v>
      </c>
      <c r="AK62" s="54">
        <f t="shared" si="21"/>
        <v>456294.8983616879</v>
      </c>
      <c r="AL62" s="54">
        <f t="shared" si="21"/>
        <v>456294.8983616879</v>
      </c>
      <c r="AM62" s="54">
        <f t="shared" si="21"/>
        <v>456294.8983616879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 t="s">
        <v>34</v>
      </c>
      <c r="H63" s="606">
        <v>0.32578942</v>
      </c>
      <c r="I63" s="55"/>
      <c r="J63" s="55"/>
      <c r="K63" s="58"/>
      <c r="L63" s="59">
        <f>SUM(O63:AV63)</f>
        <v>3617297.2236311901</v>
      </c>
      <c r="M63" s="1"/>
      <c r="N63" s="1"/>
      <c r="O63" s="59">
        <f t="shared" ref="O63:AM63" si="22">$H63*O62</f>
        <v>49552.016762071027</v>
      </c>
      <c r="P63" s="59">
        <f t="shared" si="22"/>
        <v>148656.05028621326</v>
      </c>
      <c r="Q63" s="59">
        <f t="shared" si="22"/>
        <v>148656.05028621326</v>
      </c>
      <c r="R63" s="59">
        <f t="shared" si="22"/>
        <v>148656.05028621326</v>
      </c>
      <c r="S63" s="59">
        <f t="shared" si="22"/>
        <v>148656.05028621326</v>
      </c>
      <c r="T63" s="59">
        <f t="shared" si="22"/>
        <v>148656.05028621326</v>
      </c>
      <c r="U63" s="59">
        <f t="shared" si="22"/>
        <v>148656.05028621326</v>
      </c>
      <c r="V63" s="59">
        <f t="shared" si="22"/>
        <v>148656.05028621326</v>
      </c>
      <c r="W63" s="59">
        <f t="shared" si="22"/>
        <v>148656.05028621326</v>
      </c>
      <c r="X63" s="59">
        <f t="shared" si="22"/>
        <v>148656.05028621326</v>
      </c>
      <c r="Y63" s="59">
        <f t="shared" si="22"/>
        <v>148656.05028621326</v>
      </c>
      <c r="Z63" s="59">
        <f t="shared" si="22"/>
        <v>148656.05028621326</v>
      </c>
      <c r="AA63" s="59">
        <f t="shared" si="22"/>
        <v>148656.05028621326</v>
      </c>
      <c r="AB63" s="59">
        <f t="shared" si="22"/>
        <v>148656.05028621326</v>
      </c>
      <c r="AC63" s="59">
        <f t="shared" si="22"/>
        <v>148656.05028621326</v>
      </c>
      <c r="AD63" s="59">
        <f t="shared" si="22"/>
        <v>148656.05028621326</v>
      </c>
      <c r="AE63" s="59">
        <f t="shared" si="22"/>
        <v>148656.05028621326</v>
      </c>
      <c r="AF63" s="59">
        <f t="shared" si="22"/>
        <v>148656.05028621326</v>
      </c>
      <c r="AG63" s="59">
        <f t="shared" si="22"/>
        <v>148656.05028621326</v>
      </c>
      <c r="AH63" s="59">
        <f t="shared" si="22"/>
        <v>148656.05028621326</v>
      </c>
      <c r="AI63" s="59">
        <f t="shared" si="22"/>
        <v>148656.05028621326</v>
      </c>
      <c r="AJ63" s="59">
        <f t="shared" si="22"/>
        <v>148656.05028621326</v>
      </c>
      <c r="AK63" s="59">
        <f t="shared" si="22"/>
        <v>148656.05028621326</v>
      </c>
      <c r="AL63" s="59">
        <f t="shared" si="22"/>
        <v>148656.05028621326</v>
      </c>
      <c r="AM63" s="59">
        <f t="shared" si="22"/>
        <v>148656.05028621326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51"/>
      <c r="I64" s="61"/>
      <c r="J64" s="61"/>
      <c r="K64" s="61"/>
      <c r="L64" s="62">
        <v>0</v>
      </c>
      <c r="M64" s="1"/>
      <c r="N64" s="1"/>
      <c r="O64" s="62">
        <v>0</v>
      </c>
      <c r="P64" s="62">
        <f t="shared" ref="P64:AM64" si="23">O69</f>
        <v>-864209.93043421884</v>
      </c>
      <c r="Q64" s="62">
        <f t="shared" si="23"/>
        <v>-259258.98178631769</v>
      </c>
      <c r="R64" s="62">
        <f t="shared" si="23"/>
        <v>-136352.76275677475</v>
      </c>
      <c r="S64" s="62">
        <f t="shared" si="23"/>
        <v>-1239.3894037818245</v>
      </c>
      <c r="T64" s="62">
        <f t="shared" si="23"/>
        <v>-254543.35599316863</v>
      </c>
      <c r="U64" s="62">
        <f t="shared" si="23"/>
        <v>-131168.77684122397</v>
      </c>
      <c r="V64" s="62">
        <f t="shared" si="23"/>
        <v>4459.4745755592885</v>
      </c>
      <c r="W64" s="62">
        <f t="shared" si="23"/>
        <v>117531.0094741683</v>
      </c>
      <c r="X64" s="62">
        <f t="shared" si="23"/>
        <v>224841.03079461947</v>
      </c>
      <c r="Y64" s="62">
        <f t="shared" si="23"/>
        <v>395828.49101944419</v>
      </c>
      <c r="Z64" s="62">
        <f t="shared" si="23"/>
        <v>184693.60383364701</v>
      </c>
      <c r="AA64" s="62">
        <f t="shared" si="23"/>
        <v>351693.58612227207</v>
      </c>
      <c r="AB64" s="62">
        <f t="shared" si="23"/>
        <v>359659.69530805561</v>
      </c>
      <c r="AC64" s="62">
        <f t="shared" si="23"/>
        <v>544037.46447242517</v>
      </c>
      <c r="AD64" s="62">
        <f t="shared" si="23"/>
        <v>746727.79666065529</v>
      </c>
      <c r="AE64" s="62">
        <f t="shared" si="23"/>
        <v>534456.3212763092</v>
      </c>
      <c r="AF64" s="62">
        <f t="shared" si="23"/>
        <v>727867.98625553888</v>
      </c>
      <c r="AG64" s="62">
        <f t="shared" si="23"/>
        <v>904085.05833263707</v>
      </c>
      <c r="AH64" s="62">
        <f t="shared" si="23"/>
        <v>1142535.6358261269</v>
      </c>
      <c r="AI64" s="62">
        <f t="shared" si="23"/>
        <v>1404669.3354672368</v>
      </c>
      <c r="AJ64" s="62">
        <f t="shared" si="23"/>
        <v>1291040.6831730714</v>
      </c>
      <c r="AK64" s="62">
        <f t="shared" si="23"/>
        <v>1567924.0353955503</v>
      </c>
      <c r="AL64" s="62">
        <f t="shared" si="23"/>
        <v>1836280.2525817745</v>
      </c>
      <c r="AM64" s="62">
        <f t="shared" si="23"/>
        <v>2167317.2808312057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24">SUM(O65:AV65)</f>
        <v>-2908040.6328103491</v>
      </c>
      <c r="M65" s="1"/>
      <c r="N65" s="1"/>
      <c r="O65" s="54">
        <f t="shared" ref="O65:AM65" si="25">-O60</f>
        <v>-913761.9471962899</v>
      </c>
      <c r="P65" s="54">
        <f t="shared" si="25"/>
        <v>0</v>
      </c>
      <c r="Q65" s="54">
        <f t="shared" si="25"/>
        <v>0</v>
      </c>
      <c r="R65" s="54">
        <f t="shared" si="25"/>
        <v>0</v>
      </c>
      <c r="S65" s="54">
        <f t="shared" si="25"/>
        <v>-401836.91962439282</v>
      </c>
      <c r="T65" s="54">
        <f t="shared" si="25"/>
        <v>0</v>
      </c>
      <c r="U65" s="54">
        <f t="shared" si="25"/>
        <v>0</v>
      </c>
      <c r="V65" s="54">
        <f t="shared" si="25"/>
        <v>-36027.434344636582</v>
      </c>
      <c r="W65" s="54">
        <f t="shared" si="25"/>
        <v>-53019.312724472242</v>
      </c>
      <c r="X65" s="54">
        <f t="shared" si="25"/>
        <v>0</v>
      </c>
      <c r="Y65" s="54">
        <f t="shared" si="25"/>
        <v>-399104.97311353683</v>
      </c>
      <c r="Z65" s="54">
        <f t="shared" si="25"/>
        <v>0</v>
      </c>
      <c r="AA65" s="54">
        <f t="shared" si="25"/>
        <v>-175620.45897219155</v>
      </c>
      <c r="AB65" s="54">
        <f t="shared" si="25"/>
        <v>0</v>
      </c>
      <c r="AC65" s="54">
        <f t="shared" si="25"/>
        <v>0</v>
      </c>
      <c r="AD65" s="54">
        <f t="shared" si="25"/>
        <v>-435093.19054432254</v>
      </c>
      <c r="AE65" s="54">
        <f t="shared" si="25"/>
        <v>-8327.0595970052218</v>
      </c>
      <c r="AF65" s="54">
        <f t="shared" si="25"/>
        <v>-44731.4700413178</v>
      </c>
      <c r="AG65" s="54">
        <f t="shared" si="25"/>
        <v>0</v>
      </c>
      <c r="AH65" s="54">
        <f t="shared" si="25"/>
        <v>0</v>
      </c>
      <c r="AI65" s="54">
        <f t="shared" si="25"/>
        <v>-401797.70271054201</v>
      </c>
      <c r="AJ65" s="54">
        <f t="shared" si="25"/>
        <v>0</v>
      </c>
      <c r="AK65" s="54">
        <f t="shared" si="25"/>
        <v>-36027.434344636582</v>
      </c>
      <c r="AL65" s="54">
        <f t="shared" si="25"/>
        <v>0</v>
      </c>
      <c r="AM65" s="54">
        <f t="shared" si="25"/>
        <v>-2692.7295970052223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24"/>
        <v>0</v>
      </c>
      <c r="M66" s="1"/>
      <c r="N66" s="1"/>
      <c r="O66" s="54">
        <f t="shared" ref="O66:AM66" si="26">O61</f>
        <v>0</v>
      </c>
      <c r="P66" s="54">
        <f t="shared" si="26"/>
        <v>0</v>
      </c>
      <c r="Q66" s="54">
        <f t="shared" si="26"/>
        <v>0</v>
      </c>
      <c r="R66" s="54">
        <f t="shared" si="26"/>
        <v>0</v>
      </c>
      <c r="S66" s="54">
        <f t="shared" si="26"/>
        <v>0</v>
      </c>
      <c r="T66" s="54">
        <f t="shared" si="26"/>
        <v>0</v>
      </c>
      <c r="U66" s="54">
        <f t="shared" si="26"/>
        <v>0</v>
      </c>
      <c r="V66" s="54">
        <f t="shared" si="26"/>
        <v>0</v>
      </c>
      <c r="W66" s="54">
        <f t="shared" si="26"/>
        <v>0</v>
      </c>
      <c r="X66" s="54">
        <f t="shared" si="26"/>
        <v>0</v>
      </c>
      <c r="Y66" s="54">
        <f t="shared" si="26"/>
        <v>0</v>
      </c>
      <c r="Z66" s="54">
        <f t="shared" si="26"/>
        <v>0</v>
      </c>
      <c r="AA66" s="54">
        <f t="shared" si="26"/>
        <v>0</v>
      </c>
      <c r="AB66" s="54">
        <f t="shared" si="26"/>
        <v>0</v>
      </c>
      <c r="AC66" s="54">
        <f t="shared" si="26"/>
        <v>0</v>
      </c>
      <c r="AD66" s="54">
        <f t="shared" si="26"/>
        <v>0</v>
      </c>
      <c r="AE66" s="54">
        <f t="shared" si="26"/>
        <v>0</v>
      </c>
      <c r="AF66" s="54">
        <f t="shared" si="26"/>
        <v>0</v>
      </c>
      <c r="AG66" s="54">
        <f t="shared" si="26"/>
        <v>0</v>
      </c>
      <c r="AH66" s="54">
        <f t="shared" si="26"/>
        <v>0</v>
      </c>
      <c r="AI66" s="54">
        <f t="shared" si="26"/>
        <v>0</v>
      </c>
      <c r="AJ66" s="54">
        <f t="shared" si="26"/>
        <v>0</v>
      </c>
      <c r="AK66" s="54">
        <f t="shared" si="26"/>
        <v>0</v>
      </c>
      <c r="AL66" s="54">
        <f t="shared" si="26"/>
        <v>0</v>
      </c>
      <c r="AM66" s="54">
        <f t="shared" si="26"/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24"/>
        <v>1819283.8789461693</v>
      </c>
      <c r="M67" s="1"/>
      <c r="N67" s="1"/>
      <c r="O67" s="54">
        <f>$H67*O64</f>
        <v>0</v>
      </c>
      <c r="P67" s="54">
        <f>P62</f>
        <v>456294.8983616879</v>
      </c>
      <c r="Q67" s="54">
        <f t="shared" ref="Q67:AM67" si="27">$H67*Q64</f>
        <v>-25749.831256670328</v>
      </c>
      <c r="R67" s="54">
        <f t="shared" si="27"/>
        <v>-13542.676933220322</v>
      </c>
      <c r="S67" s="54">
        <f t="shared" si="27"/>
        <v>-123.09725120725396</v>
      </c>
      <c r="T67" s="54">
        <f t="shared" si="27"/>
        <v>-25281.471134268588</v>
      </c>
      <c r="U67" s="54">
        <f t="shared" si="27"/>
        <v>-13027.798869430006</v>
      </c>
      <c r="V67" s="54">
        <f t="shared" si="27"/>
        <v>442.91895703234366</v>
      </c>
      <c r="W67" s="54">
        <f t="shared" si="27"/>
        <v>11673.28375871016</v>
      </c>
      <c r="X67" s="54">
        <f t="shared" si="27"/>
        <v>22331.409938611483</v>
      </c>
      <c r="Y67" s="54">
        <f t="shared" si="27"/>
        <v>39314.035641526389</v>
      </c>
      <c r="Z67" s="54">
        <f t="shared" si="27"/>
        <v>18343.932002411799</v>
      </c>
      <c r="AA67" s="54">
        <f t="shared" si="27"/>
        <v>34930.517871761884</v>
      </c>
      <c r="AB67" s="54">
        <f t="shared" si="27"/>
        <v>35721.718878156345</v>
      </c>
      <c r="AC67" s="54">
        <f t="shared" si="27"/>
        <v>54034.281902016788</v>
      </c>
      <c r="AD67" s="54">
        <f t="shared" si="27"/>
        <v>74165.664873763162</v>
      </c>
      <c r="AE67" s="54">
        <f t="shared" si="27"/>
        <v>53082.674290021605</v>
      </c>
      <c r="AF67" s="54">
        <f t="shared" si="27"/>
        <v>72292.491832202708</v>
      </c>
      <c r="AG67" s="54">
        <f t="shared" si="27"/>
        <v>89794.527207276682</v>
      </c>
      <c r="AH67" s="54">
        <f t="shared" si="27"/>
        <v>113477.6493548967</v>
      </c>
      <c r="AI67" s="54">
        <f t="shared" si="27"/>
        <v>139513.00013016348</v>
      </c>
      <c r="AJ67" s="54">
        <f t="shared" si="27"/>
        <v>128227.30193626569</v>
      </c>
      <c r="AK67" s="54">
        <f t="shared" si="27"/>
        <v>155727.60124464752</v>
      </c>
      <c r="AL67" s="54">
        <f t="shared" si="27"/>
        <v>182380.97796321768</v>
      </c>
      <c r="AM67" s="54">
        <f t="shared" si="27"/>
        <v>215259.86824659503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24"/>
        <v>3617297.2236311901</v>
      </c>
      <c r="M68" s="1"/>
      <c r="N68" s="1"/>
      <c r="O68" s="54">
        <f t="shared" ref="O68:AM68" si="28">O63</f>
        <v>49552.016762071027</v>
      </c>
      <c r="P68" s="54">
        <f t="shared" si="28"/>
        <v>148656.05028621326</v>
      </c>
      <c r="Q68" s="54">
        <f t="shared" si="28"/>
        <v>148656.05028621326</v>
      </c>
      <c r="R68" s="54">
        <f t="shared" si="28"/>
        <v>148656.05028621326</v>
      </c>
      <c r="S68" s="54">
        <f t="shared" si="28"/>
        <v>148656.05028621326</v>
      </c>
      <c r="T68" s="54">
        <f t="shared" si="28"/>
        <v>148656.05028621326</v>
      </c>
      <c r="U68" s="54">
        <f t="shared" si="28"/>
        <v>148656.05028621326</v>
      </c>
      <c r="V68" s="54">
        <f t="shared" si="28"/>
        <v>148656.05028621326</v>
      </c>
      <c r="W68" s="54">
        <f t="shared" si="28"/>
        <v>148656.05028621326</v>
      </c>
      <c r="X68" s="54">
        <f t="shared" si="28"/>
        <v>148656.05028621326</v>
      </c>
      <c r="Y68" s="54">
        <f t="shared" si="28"/>
        <v>148656.05028621326</v>
      </c>
      <c r="Z68" s="54">
        <f t="shared" si="28"/>
        <v>148656.05028621326</v>
      </c>
      <c r="AA68" s="54">
        <f t="shared" si="28"/>
        <v>148656.05028621326</v>
      </c>
      <c r="AB68" s="54">
        <f t="shared" si="28"/>
        <v>148656.05028621326</v>
      </c>
      <c r="AC68" s="54">
        <f t="shared" si="28"/>
        <v>148656.05028621326</v>
      </c>
      <c r="AD68" s="54">
        <f t="shared" si="28"/>
        <v>148656.05028621326</v>
      </c>
      <c r="AE68" s="54">
        <f t="shared" si="28"/>
        <v>148656.05028621326</v>
      </c>
      <c r="AF68" s="54">
        <f t="shared" si="28"/>
        <v>148656.05028621326</v>
      </c>
      <c r="AG68" s="54">
        <f t="shared" si="28"/>
        <v>148656.05028621326</v>
      </c>
      <c r="AH68" s="54">
        <f t="shared" si="28"/>
        <v>148656.05028621326</v>
      </c>
      <c r="AI68" s="54">
        <f t="shared" si="28"/>
        <v>148656.05028621326</v>
      </c>
      <c r="AJ68" s="54">
        <f t="shared" si="28"/>
        <v>148656.05028621326</v>
      </c>
      <c r="AK68" s="54">
        <f t="shared" si="28"/>
        <v>148656.05028621326</v>
      </c>
      <c r="AL68" s="54">
        <f t="shared" si="28"/>
        <v>148656.05028621326</v>
      </c>
      <c r="AM68" s="54">
        <f t="shared" si="28"/>
        <v>148656.05028621326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2528540.4697670103</v>
      </c>
      <c r="M69" s="1"/>
      <c r="N69" s="1"/>
      <c r="O69" s="67">
        <f t="shared" ref="O69:AM69" si="29">SUM(O64:O68)</f>
        <v>-864209.93043421884</v>
      </c>
      <c r="P69" s="67">
        <f t="shared" si="29"/>
        <v>-259258.98178631769</v>
      </c>
      <c r="Q69" s="67">
        <f t="shared" si="29"/>
        <v>-136352.76275677475</v>
      </c>
      <c r="R69" s="67">
        <f t="shared" si="29"/>
        <v>-1239.3894037818245</v>
      </c>
      <c r="S69" s="67">
        <f t="shared" si="29"/>
        <v>-254543.35599316863</v>
      </c>
      <c r="T69" s="67">
        <f t="shared" si="29"/>
        <v>-131168.77684122397</v>
      </c>
      <c r="U69" s="67">
        <f t="shared" si="29"/>
        <v>4459.4745755592885</v>
      </c>
      <c r="V69" s="67">
        <f t="shared" si="29"/>
        <v>117531.0094741683</v>
      </c>
      <c r="W69" s="67">
        <f t="shared" si="29"/>
        <v>224841.03079461947</v>
      </c>
      <c r="X69" s="67">
        <f t="shared" si="29"/>
        <v>395828.49101944419</v>
      </c>
      <c r="Y69" s="67">
        <f t="shared" si="29"/>
        <v>184693.60383364701</v>
      </c>
      <c r="Z69" s="67">
        <f t="shared" si="29"/>
        <v>351693.58612227207</v>
      </c>
      <c r="AA69" s="67">
        <f t="shared" si="29"/>
        <v>359659.69530805561</v>
      </c>
      <c r="AB69" s="67">
        <f t="shared" si="29"/>
        <v>544037.46447242517</v>
      </c>
      <c r="AC69" s="67">
        <f t="shared" si="29"/>
        <v>746727.79666065529</v>
      </c>
      <c r="AD69" s="67">
        <f t="shared" si="29"/>
        <v>534456.3212763092</v>
      </c>
      <c r="AE69" s="67">
        <f t="shared" si="29"/>
        <v>727867.98625553888</v>
      </c>
      <c r="AF69" s="67">
        <f t="shared" si="29"/>
        <v>904085.05833263707</v>
      </c>
      <c r="AG69" s="67">
        <f t="shared" si="29"/>
        <v>1142535.6358261269</v>
      </c>
      <c r="AH69" s="67">
        <f t="shared" si="29"/>
        <v>1404669.3354672368</v>
      </c>
      <c r="AI69" s="67">
        <f t="shared" si="29"/>
        <v>1291040.6831730714</v>
      </c>
      <c r="AJ69" s="67">
        <f t="shared" si="29"/>
        <v>1567924.0353955503</v>
      </c>
      <c r="AK69" s="67">
        <f t="shared" si="29"/>
        <v>1836280.2525817745</v>
      </c>
      <c r="AL69" s="67">
        <f t="shared" si="29"/>
        <v>2167317.2808312057</v>
      </c>
      <c r="AM69" s="67">
        <f t="shared" si="29"/>
        <v>2528540.4697670089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5436581.1025773576</v>
      </c>
      <c r="M70" s="1"/>
      <c r="N70" s="1"/>
      <c r="O70" s="69">
        <f t="shared" ref="O70:AM70" si="30">MAX(O68+O67,0)</f>
        <v>49552.016762071027</v>
      </c>
      <c r="P70" s="69">
        <f t="shared" si="30"/>
        <v>604950.94864790118</v>
      </c>
      <c r="Q70" s="69">
        <f t="shared" si="30"/>
        <v>122906.21902954293</v>
      </c>
      <c r="R70" s="69">
        <f t="shared" si="30"/>
        <v>135113.37335299293</v>
      </c>
      <c r="S70" s="69">
        <f t="shared" si="30"/>
        <v>148532.95303500601</v>
      </c>
      <c r="T70" s="69">
        <f t="shared" si="30"/>
        <v>123374.57915194466</v>
      </c>
      <c r="U70" s="69">
        <f t="shared" si="30"/>
        <v>135628.25141678326</v>
      </c>
      <c r="V70" s="69">
        <f t="shared" si="30"/>
        <v>149098.96924324561</v>
      </c>
      <c r="W70" s="69">
        <f t="shared" si="30"/>
        <v>160329.33404492342</v>
      </c>
      <c r="X70" s="69">
        <f t="shared" si="30"/>
        <v>170987.46022482472</v>
      </c>
      <c r="Y70" s="69">
        <f t="shared" si="30"/>
        <v>187970.08592773965</v>
      </c>
      <c r="Z70" s="69">
        <f t="shared" si="30"/>
        <v>166999.98228862506</v>
      </c>
      <c r="AA70" s="69">
        <f t="shared" si="30"/>
        <v>183586.56815797515</v>
      </c>
      <c r="AB70" s="69">
        <f t="shared" si="30"/>
        <v>184377.76916436962</v>
      </c>
      <c r="AC70" s="69">
        <f t="shared" si="30"/>
        <v>202690.33218823004</v>
      </c>
      <c r="AD70" s="69">
        <f t="shared" si="30"/>
        <v>222821.71515997642</v>
      </c>
      <c r="AE70" s="69">
        <f t="shared" si="30"/>
        <v>201738.72457623488</v>
      </c>
      <c r="AF70" s="69">
        <f t="shared" si="30"/>
        <v>220948.54211841596</v>
      </c>
      <c r="AG70" s="69">
        <f t="shared" si="30"/>
        <v>238450.57749348995</v>
      </c>
      <c r="AH70" s="69">
        <f t="shared" si="30"/>
        <v>262133.69964110997</v>
      </c>
      <c r="AI70" s="69">
        <f t="shared" si="30"/>
        <v>288169.05041637673</v>
      </c>
      <c r="AJ70" s="69">
        <f t="shared" si="30"/>
        <v>276883.35222247895</v>
      </c>
      <c r="AK70" s="69">
        <f t="shared" si="30"/>
        <v>304383.65153086081</v>
      </c>
      <c r="AL70" s="69">
        <f t="shared" si="30"/>
        <v>331037.02824943094</v>
      </c>
      <c r="AM70" s="69">
        <f t="shared" si="30"/>
        <v>363915.91853280831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v>38024.574863473994</v>
      </c>
      <c r="H75" s="71">
        <v>0</v>
      </c>
      <c r="I75" s="174">
        <f>G75*(1+H75)</f>
        <v>38024.574863473994</v>
      </c>
      <c r="J75" s="232">
        <f>I75*12</f>
        <v>456294.8983616879</v>
      </c>
      <c r="K75" s="61"/>
      <c r="L75" s="174">
        <f t="shared" ref="L75:L78" si="31">SUM(O75:AV75)</f>
        <v>11103175.860134406</v>
      </c>
      <c r="M75" s="1"/>
      <c r="N75" s="1"/>
      <c r="O75" s="222">
        <f t="shared" ref="O75:AM75" si="32">SUM(O76)</f>
        <v>152098.2994538958</v>
      </c>
      <c r="P75" s="222">
        <f t="shared" si="32"/>
        <v>456294.8983616879</v>
      </c>
      <c r="Q75" s="62">
        <f t="shared" si="32"/>
        <v>456294.8983616879</v>
      </c>
      <c r="R75" s="62">
        <f t="shared" si="32"/>
        <v>456294.8983616879</v>
      </c>
      <c r="S75" s="62">
        <f t="shared" si="32"/>
        <v>456294.8983616879</v>
      </c>
      <c r="T75" s="62">
        <f t="shared" si="32"/>
        <v>456294.8983616879</v>
      </c>
      <c r="U75" s="62">
        <f t="shared" si="32"/>
        <v>456294.8983616879</v>
      </c>
      <c r="V75" s="62">
        <f t="shared" si="32"/>
        <v>456294.8983616879</v>
      </c>
      <c r="W75" s="62">
        <f t="shared" si="32"/>
        <v>456294.8983616879</v>
      </c>
      <c r="X75" s="62">
        <f t="shared" si="32"/>
        <v>456294.8983616879</v>
      </c>
      <c r="Y75" s="62">
        <f t="shared" si="32"/>
        <v>456294.8983616879</v>
      </c>
      <c r="Z75" s="62">
        <f t="shared" si="32"/>
        <v>456294.8983616879</v>
      </c>
      <c r="AA75" s="62">
        <f t="shared" si="32"/>
        <v>456294.8983616879</v>
      </c>
      <c r="AB75" s="62">
        <f t="shared" si="32"/>
        <v>456294.8983616879</v>
      </c>
      <c r="AC75" s="62">
        <f t="shared" si="32"/>
        <v>456294.8983616879</v>
      </c>
      <c r="AD75" s="62">
        <f t="shared" si="32"/>
        <v>456294.8983616879</v>
      </c>
      <c r="AE75" s="62">
        <f t="shared" si="32"/>
        <v>456294.8983616879</v>
      </c>
      <c r="AF75" s="62">
        <f t="shared" si="32"/>
        <v>456294.8983616879</v>
      </c>
      <c r="AG75" s="62">
        <f t="shared" si="32"/>
        <v>456294.8983616879</v>
      </c>
      <c r="AH75" s="62">
        <f t="shared" si="32"/>
        <v>456294.8983616879</v>
      </c>
      <c r="AI75" s="62">
        <f t="shared" si="32"/>
        <v>456294.8983616879</v>
      </c>
      <c r="AJ75" s="62">
        <f t="shared" si="32"/>
        <v>456294.8983616879</v>
      </c>
      <c r="AK75" s="62">
        <f t="shared" si="32"/>
        <v>456294.8983616879</v>
      </c>
      <c r="AL75" s="62">
        <f t="shared" si="32"/>
        <v>456294.8983616879</v>
      </c>
      <c r="AM75" s="62">
        <f t="shared" si="32"/>
        <v>456294.8983616879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38024.574863473994</v>
      </c>
      <c r="J76" s="51"/>
      <c r="K76" s="51"/>
      <c r="L76" s="227">
        <f t="shared" si="31"/>
        <v>11103175.860134406</v>
      </c>
      <c r="M76" s="1"/>
      <c r="N76" s="1"/>
      <c r="O76" s="52">
        <f t="shared" ref="O76:AM76" si="33">$I76*O78*12</f>
        <v>152098.2994538958</v>
      </c>
      <c r="P76" s="52">
        <f t="shared" si="33"/>
        <v>456294.8983616879</v>
      </c>
      <c r="Q76" s="52">
        <f t="shared" si="33"/>
        <v>456294.8983616879</v>
      </c>
      <c r="R76" s="52">
        <f t="shared" si="33"/>
        <v>456294.8983616879</v>
      </c>
      <c r="S76" s="52">
        <f t="shared" si="33"/>
        <v>456294.8983616879</v>
      </c>
      <c r="T76" s="52">
        <f t="shared" si="33"/>
        <v>456294.8983616879</v>
      </c>
      <c r="U76" s="52">
        <f t="shared" si="33"/>
        <v>456294.8983616879</v>
      </c>
      <c r="V76" s="52">
        <f t="shared" si="33"/>
        <v>456294.8983616879</v>
      </c>
      <c r="W76" s="52">
        <f t="shared" si="33"/>
        <v>456294.8983616879</v>
      </c>
      <c r="X76" s="52">
        <f t="shared" si="33"/>
        <v>456294.8983616879</v>
      </c>
      <c r="Y76" s="52">
        <f t="shared" si="33"/>
        <v>456294.8983616879</v>
      </c>
      <c r="Z76" s="52">
        <f t="shared" si="33"/>
        <v>456294.8983616879</v>
      </c>
      <c r="AA76" s="52">
        <f t="shared" si="33"/>
        <v>456294.8983616879</v>
      </c>
      <c r="AB76" s="52">
        <f t="shared" si="33"/>
        <v>456294.8983616879</v>
      </c>
      <c r="AC76" s="52">
        <f t="shared" si="33"/>
        <v>456294.8983616879</v>
      </c>
      <c r="AD76" s="52">
        <f t="shared" si="33"/>
        <v>456294.8983616879</v>
      </c>
      <c r="AE76" s="52">
        <f t="shared" si="33"/>
        <v>456294.8983616879</v>
      </c>
      <c r="AF76" s="52">
        <f t="shared" si="33"/>
        <v>456294.8983616879</v>
      </c>
      <c r="AG76" s="52">
        <f t="shared" si="33"/>
        <v>456294.8983616879</v>
      </c>
      <c r="AH76" s="52">
        <f t="shared" si="33"/>
        <v>456294.8983616879</v>
      </c>
      <c r="AI76" s="52">
        <f t="shared" si="33"/>
        <v>456294.8983616879</v>
      </c>
      <c r="AJ76" s="52">
        <f t="shared" si="33"/>
        <v>456294.8983616879</v>
      </c>
      <c r="AK76" s="52">
        <f t="shared" si="33"/>
        <v>456294.8983616879</v>
      </c>
      <c r="AL76" s="52">
        <f t="shared" si="33"/>
        <v>456294.8983616879</v>
      </c>
      <c r="AM76" s="52">
        <f t="shared" si="33"/>
        <v>456294.8983616879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74"/>
      <c r="L77" s="75">
        <f t="shared" si="31"/>
        <v>24.333333333333332</v>
      </c>
      <c r="M77" s="1"/>
      <c r="N77" s="1"/>
      <c r="O77" s="75">
        <f t="shared" ref="O77:AM77" si="34">SUM(O78)</f>
        <v>0.33333333333333298</v>
      </c>
      <c r="P77" s="75">
        <f t="shared" si="34"/>
        <v>1</v>
      </c>
      <c r="Q77" s="75">
        <f t="shared" si="34"/>
        <v>1</v>
      </c>
      <c r="R77" s="75">
        <f t="shared" si="34"/>
        <v>1</v>
      </c>
      <c r="S77" s="75">
        <f t="shared" si="34"/>
        <v>1</v>
      </c>
      <c r="T77" s="75">
        <f t="shared" si="34"/>
        <v>1</v>
      </c>
      <c r="U77" s="75">
        <f t="shared" si="34"/>
        <v>1</v>
      </c>
      <c r="V77" s="75">
        <f t="shared" si="34"/>
        <v>1</v>
      </c>
      <c r="W77" s="75">
        <f t="shared" si="34"/>
        <v>1</v>
      </c>
      <c r="X77" s="75">
        <f t="shared" si="34"/>
        <v>1</v>
      </c>
      <c r="Y77" s="75">
        <f t="shared" si="34"/>
        <v>1</v>
      </c>
      <c r="Z77" s="75">
        <f t="shared" si="34"/>
        <v>1</v>
      </c>
      <c r="AA77" s="75">
        <f t="shared" si="34"/>
        <v>1</v>
      </c>
      <c r="AB77" s="75">
        <f t="shared" si="34"/>
        <v>1</v>
      </c>
      <c r="AC77" s="75">
        <f t="shared" si="34"/>
        <v>1</v>
      </c>
      <c r="AD77" s="75">
        <f t="shared" si="34"/>
        <v>1</v>
      </c>
      <c r="AE77" s="75">
        <f t="shared" si="34"/>
        <v>1</v>
      </c>
      <c r="AF77" s="75">
        <f t="shared" si="34"/>
        <v>1</v>
      </c>
      <c r="AG77" s="75">
        <f t="shared" si="34"/>
        <v>1</v>
      </c>
      <c r="AH77" s="75">
        <f t="shared" si="34"/>
        <v>1</v>
      </c>
      <c r="AI77" s="75">
        <f t="shared" si="34"/>
        <v>1</v>
      </c>
      <c r="AJ77" s="75">
        <f t="shared" si="34"/>
        <v>1</v>
      </c>
      <c r="AK77" s="75">
        <f t="shared" si="34"/>
        <v>1</v>
      </c>
      <c r="AL77" s="75">
        <f t="shared" si="34"/>
        <v>1</v>
      </c>
      <c r="AM77" s="75">
        <f t="shared" si="34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31"/>
        <v>24.333333333333332</v>
      </c>
      <c r="M78" s="1"/>
      <c r="N78" s="1"/>
      <c r="O78" s="170">
        <v>0.33333333333333298</v>
      </c>
      <c r="P78" s="78">
        <f t="shared" ref="P78:AM78" si="35">IF(AND( $G78&lt;=P$3,P$3&lt;=$H78),1,0)</f>
        <v>1</v>
      </c>
      <c r="Q78" s="78">
        <f t="shared" si="35"/>
        <v>1</v>
      </c>
      <c r="R78" s="78">
        <f t="shared" si="35"/>
        <v>1</v>
      </c>
      <c r="S78" s="78">
        <f t="shared" si="35"/>
        <v>1</v>
      </c>
      <c r="T78" s="78">
        <f t="shared" si="35"/>
        <v>1</v>
      </c>
      <c r="U78" s="78">
        <f t="shared" si="35"/>
        <v>1</v>
      </c>
      <c r="V78" s="78">
        <f t="shared" si="35"/>
        <v>1</v>
      </c>
      <c r="W78" s="78">
        <f t="shared" si="35"/>
        <v>1</v>
      </c>
      <c r="X78" s="78">
        <f t="shared" si="35"/>
        <v>1</v>
      </c>
      <c r="Y78" s="78">
        <f t="shared" si="35"/>
        <v>1</v>
      </c>
      <c r="Z78" s="78">
        <f t="shared" si="35"/>
        <v>1</v>
      </c>
      <c r="AA78" s="78">
        <f t="shared" si="35"/>
        <v>1</v>
      </c>
      <c r="AB78" s="78">
        <f t="shared" si="35"/>
        <v>1</v>
      </c>
      <c r="AC78" s="78">
        <f t="shared" si="35"/>
        <v>1</v>
      </c>
      <c r="AD78" s="78">
        <f t="shared" si="35"/>
        <v>1</v>
      </c>
      <c r="AE78" s="78">
        <f t="shared" si="35"/>
        <v>1</v>
      </c>
      <c r="AF78" s="78">
        <f t="shared" si="35"/>
        <v>1</v>
      </c>
      <c r="AG78" s="78">
        <f t="shared" si="35"/>
        <v>1</v>
      </c>
      <c r="AH78" s="78">
        <f t="shared" si="35"/>
        <v>1</v>
      </c>
      <c r="AI78" s="78">
        <f t="shared" si="35"/>
        <v>1</v>
      </c>
      <c r="AJ78" s="78">
        <f t="shared" si="35"/>
        <v>1</v>
      </c>
      <c r="AK78" s="78">
        <f t="shared" si="35"/>
        <v>1</v>
      </c>
      <c r="AL78" s="78">
        <f t="shared" si="35"/>
        <v>1</v>
      </c>
      <c r="AM78" s="78">
        <f t="shared" si="35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36">O$3</f>
        <v>1</v>
      </c>
      <c r="P82" s="80">
        <f t="shared" si="36"/>
        <v>2</v>
      </c>
      <c r="Q82" s="80">
        <f t="shared" si="36"/>
        <v>3</v>
      </c>
      <c r="R82" s="80">
        <f t="shared" si="36"/>
        <v>4</v>
      </c>
      <c r="S82" s="80">
        <f t="shared" si="36"/>
        <v>5</v>
      </c>
      <c r="T82" s="80">
        <f t="shared" si="36"/>
        <v>6</v>
      </c>
      <c r="U82" s="80">
        <f t="shared" si="36"/>
        <v>7</v>
      </c>
      <c r="V82" s="80">
        <f t="shared" si="36"/>
        <v>8</v>
      </c>
      <c r="W82" s="80">
        <f t="shared" si="36"/>
        <v>9</v>
      </c>
      <c r="X82" s="80">
        <f t="shared" si="36"/>
        <v>10</v>
      </c>
      <c r="Y82" s="80">
        <f t="shared" si="36"/>
        <v>11</v>
      </c>
      <c r="Z82" s="80">
        <f t="shared" si="36"/>
        <v>12</v>
      </c>
      <c r="AA82" s="80">
        <f t="shared" si="36"/>
        <v>13</v>
      </c>
      <c r="AB82" s="80">
        <f t="shared" si="36"/>
        <v>14</v>
      </c>
      <c r="AC82" s="80">
        <f t="shared" si="36"/>
        <v>15</v>
      </c>
      <c r="AD82" s="80">
        <f t="shared" si="36"/>
        <v>16</v>
      </c>
      <c r="AE82" s="80">
        <f t="shared" si="36"/>
        <v>17</v>
      </c>
      <c r="AF82" s="80">
        <f t="shared" si="36"/>
        <v>18</v>
      </c>
      <c r="AG82" s="80">
        <f t="shared" si="36"/>
        <v>19</v>
      </c>
      <c r="AH82" s="80">
        <f t="shared" si="36"/>
        <v>20</v>
      </c>
      <c r="AI82" s="80">
        <f t="shared" si="36"/>
        <v>21</v>
      </c>
      <c r="AJ82" s="80">
        <f t="shared" si="36"/>
        <v>22</v>
      </c>
      <c r="AK82" s="80">
        <f t="shared" si="36"/>
        <v>23</v>
      </c>
      <c r="AL82" s="80">
        <f t="shared" si="36"/>
        <v>24</v>
      </c>
      <c r="AM82" s="80">
        <f t="shared" si="36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37">O$2</f>
        <v>46023</v>
      </c>
      <c r="P83" s="84">
        <f t="shared" si="37"/>
        <v>46388</v>
      </c>
      <c r="Q83" s="84">
        <f t="shared" si="37"/>
        <v>46753</v>
      </c>
      <c r="R83" s="84">
        <f t="shared" si="37"/>
        <v>47119</v>
      </c>
      <c r="S83" s="84">
        <f t="shared" si="37"/>
        <v>47484</v>
      </c>
      <c r="T83" s="84">
        <f t="shared" si="37"/>
        <v>47849</v>
      </c>
      <c r="U83" s="84">
        <f t="shared" si="37"/>
        <v>48214</v>
      </c>
      <c r="V83" s="84">
        <f t="shared" si="37"/>
        <v>48580</v>
      </c>
      <c r="W83" s="84">
        <f t="shared" si="37"/>
        <v>48945</v>
      </c>
      <c r="X83" s="84">
        <f t="shared" si="37"/>
        <v>49310</v>
      </c>
      <c r="Y83" s="84">
        <f t="shared" si="37"/>
        <v>49675</v>
      </c>
      <c r="Z83" s="84">
        <f t="shared" si="37"/>
        <v>50041</v>
      </c>
      <c r="AA83" s="84">
        <f t="shared" si="37"/>
        <v>50406</v>
      </c>
      <c r="AB83" s="84">
        <f t="shared" si="37"/>
        <v>50771</v>
      </c>
      <c r="AC83" s="84">
        <f t="shared" si="37"/>
        <v>51136</v>
      </c>
      <c r="AD83" s="84">
        <f t="shared" si="37"/>
        <v>51502</v>
      </c>
      <c r="AE83" s="84">
        <f t="shared" si="37"/>
        <v>51867</v>
      </c>
      <c r="AF83" s="84">
        <f t="shared" si="37"/>
        <v>52232</v>
      </c>
      <c r="AG83" s="84">
        <f t="shared" si="37"/>
        <v>52597</v>
      </c>
      <c r="AH83" s="84">
        <f t="shared" si="37"/>
        <v>52963</v>
      </c>
      <c r="AI83" s="84">
        <f t="shared" si="37"/>
        <v>53328</v>
      </c>
      <c r="AJ83" s="84">
        <f t="shared" si="37"/>
        <v>53693</v>
      </c>
      <c r="AK83" s="84">
        <f t="shared" si="37"/>
        <v>54058</v>
      </c>
      <c r="AL83" s="84">
        <f t="shared" si="37"/>
        <v>54424</v>
      </c>
      <c r="AM83" s="84">
        <f t="shared" si="37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38">S84</f>
        <v>3.5000000000000003E-2</v>
      </c>
      <c r="U84" s="85">
        <f t="shared" si="38"/>
        <v>3.5000000000000003E-2</v>
      </c>
      <c r="V84" s="85">
        <f t="shared" si="38"/>
        <v>3.5000000000000003E-2</v>
      </c>
      <c r="W84" s="85">
        <f t="shared" si="38"/>
        <v>3.5000000000000003E-2</v>
      </c>
      <c r="X84" s="85">
        <f t="shared" si="38"/>
        <v>3.5000000000000003E-2</v>
      </c>
      <c r="Y84" s="85">
        <f t="shared" si="38"/>
        <v>3.5000000000000003E-2</v>
      </c>
      <c r="Z84" s="85">
        <f t="shared" si="38"/>
        <v>3.5000000000000003E-2</v>
      </c>
      <c r="AA84" s="85">
        <f t="shared" si="38"/>
        <v>3.5000000000000003E-2</v>
      </c>
      <c r="AB84" s="85">
        <f t="shared" si="38"/>
        <v>3.5000000000000003E-2</v>
      </c>
      <c r="AC84" s="85">
        <f t="shared" si="38"/>
        <v>3.5000000000000003E-2</v>
      </c>
      <c r="AD84" s="85">
        <f t="shared" si="38"/>
        <v>3.5000000000000003E-2</v>
      </c>
      <c r="AE84" s="85">
        <f t="shared" si="38"/>
        <v>3.5000000000000003E-2</v>
      </c>
      <c r="AF84" s="85">
        <f t="shared" si="38"/>
        <v>3.5000000000000003E-2</v>
      </c>
      <c r="AG84" s="85">
        <f t="shared" si="38"/>
        <v>3.5000000000000003E-2</v>
      </c>
      <c r="AH84" s="85">
        <f t="shared" si="38"/>
        <v>3.5000000000000003E-2</v>
      </c>
      <c r="AI84" s="85">
        <f t="shared" si="38"/>
        <v>3.5000000000000003E-2</v>
      </c>
      <c r="AJ84" s="85">
        <f t="shared" si="38"/>
        <v>3.5000000000000003E-2</v>
      </c>
      <c r="AK84" s="85">
        <f t="shared" si="38"/>
        <v>3.5000000000000003E-2</v>
      </c>
      <c r="AL84" s="85">
        <f t="shared" si="38"/>
        <v>3.5000000000000003E-2</v>
      </c>
      <c r="AM84" s="85">
        <f t="shared" si="38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39">O85*(1+O84)</f>
        <v>1.0390999999999999</v>
      </c>
      <c r="Q85" s="88">
        <f t="shared" si="39"/>
        <v>1.0784818899999999</v>
      </c>
      <c r="R85" s="88">
        <f t="shared" si="39"/>
        <v>1.1162287561499999</v>
      </c>
      <c r="S85" s="88">
        <f t="shared" si="39"/>
        <v>1.1552967626152499</v>
      </c>
      <c r="T85" s="88">
        <f t="shared" si="39"/>
        <v>1.1957321493067836</v>
      </c>
      <c r="U85" s="88">
        <f t="shared" si="39"/>
        <v>1.237582774532521</v>
      </c>
      <c r="V85" s="88">
        <f t="shared" si="39"/>
        <v>1.2808981716411592</v>
      </c>
      <c r="W85" s="88">
        <f t="shared" si="39"/>
        <v>1.3257296076485996</v>
      </c>
      <c r="X85" s="88">
        <f t="shared" si="39"/>
        <v>1.3721301439163005</v>
      </c>
      <c r="Y85" s="88">
        <f t="shared" si="39"/>
        <v>1.4201546989533709</v>
      </c>
      <c r="Z85" s="88">
        <f t="shared" si="39"/>
        <v>1.4698601134167388</v>
      </c>
      <c r="AA85" s="88">
        <f t="shared" si="39"/>
        <v>1.5213052173863246</v>
      </c>
      <c r="AB85" s="88">
        <f t="shared" si="39"/>
        <v>1.5745508999948459</v>
      </c>
      <c r="AC85" s="88">
        <f t="shared" si="39"/>
        <v>1.6296601814946654</v>
      </c>
      <c r="AD85" s="88">
        <f t="shared" si="39"/>
        <v>1.6866982878469785</v>
      </c>
      <c r="AE85" s="88">
        <f t="shared" si="39"/>
        <v>1.7457327279216226</v>
      </c>
      <c r="AF85" s="88">
        <f t="shared" si="39"/>
        <v>1.8068333733988793</v>
      </c>
      <c r="AG85" s="88">
        <f t="shared" si="39"/>
        <v>1.8700725414678399</v>
      </c>
      <c r="AH85" s="88">
        <f t="shared" si="39"/>
        <v>1.9355250804192141</v>
      </c>
      <c r="AI85" s="88">
        <f t="shared" si="39"/>
        <v>2.0032684582338867</v>
      </c>
      <c r="AJ85" s="88">
        <f t="shared" si="39"/>
        <v>2.0733828542720727</v>
      </c>
      <c r="AK85" s="88">
        <f t="shared" si="39"/>
        <v>2.145951254171595</v>
      </c>
      <c r="AL85" s="88">
        <f t="shared" si="39"/>
        <v>2.2210595480676005</v>
      </c>
      <c r="AM85" s="88">
        <f t="shared" si="39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40">R86</f>
        <v>0.05</v>
      </c>
      <c r="T86" s="85">
        <f t="shared" si="40"/>
        <v>0.05</v>
      </c>
      <c r="U86" s="85">
        <f t="shared" si="40"/>
        <v>0.05</v>
      </c>
      <c r="V86" s="85">
        <f t="shared" si="40"/>
        <v>0.05</v>
      </c>
      <c r="W86" s="85">
        <f t="shared" si="40"/>
        <v>0.05</v>
      </c>
      <c r="X86" s="85">
        <f t="shared" si="40"/>
        <v>0.05</v>
      </c>
      <c r="Y86" s="85">
        <f t="shared" si="40"/>
        <v>0.05</v>
      </c>
      <c r="Z86" s="85">
        <f t="shared" si="40"/>
        <v>0.05</v>
      </c>
      <c r="AA86" s="85">
        <f t="shared" si="40"/>
        <v>0.05</v>
      </c>
      <c r="AB86" s="85">
        <f t="shared" si="40"/>
        <v>0.05</v>
      </c>
      <c r="AC86" s="85">
        <f t="shared" si="40"/>
        <v>0.05</v>
      </c>
      <c r="AD86" s="85">
        <f t="shared" si="40"/>
        <v>0.05</v>
      </c>
      <c r="AE86" s="85">
        <f t="shared" si="40"/>
        <v>0.05</v>
      </c>
      <c r="AF86" s="85">
        <f t="shared" si="40"/>
        <v>0.05</v>
      </c>
      <c r="AG86" s="85">
        <f t="shared" si="40"/>
        <v>0.05</v>
      </c>
      <c r="AH86" s="85">
        <f t="shared" si="40"/>
        <v>0.05</v>
      </c>
      <c r="AI86" s="85">
        <f t="shared" si="40"/>
        <v>0.05</v>
      </c>
      <c r="AJ86" s="85">
        <f t="shared" si="40"/>
        <v>0.05</v>
      </c>
      <c r="AK86" s="85">
        <f t="shared" si="40"/>
        <v>0.05</v>
      </c>
      <c r="AL86" s="85">
        <f t="shared" si="40"/>
        <v>0.05</v>
      </c>
      <c r="AM86" s="85">
        <f t="shared" si="40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41">O87*(1+O86)</f>
        <v>1.0583</v>
      </c>
      <c r="Q87" s="88">
        <f t="shared" si="41"/>
        <v>1.1090984000000002</v>
      </c>
      <c r="R87" s="88">
        <f t="shared" si="41"/>
        <v>1.1566787213600001</v>
      </c>
      <c r="S87" s="88">
        <f t="shared" si="41"/>
        <v>1.2145126574280001</v>
      </c>
      <c r="T87" s="88">
        <f t="shared" si="41"/>
        <v>1.2752382902994002</v>
      </c>
      <c r="U87" s="88">
        <f t="shared" si="41"/>
        <v>1.3390002048143703</v>
      </c>
      <c r="V87" s="88">
        <f t="shared" si="41"/>
        <v>1.4059502150550889</v>
      </c>
      <c r="W87" s="88">
        <f t="shared" si="41"/>
        <v>1.4762477258078435</v>
      </c>
      <c r="X87" s="88">
        <f t="shared" si="41"/>
        <v>1.5500601120982358</v>
      </c>
      <c r="Y87" s="88">
        <f t="shared" si="41"/>
        <v>1.6275631177031478</v>
      </c>
      <c r="Z87" s="88">
        <f t="shared" si="41"/>
        <v>1.7089412735883052</v>
      </c>
      <c r="AA87" s="88">
        <f t="shared" si="41"/>
        <v>1.7943883372677205</v>
      </c>
      <c r="AB87" s="88">
        <f t="shared" si="41"/>
        <v>1.8841077541311066</v>
      </c>
      <c r="AC87" s="88">
        <f t="shared" si="41"/>
        <v>1.978313141837662</v>
      </c>
      <c r="AD87" s="88">
        <f t="shared" si="41"/>
        <v>2.077228798929545</v>
      </c>
      <c r="AE87" s="88">
        <f t="shared" si="41"/>
        <v>2.1810902388760223</v>
      </c>
      <c r="AF87" s="88">
        <f t="shared" si="41"/>
        <v>2.2901447508198234</v>
      </c>
      <c r="AG87" s="88">
        <f t="shared" si="41"/>
        <v>2.4046519883608148</v>
      </c>
      <c r="AH87" s="88">
        <f t="shared" si="41"/>
        <v>2.5248845877788555</v>
      </c>
      <c r="AI87" s="88">
        <f t="shared" si="41"/>
        <v>2.6511288171677982</v>
      </c>
      <c r="AJ87" s="88">
        <f t="shared" si="41"/>
        <v>2.7836852580261882</v>
      </c>
      <c r="AK87" s="88">
        <f t="shared" si="41"/>
        <v>2.9228695209274975</v>
      </c>
      <c r="AL87" s="88">
        <f t="shared" si="41"/>
        <v>3.0690129969738726</v>
      </c>
      <c r="AM87" s="88">
        <f t="shared" si="41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42">R88</f>
        <v>3.73E-2</v>
      </c>
      <c r="T88" s="85">
        <f t="shared" si="42"/>
        <v>3.73E-2</v>
      </c>
      <c r="U88" s="85">
        <f t="shared" si="42"/>
        <v>3.73E-2</v>
      </c>
      <c r="V88" s="85">
        <f t="shared" si="42"/>
        <v>3.73E-2</v>
      </c>
      <c r="W88" s="85">
        <f t="shared" si="42"/>
        <v>3.73E-2</v>
      </c>
      <c r="X88" s="85">
        <f t="shared" si="42"/>
        <v>3.73E-2</v>
      </c>
      <c r="Y88" s="85">
        <f t="shared" si="42"/>
        <v>3.73E-2</v>
      </c>
      <c r="Z88" s="85">
        <f t="shared" si="42"/>
        <v>3.73E-2</v>
      </c>
      <c r="AA88" s="85">
        <f t="shared" si="42"/>
        <v>3.73E-2</v>
      </c>
      <c r="AB88" s="85">
        <f t="shared" si="42"/>
        <v>3.73E-2</v>
      </c>
      <c r="AC88" s="85">
        <f t="shared" si="42"/>
        <v>3.73E-2</v>
      </c>
      <c r="AD88" s="85">
        <f t="shared" si="42"/>
        <v>3.73E-2</v>
      </c>
      <c r="AE88" s="85">
        <f t="shared" si="42"/>
        <v>3.73E-2</v>
      </c>
      <c r="AF88" s="85">
        <f t="shared" si="42"/>
        <v>3.73E-2</v>
      </c>
      <c r="AG88" s="85">
        <f t="shared" si="42"/>
        <v>3.73E-2</v>
      </c>
      <c r="AH88" s="85">
        <f t="shared" si="42"/>
        <v>3.73E-2</v>
      </c>
      <c r="AI88" s="85">
        <f t="shared" si="42"/>
        <v>3.73E-2</v>
      </c>
      <c r="AJ88" s="85">
        <f t="shared" si="42"/>
        <v>3.73E-2</v>
      </c>
      <c r="AK88" s="85">
        <f t="shared" si="42"/>
        <v>3.73E-2</v>
      </c>
      <c r="AL88" s="85">
        <f t="shared" si="42"/>
        <v>3.73E-2</v>
      </c>
      <c r="AM88" s="85">
        <f t="shared" si="42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43">O89*(1+O88)</f>
        <v>1.0318000000000001</v>
      </c>
      <c r="Q89" s="88">
        <f t="shared" si="43"/>
        <v>1.073072</v>
      </c>
      <c r="R89" s="88">
        <f t="shared" si="43"/>
        <v>1.113848736</v>
      </c>
      <c r="S89" s="88">
        <f t="shared" si="43"/>
        <v>1.1553952938528</v>
      </c>
      <c r="T89" s="88">
        <f t="shared" si="43"/>
        <v>1.1984915383135095</v>
      </c>
      <c r="U89" s="88">
        <f t="shared" si="43"/>
        <v>1.2431952726926037</v>
      </c>
      <c r="V89" s="88">
        <f t="shared" si="43"/>
        <v>1.2895664563640379</v>
      </c>
      <c r="W89" s="88">
        <f t="shared" si="43"/>
        <v>1.3376672851864166</v>
      </c>
      <c r="X89" s="88">
        <f t="shared" si="43"/>
        <v>1.3875622749238701</v>
      </c>
      <c r="Y89" s="88">
        <f t="shared" si="43"/>
        <v>1.4393183477785305</v>
      </c>
      <c r="Z89" s="88">
        <f t="shared" si="43"/>
        <v>1.4930049221506698</v>
      </c>
      <c r="AA89" s="88">
        <f t="shared" si="43"/>
        <v>1.5486940057468899</v>
      </c>
      <c r="AB89" s="88">
        <f t="shared" si="43"/>
        <v>1.606460292161249</v>
      </c>
      <c r="AC89" s="88">
        <f t="shared" si="43"/>
        <v>1.6663812610588637</v>
      </c>
      <c r="AD89" s="88">
        <f t="shared" si="43"/>
        <v>1.7285372820963596</v>
      </c>
      <c r="AE89" s="88">
        <f t="shared" si="43"/>
        <v>1.793011722718554</v>
      </c>
      <c r="AF89" s="88">
        <f t="shared" si="43"/>
        <v>1.8598910599759564</v>
      </c>
      <c r="AG89" s="88">
        <f t="shared" si="43"/>
        <v>1.9292649965130597</v>
      </c>
      <c r="AH89" s="88">
        <f t="shared" si="43"/>
        <v>2.0012265808829972</v>
      </c>
      <c r="AI89" s="88">
        <f t="shared" si="43"/>
        <v>2.0758723323499333</v>
      </c>
      <c r="AJ89" s="88">
        <f t="shared" si="43"/>
        <v>2.1533023703465859</v>
      </c>
      <c r="AK89" s="88">
        <f t="shared" si="43"/>
        <v>2.2336205487605136</v>
      </c>
      <c r="AL89" s="88">
        <f t="shared" si="43"/>
        <v>2.3169345952292812</v>
      </c>
      <c r="AM89" s="88">
        <f t="shared" si="43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44">R90</f>
        <v>9.5000000000000001E-2</v>
      </c>
      <c r="T90" s="85">
        <f t="shared" si="44"/>
        <v>9.5000000000000001E-2</v>
      </c>
      <c r="U90" s="85">
        <f t="shared" si="44"/>
        <v>9.5000000000000001E-2</v>
      </c>
      <c r="V90" s="85">
        <f t="shared" si="44"/>
        <v>9.5000000000000001E-2</v>
      </c>
      <c r="W90" s="85">
        <f t="shared" si="44"/>
        <v>9.5000000000000001E-2</v>
      </c>
      <c r="X90" s="85">
        <f t="shared" si="44"/>
        <v>9.5000000000000001E-2</v>
      </c>
      <c r="Y90" s="85">
        <f t="shared" si="44"/>
        <v>9.5000000000000001E-2</v>
      </c>
      <c r="Z90" s="85">
        <f t="shared" si="44"/>
        <v>9.5000000000000001E-2</v>
      </c>
      <c r="AA90" s="85">
        <f t="shared" si="44"/>
        <v>9.5000000000000001E-2</v>
      </c>
      <c r="AB90" s="85">
        <f t="shared" si="44"/>
        <v>9.5000000000000001E-2</v>
      </c>
      <c r="AC90" s="85">
        <f t="shared" si="44"/>
        <v>9.5000000000000001E-2</v>
      </c>
      <c r="AD90" s="85">
        <f t="shared" si="44"/>
        <v>9.5000000000000001E-2</v>
      </c>
      <c r="AE90" s="85">
        <f t="shared" si="44"/>
        <v>9.5000000000000001E-2</v>
      </c>
      <c r="AF90" s="85">
        <f t="shared" si="44"/>
        <v>9.5000000000000001E-2</v>
      </c>
      <c r="AG90" s="85">
        <f t="shared" si="44"/>
        <v>9.5000000000000001E-2</v>
      </c>
      <c r="AH90" s="85">
        <f t="shared" si="44"/>
        <v>9.5000000000000001E-2</v>
      </c>
      <c r="AI90" s="85">
        <f t="shared" si="44"/>
        <v>9.5000000000000001E-2</v>
      </c>
      <c r="AJ90" s="85">
        <f t="shared" si="44"/>
        <v>9.5000000000000001E-2</v>
      </c>
      <c r="AK90" s="85">
        <f t="shared" si="44"/>
        <v>9.5000000000000001E-2</v>
      </c>
      <c r="AL90" s="85">
        <f t="shared" si="44"/>
        <v>9.5000000000000001E-2</v>
      </c>
      <c r="AM90" s="85">
        <f t="shared" si="44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45">O91*(1+O90)</f>
        <v>1.1200000000000001</v>
      </c>
      <c r="Q91" s="88">
        <f t="shared" si="45"/>
        <v>1.2376</v>
      </c>
      <c r="R91" s="88">
        <f t="shared" si="45"/>
        <v>1.3613600000000001</v>
      </c>
      <c r="S91" s="88">
        <f t="shared" si="45"/>
        <v>1.4906892</v>
      </c>
      <c r="T91" s="88">
        <f t="shared" si="45"/>
        <v>1.632304674</v>
      </c>
      <c r="U91" s="88">
        <f t="shared" si="45"/>
        <v>1.7873736180299999</v>
      </c>
      <c r="V91" s="88">
        <f t="shared" si="45"/>
        <v>1.9571741117428498</v>
      </c>
      <c r="W91" s="88">
        <f t="shared" si="45"/>
        <v>2.1431056523584204</v>
      </c>
      <c r="X91" s="88">
        <f t="shared" si="45"/>
        <v>2.3467006893324704</v>
      </c>
      <c r="Y91" s="88">
        <f t="shared" si="45"/>
        <v>2.5696372548190549</v>
      </c>
      <c r="Z91" s="88">
        <f t="shared" si="45"/>
        <v>2.8137527940268652</v>
      </c>
      <c r="AA91" s="88">
        <f t="shared" si="45"/>
        <v>3.0810593094594174</v>
      </c>
      <c r="AB91" s="88">
        <f t="shared" si="45"/>
        <v>3.3737599438580621</v>
      </c>
      <c r="AC91" s="88">
        <f t="shared" si="45"/>
        <v>3.694267138524578</v>
      </c>
      <c r="AD91" s="88">
        <f t="shared" si="45"/>
        <v>4.0452225166844125</v>
      </c>
      <c r="AE91" s="88">
        <f t="shared" si="45"/>
        <v>4.4295186557694315</v>
      </c>
      <c r="AF91" s="88">
        <f t="shared" si="45"/>
        <v>4.8503229280675271</v>
      </c>
      <c r="AG91" s="88">
        <f t="shared" si="45"/>
        <v>5.3111036062339423</v>
      </c>
      <c r="AH91" s="88">
        <f t="shared" si="45"/>
        <v>5.8156584488261664</v>
      </c>
      <c r="AI91" s="88">
        <f t="shared" si="45"/>
        <v>6.3681460014646518</v>
      </c>
      <c r="AJ91" s="88">
        <f t="shared" si="45"/>
        <v>6.9731198716037932</v>
      </c>
      <c r="AK91" s="88">
        <f t="shared" si="45"/>
        <v>7.6355662594061533</v>
      </c>
      <c r="AL91" s="88">
        <f t="shared" si="45"/>
        <v>8.3609450540497381</v>
      </c>
      <c r="AM91" s="88">
        <f t="shared" si="45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46">O84</f>
        <v>3.9100000000000003E-2</v>
      </c>
      <c r="P92" s="85">
        <f t="shared" si="46"/>
        <v>3.7900000000000003E-2</v>
      </c>
      <c r="Q92" s="85">
        <f t="shared" si="46"/>
        <v>3.5000000000000003E-2</v>
      </c>
      <c r="R92" s="85">
        <f t="shared" si="46"/>
        <v>3.5000000000000003E-2</v>
      </c>
      <c r="S92" s="85">
        <f t="shared" si="46"/>
        <v>3.5000000000000003E-2</v>
      </c>
      <c r="T92" s="85">
        <f t="shared" si="46"/>
        <v>3.5000000000000003E-2</v>
      </c>
      <c r="U92" s="85">
        <f t="shared" si="46"/>
        <v>3.5000000000000003E-2</v>
      </c>
      <c r="V92" s="85">
        <f t="shared" si="46"/>
        <v>3.5000000000000003E-2</v>
      </c>
      <c r="W92" s="85">
        <f t="shared" si="46"/>
        <v>3.5000000000000003E-2</v>
      </c>
      <c r="X92" s="85">
        <f t="shared" si="46"/>
        <v>3.5000000000000003E-2</v>
      </c>
      <c r="Y92" s="85">
        <f t="shared" si="46"/>
        <v>3.5000000000000003E-2</v>
      </c>
      <c r="Z92" s="85">
        <f t="shared" si="46"/>
        <v>3.5000000000000003E-2</v>
      </c>
      <c r="AA92" s="85">
        <f t="shared" si="46"/>
        <v>3.5000000000000003E-2</v>
      </c>
      <c r="AB92" s="85">
        <f t="shared" si="46"/>
        <v>3.5000000000000003E-2</v>
      </c>
      <c r="AC92" s="85">
        <f t="shared" si="46"/>
        <v>3.5000000000000003E-2</v>
      </c>
      <c r="AD92" s="85">
        <f t="shared" si="46"/>
        <v>3.5000000000000003E-2</v>
      </c>
      <c r="AE92" s="85">
        <f t="shared" si="46"/>
        <v>3.5000000000000003E-2</v>
      </c>
      <c r="AF92" s="85">
        <f t="shared" si="46"/>
        <v>3.5000000000000003E-2</v>
      </c>
      <c r="AG92" s="85">
        <f t="shared" si="46"/>
        <v>3.5000000000000003E-2</v>
      </c>
      <c r="AH92" s="85">
        <f t="shared" si="46"/>
        <v>3.5000000000000003E-2</v>
      </c>
      <c r="AI92" s="85">
        <f t="shared" si="46"/>
        <v>3.5000000000000003E-2</v>
      </c>
      <c r="AJ92" s="85">
        <f t="shared" si="46"/>
        <v>3.5000000000000003E-2</v>
      </c>
      <c r="AK92" s="85">
        <f t="shared" si="46"/>
        <v>3.5000000000000003E-2</v>
      </c>
      <c r="AL92" s="85">
        <f t="shared" si="46"/>
        <v>3.5000000000000003E-2</v>
      </c>
      <c r="AM92" s="85">
        <f t="shared" si="46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47">O93*(1+O92)</f>
        <v>1.0390999999999999</v>
      </c>
      <c r="Q93" s="88">
        <f t="shared" si="47"/>
        <v>1.0784818899999999</v>
      </c>
      <c r="R93" s="88">
        <f t="shared" si="47"/>
        <v>1.1162287561499999</v>
      </c>
      <c r="S93" s="88">
        <f t="shared" si="47"/>
        <v>1.1552967626152499</v>
      </c>
      <c r="T93" s="88">
        <f t="shared" si="47"/>
        <v>1.1957321493067836</v>
      </c>
      <c r="U93" s="88">
        <f t="shared" si="47"/>
        <v>1.237582774532521</v>
      </c>
      <c r="V93" s="88">
        <f t="shared" si="47"/>
        <v>1.2808981716411592</v>
      </c>
      <c r="W93" s="88">
        <f t="shared" si="47"/>
        <v>1.3257296076485996</v>
      </c>
      <c r="X93" s="88">
        <f t="shared" si="47"/>
        <v>1.3721301439163005</v>
      </c>
      <c r="Y93" s="88">
        <f t="shared" si="47"/>
        <v>1.4201546989533709</v>
      </c>
      <c r="Z93" s="88">
        <f t="shared" si="47"/>
        <v>1.4698601134167388</v>
      </c>
      <c r="AA93" s="88">
        <f t="shared" si="47"/>
        <v>1.5213052173863246</v>
      </c>
      <c r="AB93" s="88">
        <f t="shared" si="47"/>
        <v>1.5745508999948459</v>
      </c>
      <c r="AC93" s="88">
        <f t="shared" si="47"/>
        <v>1.6296601814946654</v>
      </c>
      <c r="AD93" s="88">
        <f t="shared" si="47"/>
        <v>1.6866982878469785</v>
      </c>
      <c r="AE93" s="88">
        <f t="shared" si="47"/>
        <v>1.7457327279216226</v>
      </c>
      <c r="AF93" s="88">
        <f t="shared" si="47"/>
        <v>1.8068333733988793</v>
      </c>
      <c r="AG93" s="88">
        <f t="shared" si="47"/>
        <v>1.8700725414678399</v>
      </c>
      <c r="AH93" s="88">
        <f t="shared" si="47"/>
        <v>1.9355250804192141</v>
      </c>
      <c r="AI93" s="88">
        <f t="shared" si="47"/>
        <v>2.0032684582338867</v>
      </c>
      <c r="AJ93" s="88">
        <f t="shared" si="47"/>
        <v>2.0733828542720727</v>
      </c>
      <c r="AK93" s="88">
        <f t="shared" si="47"/>
        <v>2.145951254171595</v>
      </c>
      <c r="AL93" s="88">
        <f t="shared" si="47"/>
        <v>2.2210595480676005</v>
      </c>
      <c r="AM93" s="88">
        <f t="shared" si="47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48">O$3</f>
        <v>1</v>
      </c>
      <c r="P95" s="80">
        <f t="shared" si="48"/>
        <v>2</v>
      </c>
      <c r="Q95" s="80">
        <f t="shared" si="48"/>
        <v>3</v>
      </c>
      <c r="R95" s="80">
        <f t="shared" si="48"/>
        <v>4</v>
      </c>
      <c r="S95" s="80">
        <f t="shared" si="48"/>
        <v>5</v>
      </c>
      <c r="T95" s="80">
        <f t="shared" si="48"/>
        <v>6</v>
      </c>
      <c r="U95" s="80">
        <f t="shared" si="48"/>
        <v>7</v>
      </c>
      <c r="V95" s="80">
        <f t="shared" si="48"/>
        <v>8</v>
      </c>
      <c r="W95" s="80">
        <f t="shared" si="48"/>
        <v>9</v>
      </c>
      <c r="X95" s="80">
        <f t="shared" si="48"/>
        <v>10</v>
      </c>
      <c r="Y95" s="80">
        <f t="shared" si="48"/>
        <v>11</v>
      </c>
      <c r="Z95" s="80">
        <f t="shared" si="48"/>
        <v>12</v>
      </c>
      <c r="AA95" s="80">
        <f t="shared" si="48"/>
        <v>13</v>
      </c>
      <c r="AB95" s="80">
        <f t="shared" si="48"/>
        <v>14</v>
      </c>
      <c r="AC95" s="80">
        <f t="shared" si="48"/>
        <v>15</v>
      </c>
      <c r="AD95" s="80">
        <f t="shared" si="48"/>
        <v>16</v>
      </c>
      <c r="AE95" s="80">
        <f t="shared" si="48"/>
        <v>17</v>
      </c>
      <c r="AF95" s="80">
        <f t="shared" si="48"/>
        <v>18</v>
      </c>
      <c r="AG95" s="80">
        <f t="shared" si="48"/>
        <v>19</v>
      </c>
      <c r="AH95" s="80">
        <f t="shared" si="48"/>
        <v>20</v>
      </c>
      <c r="AI95" s="80">
        <f t="shared" si="48"/>
        <v>21</v>
      </c>
      <c r="AJ95" s="80">
        <f t="shared" si="48"/>
        <v>22</v>
      </c>
      <c r="AK95" s="80">
        <f t="shared" si="48"/>
        <v>23</v>
      </c>
      <c r="AL95" s="80">
        <f t="shared" si="48"/>
        <v>24</v>
      </c>
      <c r="AM95" s="80">
        <f t="shared" si="48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49">O$2</f>
        <v>46023</v>
      </c>
      <c r="P96" s="91">
        <f t="shared" si="49"/>
        <v>46388</v>
      </c>
      <c r="Q96" s="91">
        <f t="shared" si="49"/>
        <v>46753</v>
      </c>
      <c r="R96" s="91">
        <f t="shared" si="49"/>
        <v>47119</v>
      </c>
      <c r="S96" s="91">
        <f t="shared" si="49"/>
        <v>47484</v>
      </c>
      <c r="T96" s="91">
        <f t="shared" si="49"/>
        <v>47849</v>
      </c>
      <c r="U96" s="91">
        <f t="shared" si="49"/>
        <v>48214</v>
      </c>
      <c r="V96" s="91">
        <f t="shared" si="49"/>
        <v>48580</v>
      </c>
      <c r="W96" s="91">
        <f t="shared" si="49"/>
        <v>48945</v>
      </c>
      <c r="X96" s="91">
        <f t="shared" si="49"/>
        <v>49310</v>
      </c>
      <c r="Y96" s="91">
        <f t="shared" si="49"/>
        <v>49675</v>
      </c>
      <c r="Z96" s="91">
        <f t="shared" si="49"/>
        <v>50041</v>
      </c>
      <c r="AA96" s="91">
        <f t="shared" si="49"/>
        <v>50406</v>
      </c>
      <c r="AB96" s="91">
        <f t="shared" si="49"/>
        <v>50771</v>
      </c>
      <c r="AC96" s="91">
        <f t="shared" si="49"/>
        <v>51136</v>
      </c>
      <c r="AD96" s="91">
        <f t="shared" si="49"/>
        <v>51502</v>
      </c>
      <c r="AE96" s="91">
        <f t="shared" si="49"/>
        <v>51867</v>
      </c>
      <c r="AF96" s="91">
        <f t="shared" si="49"/>
        <v>52232</v>
      </c>
      <c r="AG96" s="91">
        <f t="shared" si="49"/>
        <v>52597</v>
      </c>
      <c r="AH96" s="91">
        <f t="shared" si="49"/>
        <v>52963</v>
      </c>
      <c r="AI96" s="91">
        <f t="shared" si="49"/>
        <v>53328</v>
      </c>
      <c r="AJ96" s="91">
        <f t="shared" si="49"/>
        <v>53693</v>
      </c>
      <c r="AK96" s="91">
        <f t="shared" si="49"/>
        <v>54058</v>
      </c>
      <c r="AL96" s="91">
        <f t="shared" si="49"/>
        <v>54424</v>
      </c>
      <c r="AM96" s="91">
        <f t="shared" si="49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50">SUM(K99:K101)</f>
        <v>4656230.0354589783</v>
      </c>
      <c r="L98" s="69">
        <f t="shared" si="50"/>
        <v>12213203.148259733</v>
      </c>
      <c r="M98" s="1"/>
      <c r="N98" s="1"/>
      <c r="O98" s="69">
        <f>SUM(O99:O101)</f>
        <v>1016308.2298881146</v>
      </c>
      <c r="P98" s="69">
        <f t="shared" ref="P98:AM98" si="51">SUM(P99:P100)</f>
        <v>307638.84807547467</v>
      </c>
      <c r="Q98" s="69">
        <f t="shared" si="51"/>
        <v>307638.84807547467</v>
      </c>
      <c r="R98" s="69">
        <f t="shared" si="51"/>
        <v>307638.84807547467</v>
      </c>
      <c r="S98" s="69">
        <f t="shared" si="51"/>
        <v>709475.76769986749</v>
      </c>
      <c r="T98" s="69">
        <f t="shared" si="51"/>
        <v>307638.84807547467</v>
      </c>
      <c r="U98" s="69">
        <f t="shared" si="51"/>
        <v>307638.84807547467</v>
      </c>
      <c r="V98" s="69">
        <f t="shared" si="51"/>
        <v>343666.28242011124</v>
      </c>
      <c r="W98" s="69">
        <f t="shared" si="51"/>
        <v>360658.16079994693</v>
      </c>
      <c r="X98" s="69">
        <f t="shared" si="51"/>
        <v>307638.84807547467</v>
      </c>
      <c r="Y98" s="69">
        <f t="shared" si="51"/>
        <v>706743.82118901145</v>
      </c>
      <c r="Z98" s="69">
        <f t="shared" si="51"/>
        <v>307638.84807547467</v>
      </c>
      <c r="AA98" s="69">
        <f t="shared" si="51"/>
        <v>483259.30704766623</v>
      </c>
      <c r="AB98" s="69">
        <f t="shared" si="51"/>
        <v>307638.84807547467</v>
      </c>
      <c r="AC98" s="69">
        <f t="shared" si="51"/>
        <v>307638.84807547467</v>
      </c>
      <c r="AD98" s="69">
        <f t="shared" si="51"/>
        <v>742732.03861979721</v>
      </c>
      <c r="AE98" s="69">
        <f t="shared" si="51"/>
        <v>315965.90767247987</v>
      </c>
      <c r="AF98" s="69">
        <f t="shared" si="51"/>
        <v>352370.31811679248</v>
      </c>
      <c r="AG98" s="69">
        <f t="shared" si="51"/>
        <v>307638.84807547467</v>
      </c>
      <c r="AH98" s="69">
        <f t="shared" si="51"/>
        <v>307638.84807547467</v>
      </c>
      <c r="AI98" s="69">
        <f t="shared" si="51"/>
        <v>709436.55078601674</v>
      </c>
      <c r="AJ98" s="69">
        <f t="shared" si="51"/>
        <v>307638.84807547467</v>
      </c>
      <c r="AK98" s="69">
        <f t="shared" si="51"/>
        <v>343666.28242011124</v>
      </c>
      <c r="AL98" s="69">
        <f t="shared" si="51"/>
        <v>307638.84807547467</v>
      </c>
      <c r="AM98" s="69">
        <f t="shared" si="51"/>
        <v>310331.57767247991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>
        <f>1-H63</f>
        <v>0.67421058</v>
      </c>
      <c r="I99" s="95"/>
      <c r="J99" s="94"/>
      <c r="K99" s="97">
        <f>NPV(WACC!$D$35,O99:AV99)</f>
        <v>2620532.8021508511</v>
      </c>
      <c r="L99" s="97">
        <f t="shared" ref="L99:L101" si="52">SUM(O99:AV99)</f>
        <v>7485878.6365032159</v>
      </c>
      <c r="M99" s="1"/>
      <c r="N99" s="1"/>
      <c r="O99" s="97">
        <f t="shared" ref="O99:AM99" si="53">$H$99*O76</f>
        <v>102546.28269182477</v>
      </c>
      <c r="P99" s="97">
        <f t="shared" si="53"/>
        <v>307638.84807547467</v>
      </c>
      <c r="Q99" s="97">
        <f t="shared" si="53"/>
        <v>307638.84807547467</v>
      </c>
      <c r="R99" s="97">
        <f t="shared" si="53"/>
        <v>307638.84807547467</v>
      </c>
      <c r="S99" s="97">
        <f t="shared" si="53"/>
        <v>307638.84807547467</v>
      </c>
      <c r="T99" s="97">
        <f t="shared" si="53"/>
        <v>307638.84807547467</v>
      </c>
      <c r="U99" s="97">
        <f t="shared" si="53"/>
        <v>307638.84807547467</v>
      </c>
      <c r="V99" s="97">
        <f t="shared" si="53"/>
        <v>307638.84807547467</v>
      </c>
      <c r="W99" s="97">
        <f t="shared" si="53"/>
        <v>307638.84807547467</v>
      </c>
      <c r="X99" s="97">
        <f t="shared" si="53"/>
        <v>307638.84807547467</v>
      </c>
      <c r="Y99" s="97">
        <f t="shared" si="53"/>
        <v>307638.84807547467</v>
      </c>
      <c r="Z99" s="97">
        <f t="shared" si="53"/>
        <v>307638.84807547467</v>
      </c>
      <c r="AA99" s="97">
        <f t="shared" si="53"/>
        <v>307638.84807547467</v>
      </c>
      <c r="AB99" s="97">
        <f t="shared" si="53"/>
        <v>307638.84807547467</v>
      </c>
      <c r="AC99" s="97">
        <f t="shared" si="53"/>
        <v>307638.84807547467</v>
      </c>
      <c r="AD99" s="97">
        <f t="shared" si="53"/>
        <v>307638.84807547467</v>
      </c>
      <c r="AE99" s="97">
        <f t="shared" si="53"/>
        <v>307638.84807547467</v>
      </c>
      <c r="AF99" s="97">
        <f t="shared" si="53"/>
        <v>307638.84807547467</v>
      </c>
      <c r="AG99" s="97">
        <f t="shared" si="53"/>
        <v>307638.84807547467</v>
      </c>
      <c r="AH99" s="97">
        <f t="shared" si="53"/>
        <v>307638.84807547467</v>
      </c>
      <c r="AI99" s="97">
        <f t="shared" si="53"/>
        <v>307638.84807547467</v>
      </c>
      <c r="AJ99" s="97">
        <f t="shared" si="53"/>
        <v>307638.84807547467</v>
      </c>
      <c r="AK99" s="97">
        <f t="shared" si="53"/>
        <v>307638.84807547467</v>
      </c>
      <c r="AL99" s="97">
        <f t="shared" si="53"/>
        <v>307638.84807547467</v>
      </c>
      <c r="AM99" s="97">
        <f t="shared" si="53"/>
        <v>307638.84807547467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1477872.6740338402</v>
      </c>
      <c r="L100" s="97">
        <f t="shared" si="52"/>
        <v>2908040.6328103491</v>
      </c>
      <c r="M100" s="1"/>
      <c r="N100" s="1"/>
      <c r="O100" s="97">
        <f>O29</f>
        <v>913761.9471962899</v>
      </c>
      <c r="P100" s="97">
        <f t="shared" ref="P100:AM100" si="54">P29</f>
        <v>0</v>
      </c>
      <c r="Q100" s="97">
        <f t="shared" si="54"/>
        <v>0</v>
      </c>
      <c r="R100" s="97">
        <f t="shared" si="54"/>
        <v>0</v>
      </c>
      <c r="S100" s="97">
        <f t="shared" si="54"/>
        <v>401836.91962439282</v>
      </c>
      <c r="T100" s="97">
        <f t="shared" si="54"/>
        <v>0</v>
      </c>
      <c r="U100" s="97">
        <f t="shared" si="54"/>
        <v>0</v>
      </c>
      <c r="V100" s="97">
        <f t="shared" si="54"/>
        <v>36027.434344636582</v>
      </c>
      <c r="W100" s="97">
        <f t="shared" si="54"/>
        <v>53019.312724472242</v>
      </c>
      <c r="X100" s="97">
        <f t="shared" si="54"/>
        <v>0</v>
      </c>
      <c r="Y100" s="97">
        <f t="shared" si="54"/>
        <v>399104.97311353683</v>
      </c>
      <c r="Z100" s="97">
        <f t="shared" si="54"/>
        <v>0</v>
      </c>
      <c r="AA100" s="97">
        <f t="shared" si="54"/>
        <v>175620.45897219155</v>
      </c>
      <c r="AB100" s="97">
        <f t="shared" si="54"/>
        <v>0</v>
      </c>
      <c r="AC100" s="97">
        <f t="shared" si="54"/>
        <v>0</v>
      </c>
      <c r="AD100" s="97">
        <f t="shared" si="54"/>
        <v>435093.19054432254</v>
      </c>
      <c r="AE100" s="97">
        <f t="shared" si="54"/>
        <v>8327.0595970052218</v>
      </c>
      <c r="AF100" s="97">
        <f t="shared" si="54"/>
        <v>44731.4700413178</v>
      </c>
      <c r="AG100" s="97">
        <f t="shared" si="54"/>
        <v>0</v>
      </c>
      <c r="AH100" s="97">
        <f t="shared" si="54"/>
        <v>0</v>
      </c>
      <c r="AI100" s="97">
        <f t="shared" si="54"/>
        <v>401797.70271054201</v>
      </c>
      <c r="AJ100" s="97">
        <f t="shared" si="54"/>
        <v>0</v>
      </c>
      <c r="AK100" s="97">
        <f t="shared" si="54"/>
        <v>36027.434344636582</v>
      </c>
      <c r="AL100" s="97">
        <f t="shared" si="54"/>
        <v>0</v>
      </c>
      <c r="AM100" s="97">
        <f t="shared" si="54"/>
        <v>2692.7295970052223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557824.5592742865</v>
      </c>
      <c r="L101" s="97">
        <f t="shared" si="52"/>
        <v>1819283.8789461693</v>
      </c>
      <c r="M101" s="1"/>
      <c r="N101" s="1"/>
      <c r="O101" s="97">
        <f t="shared" ref="O101:AM101" si="55">O67</f>
        <v>0</v>
      </c>
      <c r="P101" s="97">
        <f t="shared" si="55"/>
        <v>456294.8983616879</v>
      </c>
      <c r="Q101" s="97">
        <f t="shared" si="55"/>
        <v>-25749.831256670328</v>
      </c>
      <c r="R101" s="97">
        <f t="shared" si="55"/>
        <v>-13542.676933220322</v>
      </c>
      <c r="S101" s="97">
        <f t="shared" si="55"/>
        <v>-123.09725120725396</v>
      </c>
      <c r="T101" s="97">
        <f t="shared" si="55"/>
        <v>-25281.471134268588</v>
      </c>
      <c r="U101" s="97">
        <f t="shared" si="55"/>
        <v>-13027.798869430006</v>
      </c>
      <c r="V101" s="97">
        <f t="shared" si="55"/>
        <v>442.91895703234366</v>
      </c>
      <c r="W101" s="97">
        <f t="shared" si="55"/>
        <v>11673.28375871016</v>
      </c>
      <c r="X101" s="97">
        <f t="shared" si="55"/>
        <v>22331.409938611483</v>
      </c>
      <c r="Y101" s="97">
        <f t="shared" si="55"/>
        <v>39314.035641526389</v>
      </c>
      <c r="Z101" s="97">
        <f t="shared" si="55"/>
        <v>18343.932002411799</v>
      </c>
      <c r="AA101" s="97">
        <f t="shared" si="55"/>
        <v>34930.517871761884</v>
      </c>
      <c r="AB101" s="97">
        <f t="shared" si="55"/>
        <v>35721.718878156345</v>
      </c>
      <c r="AC101" s="97">
        <f t="shared" si="55"/>
        <v>54034.281902016788</v>
      </c>
      <c r="AD101" s="97">
        <f t="shared" si="55"/>
        <v>74165.664873763162</v>
      </c>
      <c r="AE101" s="97">
        <f t="shared" si="55"/>
        <v>53082.674290021605</v>
      </c>
      <c r="AF101" s="97">
        <f t="shared" si="55"/>
        <v>72292.491832202708</v>
      </c>
      <c r="AG101" s="97">
        <f t="shared" si="55"/>
        <v>89794.527207276682</v>
      </c>
      <c r="AH101" s="97">
        <f t="shared" si="55"/>
        <v>113477.6493548967</v>
      </c>
      <c r="AI101" s="97">
        <f t="shared" si="55"/>
        <v>139513.00013016348</v>
      </c>
      <c r="AJ101" s="97">
        <f t="shared" si="55"/>
        <v>128227.30193626569</v>
      </c>
      <c r="AK101" s="97">
        <f t="shared" si="55"/>
        <v>155727.60124464752</v>
      </c>
      <c r="AL101" s="97">
        <f t="shared" si="55"/>
        <v>182380.97796321768</v>
      </c>
      <c r="AM101" s="97">
        <f t="shared" si="55"/>
        <v>215259.86824659503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-219605.13185883718</v>
      </c>
      <c r="L102" s="99">
        <f t="shared" ref="L102" si="56">SUM(L103:L104)</f>
        <v>-627329.43609759398</v>
      </c>
      <c r="M102" s="1"/>
      <c r="N102" s="1"/>
      <c r="O102" s="99">
        <f t="shared" ref="O102:AM102" si="57">SUM(O103:O104)</f>
        <v>-8593.5539191451135</v>
      </c>
      <c r="P102" s="99">
        <f t="shared" si="57"/>
        <v>-25780.661757435366</v>
      </c>
      <c r="Q102" s="99">
        <f t="shared" si="57"/>
        <v>-25780.661757435366</v>
      </c>
      <c r="R102" s="99">
        <f t="shared" si="57"/>
        <v>-25780.661757435366</v>
      </c>
      <c r="S102" s="99">
        <f t="shared" si="57"/>
        <v>-25780.661757435366</v>
      </c>
      <c r="T102" s="99">
        <f t="shared" si="57"/>
        <v>-25780.661757435366</v>
      </c>
      <c r="U102" s="99">
        <f t="shared" si="57"/>
        <v>-25780.661757435366</v>
      </c>
      <c r="V102" s="99">
        <f t="shared" si="57"/>
        <v>-25780.661757435366</v>
      </c>
      <c r="W102" s="99">
        <f t="shared" si="57"/>
        <v>-25780.661757435366</v>
      </c>
      <c r="X102" s="99">
        <f t="shared" si="57"/>
        <v>-25780.661757435366</v>
      </c>
      <c r="Y102" s="99">
        <f t="shared" si="57"/>
        <v>-25780.661757435366</v>
      </c>
      <c r="Z102" s="99">
        <f t="shared" si="57"/>
        <v>-25780.661757435366</v>
      </c>
      <c r="AA102" s="99">
        <f t="shared" si="57"/>
        <v>-25780.661757435366</v>
      </c>
      <c r="AB102" s="99">
        <f t="shared" si="57"/>
        <v>-25780.661757435366</v>
      </c>
      <c r="AC102" s="99">
        <f t="shared" si="57"/>
        <v>-25780.661757435366</v>
      </c>
      <c r="AD102" s="99">
        <f t="shared" si="57"/>
        <v>-25780.661757435366</v>
      </c>
      <c r="AE102" s="99">
        <f t="shared" si="57"/>
        <v>-25780.661757435366</v>
      </c>
      <c r="AF102" s="99">
        <f t="shared" si="57"/>
        <v>-25780.661757435366</v>
      </c>
      <c r="AG102" s="99">
        <f t="shared" si="57"/>
        <v>-25780.661757435366</v>
      </c>
      <c r="AH102" s="99">
        <f t="shared" si="57"/>
        <v>-25780.661757435366</v>
      </c>
      <c r="AI102" s="99">
        <f t="shared" si="57"/>
        <v>-25780.661757435366</v>
      </c>
      <c r="AJ102" s="99">
        <f t="shared" si="57"/>
        <v>-25780.661757435366</v>
      </c>
      <c r="AK102" s="99">
        <f t="shared" si="57"/>
        <v>-25780.661757435366</v>
      </c>
      <c r="AL102" s="99">
        <f t="shared" si="57"/>
        <v>-25780.661757435366</v>
      </c>
      <c r="AM102" s="99">
        <f t="shared" si="57"/>
        <v>-25780.661757435366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-141868.80199730184</v>
      </c>
      <c r="L103" s="54">
        <f t="shared" ref="L103:L104" si="58">SUM(O103:AV103)</f>
        <v>-405265.91889490589</v>
      </c>
      <c r="M103" s="1"/>
      <c r="N103" s="1"/>
      <c r="O103" s="54">
        <f t="shared" ref="O103:AM104" si="59">-O205</f>
        <v>-5551.5879300671968</v>
      </c>
      <c r="P103" s="54">
        <f t="shared" si="59"/>
        <v>-16654.763790201607</v>
      </c>
      <c r="Q103" s="54">
        <f t="shared" si="59"/>
        <v>-16654.763790201607</v>
      </c>
      <c r="R103" s="54">
        <f t="shared" si="59"/>
        <v>-16654.763790201607</v>
      </c>
      <c r="S103" s="54">
        <f t="shared" si="59"/>
        <v>-16654.763790201607</v>
      </c>
      <c r="T103" s="54">
        <f t="shared" si="59"/>
        <v>-16654.763790201607</v>
      </c>
      <c r="U103" s="54">
        <f t="shared" si="59"/>
        <v>-16654.763790201607</v>
      </c>
      <c r="V103" s="54">
        <f t="shared" si="59"/>
        <v>-16654.763790201607</v>
      </c>
      <c r="W103" s="54">
        <f t="shared" si="59"/>
        <v>-16654.763790201607</v>
      </c>
      <c r="X103" s="54">
        <f t="shared" si="59"/>
        <v>-16654.763790201607</v>
      </c>
      <c r="Y103" s="54">
        <f t="shared" si="59"/>
        <v>-16654.763790201607</v>
      </c>
      <c r="Z103" s="54">
        <f t="shared" si="59"/>
        <v>-16654.763790201607</v>
      </c>
      <c r="AA103" s="54">
        <f t="shared" si="59"/>
        <v>-16654.763790201607</v>
      </c>
      <c r="AB103" s="54">
        <f t="shared" si="59"/>
        <v>-16654.763790201607</v>
      </c>
      <c r="AC103" s="54">
        <f t="shared" si="59"/>
        <v>-16654.763790201607</v>
      </c>
      <c r="AD103" s="54">
        <f t="shared" si="59"/>
        <v>-16654.763790201607</v>
      </c>
      <c r="AE103" s="54">
        <f t="shared" si="59"/>
        <v>-16654.763790201607</v>
      </c>
      <c r="AF103" s="54">
        <f t="shared" si="59"/>
        <v>-16654.763790201607</v>
      </c>
      <c r="AG103" s="54">
        <f t="shared" si="59"/>
        <v>-16654.763790201607</v>
      </c>
      <c r="AH103" s="54">
        <f t="shared" si="59"/>
        <v>-16654.763790201607</v>
      </c>
      <c r="AI103" s="54">
        <f t="shared" si="59"/>
        <v>-16654.763790201607</v>
      </c>
      <c r="AJ103" s="54">
        <f t="shared" si="59"/>
        <v>-16654.763790201607</v>
      </c>
      <c r="AK103" s="54">
        <f t="shared" si="59"/>
        <v>-16654.763790201607</v>
      </c>
      <c r="AL103" s="54">
        <f t="shared" si="59"/>
        <v>-16654.763790201607</v>
      </c>
      <c r="AM103" s="54">
        <f t="shared" si="59"/>
        <v>-16654.763790201607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-77736.329861535298</v>
      </c>
      <c r="L104" s="102">
        <f t="shared" si="58"/>
        <v>-222063.51720268812</v>
      </c>
      <c r="M104" s="1"/>
      <c r="N104" s="1"/>
      <c r="O104" s="102">
        <f t="shared" si="59"/>
        <v>-3041.9659890779162</v>
      </c>
      <c r="P104" s="102">
        <f t="shared" si="59"/>
        <v>-9125.8979672337573</v>
      </c>
      <c r="Q104" s="102">
        <f t="shared" si="59"/>
        <v>-9125.8979672337573</v>
      </c>
      <c r="R104" s="102">
        <f t="shared" si="59"/>
        <v>-9125.8979672337573</v>
      </c>
      <c r="S104" s="102">
        <f t="shared" si="59"/>
        <v>-9125.8979672337573</v>
      </c>
      <c r="T104" s="102">
        <f t="shared" si="59"/>
        <v>-9125.8979672337573</v>
      </c>
      <c r="U104" s="102">
        <f t="shared" si="59"/>
        <v>-9125.8979672337573</v>
      </c>
      <c r="V104" s="102">
        <f t="shared" si="59"/>
        <v>-9125.8979672337573</v>
      </c>
      <c r="W104" s="102">
        <f t="shared" si="59"/>
        <v>-9125.8979672337573</v>
      </c>
      <c r="X104" s="102">
        <f t="shared" si="59"/>
        <v>-9125.8979672337573</v>
      </c>
      <c r="Y104" s="102">
        <f t="shared" si="59"/>
        <v>-9125.8979672337573</v>
      </c>
      <c r="Z104" s="102">
        <f t="shared" si="59"/>
        <v>-9125.8979672337573</v>
      </c>
      <c r="AA104" s="102">
        <f t="shared" si="59"/>
        <v>-9125.8979672337573</v>
      </c>
      <c r="AB104" s="102">
        <f t="shared" si="59"/>
        <v>-9125.8979672337573</v>
      </c>
      <c r="AC104" s="102">
        <f t="shared" si="59"/>
        <v>-9125.8979672337573</v>
      </c>
      <c r="AD104" s="102">
        <f t="shared" si="59"/>
        <v>-9125.8979672337573</v>
      </c>
      <c r="AE104" s="102">
        <f t="shared" si="59"/>
        <v>-9125.8979672337573</v>
      </c>
      <c r="AF104" s="102">
        <f t="shared" si="59"/>
        <v>-9125.8979672337573</v>
      </c>
      <c r="AG104" s="102">
        <f t="shared" si="59"/>
        <v>-9125.8979672337573</v>
      </c>
      <c r="AH104" s="102">
        <f t="shared" si="59"/>
        <v>-9125.8979672337573</v>
      </c>
      <c r="AI104" s="102">
        <f t="shared" si="59"/>
        <v>-9125.8979672337573</v>
      </c>
      <c r="AJ104" s="102">
        <f t="shared" si="59"/>
        <v>-9125.8979672337573</v>
      </c>
      <c r="AK104" s="102">
        <f t="shared" si="59"/>
        <v>-9125.8979672337573</v>
      </c>
      <c r="AL104" s="102">
        <f t="shared" si="59"/>
        <v>-9125.8979672337573</v>
      </c>
      <c r="AM104" s="102">
        <f t="shared" si="59"/>
        <v>-9125.8979672337573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60">K98+K102</f>
        <v>4436624.9036001414</v>
      </c>
      <c r="L105" s="69">
        <f t="shared" si="60"/>
        <v>11585873.712162139</v>
      </c>
      <c r="M105" s="1"/>
      <c r="N105" s="1"/>
      <c r="O105" s="69">
        <f t="shared" ref="O105:AM105" si="61">O98+O102</f>
        <v>1007714.6759689695</v>
      </c>
      <c r="P105" s="69">
        <f t="shared" si="61"/>
        <v>281858.18631803931</v>
      </c>
      <c r="Q105" s="69">
        <f t="shared" si="61"/>
        <v>281858.18631803931</v>
      </c>
      <c r="R105" s="69">
        <f t="shared" si="61"/>
        <v>281858.18631803931</v>
      </c>
      <c r="S105" s="69">
        <f t="shared" si="61"/>
        <v>683695.10594243207</v>
      </c>
      <c r="T105" s="69">
        <f t="shared" si="61"/>
        <v>281858.18631803931</v>
      </c>
      <c r="U105" s="69">
        <f t="shared" si="61"/>
        <v>281858.18631803931</v>
      </c>
      <c r="V105" s="69">
        <f t="shared" si="61"/>
        <v>317885.62066267588</v>
      </c>
      <c r="W105" s="69">
        <f t="shared" si="61"/>
        <v>334877.49904251157</v>
      </c>
      <c r="X105" s="69">
        <f t="shared" si="61"/>
        <v>281858.18631803931</v>
      </c>
      <c r="Y105" s="69">
        <f t="shared" si="61"/>
        <v>680963.15943157603</v>
      </c>
      <c r="Z105" s="69">
        <f t="shared" si="61"/>
        <v>281858.18631803931</v>
      </c>
      <c r="AA105" s="69">
        <f t="shared" si="61"/>
        <v>457478.64529023087</v>
      </c>
      <c r="AB105" s="69">
        <f t="shared" si="61"/>
        <v>281858.18631803931</v>
      </c>
      <c r="AC105" s="69">
        <f t="shared" si="61"/>
        <v>281858.18631803931</v>
      </c>
      <c r="AD105" s="69">
        <f t="shared" si="61"/>
        <v>716951.37686236179</v>
      </c>
      <c r="AE105" s="69">
        <f t="shared" si="61"/>
        <v>290185.24591504451</v>
      </c>
      <c r="AF105" s="69">
        <f t="shared" si="61"/>
        <v>326589.65635935712</v>
      </c>
      <c r="AG105" s="69">
        <f t="shared" si="61"/>
        <v>281858.18631803931</v>
      </c>
      <c r="AH105" s="69">
        <f t="shared" si="61"/>
        <v>281858.18631803931</v>
      </c>
      <c r="AI105" s="69">
        <f t="shared" si="61"/>
        <v>683655.88902858132</v>
      </c>
      <c r="AJ105" s="69">
        <f t="shared" si="61"/>
        <v>281858.18631803931</v>
      </c>
      <c r="AK105" s="69">
        <f t="shared" si="61"/>
        <v>317885.62066267588</v>
      </c>
      <c r="AL105" s="69">
        <f t="shared" si="61"/>
        <v>281858.18631803931</v>
      </c>
      <c r="AM105" s="69">
        <f t="shared" si="61"/>
        <v>284550.91591504455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-1861437.8017177756</v>
      </c>
      <c r="L106" s="97">
        <f t="shared" ref="L106:L107" si="62">SUM(O106:AV106)</f>
        <v>-5199803.1278062956</v>
      </c>
      <c r="M106" s="1"/>
      <c r="N106" s="1"/>
      <c r="O106" s="97">
        <f t="shared" ref="O106:AM106" si="63">-SUM(O11)</f>
        <v>-133744.04862320219</v>
      </c>
      <c r="P106" s="97">
        <f t="shared" si="63"/>
        <v>-209642.38925409873</v>
      </c>
      <c r="Q106" s="97">
        <f t="shared" si="63"/>
        <v>-216727.75962784194</v>
      </c>
      <c r="R106" s="97">
        <f t="shared" si="63"/>
        <v>-209505.5007845902</v>
      </c>
      <c r="S106" s="97">
        <f t="shared" si="63"/>
        <v>-210581.41115833347</v>
      </c>
      <c r="T106" s="97">
        <f t="shared" si="63"/>
        <v>-215378.07231508166</v>
      </c>
      <c r="U106" s="97">
        <f t="shared" si="63"/>
        <v>-210444.52268882497</v>
      </c>
      <c r="V106" s="97">
        <f t="shared" si="63"/>
        <v>-215241.18384557316</v>
      </c>
      <c r="W106" s="97">
        <f t="shared" si="63"/>
        <v>-210307.63421931647</v>
      </c>
      <c r="X106" s="97">
        <f t="shared" si="63"/>
        <v>-209094.8353760647</v>
      </c>
      <c r="Y106" s="97">
        <f t="shared" si="63"/>
        <v>-216180.20574980794</v>
      </c>
      <c r="Z106" s="97">
        <f t="shared" si="63"/>
        <v>-208957.94690655617</v>
      </c>
      <c r="AA106" s="97">
        <f t="shared" si="63"/>
        <v>-216043.31728029941</v>
      </c>
      <c r="AB106" s="97">
        <f t="shared" si="63"/>
        <v>-208821.05843704767</v>
      </c>
      <c r="AC106" s="97">
        <f t="shared" si="63"/>
        <v>-209896.96881079095</v>
      </c>
      <c r="AD106" s="97">
        <f t="shared" si="63"/>
        <v>-214693.62996753913</v>
      </c>
      <c r="AE106" s="97">
        <f t="shared" si="63"/>
        <v>-209760.08034128245</v>
      </c>
      <c r="AF106" s="97">
        <f t="shared" si="63"/>
        <v>-214556.74149803063</v>
      </c>
      <c r="AG106" s="97">
        <f t="shared" si="63"/>
        <v>-209623.19187177395</v>
      </c>
      <c r="AH106" s="97">
        <f t="shared" si="63"/>
        <v>-208410.39302852217</v>
      </c>
      <c r="AI106" s="97">
        <f t="shared" si="63"/>
        <v>-215495.76340226538</v>
      </c>
      <c r="AJ106" s="97">
        <f t="shared" si="63"/>
        <v>-208273.50455901364</v>
      </c>
      <c r="AK106" s="97">
        <f t="shared" si="63"/>
        <v>-215358.87493275688</v>
      </c>
      <c r="AL106" s="97">
        <f t="shared" si="63"/>
        <v>-208136.61608950514</v>
      </c>
      <c r="AM106" s="97">
        <f t="shared" si="63"/>
        <v>-194927.47703817568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-1477872.6740338402</v>
      </c>
      <c r="L107" s="102">
        <f t="shared" si="62"/>
        <v>-2908040.6328103491</v>
      </c>
      <c r="M107" s="1"/>
      <c r="N107" s="1"/>
      <c r="O107" s="102">
        <f>-O29</f>
        <v>-913761.9471962899</v>
      </c>
      <c r="P107" s="102">
        <f t="shared" ref="P107:AM107" si="64">-P29</f>
        <v>0</v>
      </c>
      <c r="Q107" s="102">
        <f t="shared" si="64"/>
        <v>0</v>
      </c>
      <c r="R107" s="102">
        <f t="shared" si="64"/>
        <v>0</v>
      </c>
      <c r="S107" s="102">
        <f t="shared" si="64"/>
        <v>-401836.91962439282</v>
      </c>
      <c r="T107" s="102">
        <f t="shared" si="64"/>
        <v>0</v>
      </c>
      <c r="U107" s="102">
        <f t="shared" si="64"/>
        <v>0</v>
      </c>
      <c r="V107" s="102">
        <f t="shared" si="64"/>
        <v>-36027.434344636582</v>
      </c>
      <c r="W107" s="102">
        <f t="shared" si="64"/>
        <v>-53019.312724472242</v>
      </c>
      <c r="X107" s="102">
        <f t="shared" si="64"/>
        <v>0</v>
      </c>
      <c r="Y107" s="102">
        <f t="shared" si="64"/>
        <v>-399104.97311353683</v>
      </c>
      <c r="Z107" s="102">
        <f t="shared" si="64"/>
        <v>0</v>
      </c>
      <c r="AA107" s="102">
        <f t="shared" si="64"/>
        <v>-175620.45897219155</v>
      </c>
      <c r="AB107" s="102">
        <f t="shared" si="64"/>
        <v>0</v>
      </c>
      <c r="AC107" s="102">
        <f t="shared" si="64"/>
        <v>0</v>
      </c>
      <c r="AD107" s="102">
        <f t="shared" si="64"/>
        <v>-435093.19054432254</v>
      </c>
      <c r="AE107" s="102">
        <f t="shared" si="64"/>
        <v>-8327.0595970052218</v>
      </c>
      <c r="AF107" s="102">
        <f t="shared" si="64"/>
        <v>-44731.4700413178</v>
      </c>
      <c r="AG107" s="102">
        <f t="shared" si="64"/>
        <v>0</v>
      </c>
      <c r="AH107" s="102">
        <f t="shared" si="64"/>
        <v>0</v>
      </c>
      <c r="AI107" s="102">
        <f t="shared" si="64"/>
        <v>-401797.70271054201</v>
      </c>
      <c r="AJ107" s="102">
        <f t="shared" si="64"/>
        <v>0</v>
      </c>
      <c r="AK107" s="102">
        <f t="shared" si="64"/>
        <v>-36027.434344636582</v>
      </c>
      <c r="AL107" s="102">
        <f t="shared" si="64"/>
        <v>0</v>
      </c>
      <c r="AM107" s="102">
        <f t="shared" si="64"/>
        <v>-2692.7295970052223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65">K105+SUM(K106:K107)</f>
        <v>1097314.4278485253</v>
      </c>
      <c r="L108" s="75">
        <f t="shared" si="65"/>
        <v>3478029.9515454937</v>
      </c>
      <c r="M108" s="1"/>
      <c r="N108" s="1"/>
      <c r="O108" s="75">
        <f t="shared" ref="O108:AM108" si="66">O105+SUM(O106:O107)</f>
        <v>-39791.319850522559</v>
      </c>
      <c r="P108" s="75">
        <f t="shared" si="66"/>
        <v>72215.797063940583</v>
      </c>
      <c r="Q108" s="75">
        <f t="shared" si="66"/>
        <v>65130.426690197375</v>
      </c>
      <c r="R108" s="75">
        <f t="shared" si="66"/>
        <v>72352.685533449112</v>
      </c>
      <c r="S108" s="75">
        <f t="shared" si="66"/>
        <v>71276.77515970578</v>
      </c>
      <c r="T108" s="75">
        <f t="shared" si="66"/>
        <v>66480.114002957649</v>
      </c>
      <c r="U108" s="75">
        <f t="shared" si="66"/>
        <v>71413.663629214338</v>
      </c>
      <c r="V108" s="75">
        <f t="shared" si="66"/>
        <v>66617.002472466149</v>
      </c>
      <c r="W108" s="75">
        <f t="shared" si="66"/>
        <v>71550.552098722837</v>
      </c>
      <c r="X108" s="75">
        <f t="shared" si="66"/>
        <v>72763.350941974611</v>
      </c>
      <c r="Y108" s="75">
        <f t="shared" si="66"/>
        <v>65677.980568231316</v>
      </c>
      <c r="Z108" s="75">
        <f t="shared" si="66"/>
        <v>72900.23941148314</v>
      </c>
      <c r="AA108" s="75">
        <f t="shared" si="66"/>
        <v>65814.869037739933</v>
      </c>
      <c r="AB108" s="75">
        <f t="shared" si="66"/>
        <v>73037.12788099164</v>
      </c>
      <c r="AC108" s="75">
        <f t="shared" si="66"/>
        <v>71961.217507248366</v>
      </c>
      <c r="AD108" s="75">
        <f t="shared" si="66"/>
        <v>67164.55635050009</v>
      </c>
      <c r="AE108" s="75">
        <f t="shared" si="66"/>
        <v>72098.105976756837</v>
      </c>
      <c r="AF108" s="75">
        <f t="shared" si="66"/>
        <v>67301.444820008677</v>
      </c>
      <c r="AG108" s="75">
        <f t="shared" si="66"/>
        <v>72234.994446265366</v>
      </c>
      <c r="AH108" s="75">
        <f t="shared" si="66"/>
        <v>73447.79328951714</v>
      </c>
      <c r="AI108" s="75">
        <f t="shared" si="66"/>
        <v>66362.422915773932</v>
      </c>
      <c r="AJ108" s="75">
        <f t="shared" si="66"/>
        <v>73584.681759025669</v>
      </c>
      <c r="AK108" s="75">
        <f t="shared" si="66"/>
        <v>66499.311385282432</v>
      </c>
      <c r="AL108" s="75">
        <f t="shared" si="66"/>
        <v>73721.570228534169</v>
      </c>
      <c r="AM108" s="75">
        <f t="shared" si="66"/>
        <v>86930.709279863629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>
        <f t="shared" ref="K109:L109" si="67">IFERROR(K108/K$105,0)</f>
        <v>0.24733089943170519</v>
      </c>
      <c r="L109" s="105">
        <f t="shared" si="67"/>
        <v>0.30019574163789403</v>
      </c>
      <c r="M109" s="1"/>
      <c r="N109" s="1"/>
      <c r="O109" s="105">
        <f t="shared" ref="O109:AM109" si="68">IFERROR(O108/O$105,0)</f>
        <v>-3.9486692810404053E-2</v>
      </c>
      <c r="P109" s="105">
        <f t="shared" si="68"/>
        <v>0.25621323264478363</v>
      </c>
      <c r="Q109" s="105">
        <f t="shared" si="68"/>
        <v>0.23107516422001803</v>
      </c>
      <c r="R109" s="105">
        <f t="shared" si="68"/>
        <v>0.25669889698292736</v>
      </c>
      <c r="S109" s="105">
        <f t="shared" si="68"/>
        <v>0.1042522822530009</v>
      </c>
      <c r="T109" s="105">
        <f t="shared" si="68"/>
        <v>0.23586369752604497</v>
      </c>
      <c r="U109" s="105">
        <f t="shared" si="68"/>
        <v>0.25336735669133115</v>
      </c>
      <c r="V109" s="105">
        <f t="shared" si="68"/>
        <v>0.20956280543169564</v>
      </c>
      <c r="W109" s="105">
        <f t="shared" si="68"/>
        <v>0.21366186830498199</v>
      </c>
      <c r="X109" s="105">
        <f t="shared" si="68"/>
        <v>0.25815588999735806</v>
      </c>
      <c r="Y109" s="105">
        <f t="shared" si="68"/>
        <v>9.6448654613055781E-2</v>
      </c>
      <c r="Z109" s="105">
        <f t="shared" si="68"/>
        <v>0.25864155433550173</v>
      </c>
      <c r="AA109" s="105">
        <f t="shared" si="68"/>
        <v>0.1438643523917626</v>
      </c>
      <c r="AB109" s="105">
        <f t="shared" si="68"/>
        <v>0.25912721867364535</v>
      </c>
      <c r="AC109" s="105">
        <f t="shared" si="68"/>
        <v>0.25531001404390558</v>
      </c>
      <c r="AD109" s="105">
        <f t="shared" si="68"/>
        <v>9.3680769042436954E-2</v>
      </c>
      <c r="AE109" s="105">
        <f t="shared" si="68"/>
        <v>0.24845545041206021</v>
      </c>
      <c r="AF109" s="105">
        <f t="shared" si="68"/>
        <v>0.20607341203101279</v>
      </c>
      <c r="AG109" s="105">
        <f t="shared" si="68"/>
        <v>0.25628134272019271</v>
      </c>
      <c r="AH109" s="105">
        <f t="shared" si="68"/>
        <v>0.26058421168807605</v>
      </c>
      <c r="AI109" s="105">
        <f t="shared" si="68"/>
        <v>9.7069920673205148E-2</v>
      </c>
      <c r="AJ109" s="105">
        <f t="shared" si="68"/>
        <v>0.26106987602621973</v>
      </c>
      <c r="AK109" s="105">
        <f t="shared" si="68"/>
        <v>0.20919257450731982</v>
      </c>
      <c r="AL109" s="105">
        <f t="shared" si="68"/>
        <v>0.26155554036436329</v>
      </c>
      <c r="AM109" s="105">
        <f t="shared" si="68"/>
        <v>0.305501421425112</v>
      </c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69">SUM(O110:AV110)</f>
        <v>0</v>
      </c>
      <c r="M110" s="1"/>
      <c r="N110" s="1"/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1824108.2502001994</v>
      </c>
      <c r="L111" s="102">
        <f t="shared" si="69"/>
        <v>5436581.1025773576</v>
      </c>
      <c r="M111" s="1"/>
      <c r="N111" s="1"/>
      <c r="O111" s="102">
        <f t="shared" ref="O111:AM111" si="70">O70</f>
        <v>49552.016762071027</v>
      </c>
      <c r="P111" s="102">
        <f t="shared" si="70"/>
        <v>604950.94864790118</v>
      </c>
      <c r="Q111" s="102">
        <f t="shared" si="70"/>
        <v>122906.21902954293</v>
      </c>
      <c r="R111" s="102">
        <f t="shared" si="70"/>
        <v>135113.37335299293</v>
      </c>
      <c r="S111" s="102">
        <f t="shared" si="70"/>
        <v>148532.95303500601</v>
      </c>
      <c r="T111" s="102">
        <f t="shared" si="70"/>
        <v>123374.57915194466</v>
      </c>
      <c r="U111" s="102">
        <f t="shared" si="70"/>
        <v>135628.25141678326</v>
      </c>
      <c r="V111" s="102">
        <f t="shared" si="70"/>
        <v>149098.96924324561</v>
      </c>
      <c r="W111" s="102">
        <f t="shared" si="70"/>
        <v>160329.33404492342</v>
      </c>
      <c r="X111" s="102">
        <f t="shared" si="70"/>
        <v>170987.46022482472</v>
      </c>
      <c r="Y111" s="102">
        <f t="shared" si="70"/>
        <v>187970.08592773965</v>
      </c>
      <c r="Z111" s="102">
        <f t="shared" si="70"/>
        <v>166999.98228862506</v>
      </c>
      <c r="AA111" s="102">
        <f t="shared" si="70"/>
        <v>183586.56815797515</v>
      </c>
      <c r="AB111" s="102">
        <f t="shared" si="70"/>
        <v>184377.76916436962</v>
      </c>
      <c r="AC111" s="102">
        <f t="shared" si="70"/>
        <v>202690.33218823004</v>
      </c>
      <c r="AD111" s="102">
        <f t="shared" si="70"/>
        <v>222821.71515997642</v>
      </c>
      <c r="AE111" s="102">
        <f t="shared" si="70"/>
        <v>201738.72457623488</v>
      </c>
      <c r="AF111" s="102">
        <f t="shared" si="70"/>
        <v>220948.54211841596</v>
      </c>
      <c r="AG111" s="102">
        <f t="shared" si="70"/>
        <v>238450.57749348995</v>
      </c>
      <c r="AH111" s="102">
        <f t="shared" si="70"/>
        <v>262133.69964110997</v>
      </c>
      <c r="AI111" s="102">
        <f t="shared" si="70"/>
        <v>288169.05041637673</v>
      </c>
      <c r="AJ111" s="102">
        <f t="shared" si="70"/>
        <v>276883.35222247895</v>
      </c>
      <c r="AK111" s="102">
        <f t="shared" si="70"/>
        <v>304383.65153086081</v>
      </c>
      <c r="AL111" s="102">
        <f t="shared" si="70"/>
        <v>331037.02824943094</v>
      </c>
      <c r="AM111" s="102">
        <f t="shared" si="70"/>
        <v>363915.91853280831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71">K108+K110+K111</f>
        <v>2921422.6780487248</v>
      </c>
      <c r="L112" s="75">
        <f t="shared" si="71"/>
        <v>8914611.0541228503</v>
      </c>
      <c r="M112" s="1"/>
      <c r="N112" s="1"/>
      <c r="O112" s="75">
        <f t="shared" ref="O112:AM112" si="72">O108+O110+O111</f>
        <v>9760.6969115484681</v>
      </c>
      <c r="P112" s="75">
        <f t="shared" si="72"/>
        <v>677166.74571184174</v>
      </c>
      <c r="Q112" s="75">
        <f t="shared" si="72"/>
        <v>188036.64571974031</v>
      </c>
      <c r="R112" s="75">
        <f t="shared" si="72"/>
        <v>207466.05888644204</v>
      </c>
      <c r="S112" s="75">
        <f t="shared" si="72"/>
        <v>219809.72819471179</v>
      </c>
      <c r="T112" s="75">
        <f t="shared" si="72"/>
        <v>189854.69315490231</v>
      </c>
      <c r="U112" s="75">
        <f t="shared" si="72"/>
        <v>207041.91504599759</v>
      </c>
      <c r="V112" s="75">
        <f t="shared" si="72"/>
        <v>215715.97171571176</v>
      </c>
      <c r="W112" s="75">
        <f t="shared" si="72"/>
        <v>231879.88614364626</v>
      </c>
      <c r="X112" s="75">
        <f t="shared" si="72"/>
        <v>243750.81116679934</v>
      </c>
      <c r="Y112" s="75">
        <f t="shared" si="72"/>
        <v>253648.06649597097</v>
      </c>
      <c r="Z112" s="75">
        <f t="shared" si="72"/>
        <v>239900.2217001082</v>
      </c>
      <c r="AA112" s="75">
        <f t="shared" si="72"/>
        <v>249401.43719571509</v>
      </c>
      <c r="AB112" s="75">
        <f t="shared" si="72"/>
        <v>257414.89704536126</v>
      </c>
      <c r="AC112" s="75">
        <f t="shared" si="72"/>
        <v>274651.5496954784</v>
      </c>
      <c r="AD112" s="75">
        <f t="shared" si="72"/>
        <v>289986.27151047648</v>
      </c>
      <c r="AE112" s="75">
        <f t="shared" si="72"/>
        <v>273836.83055299171</v>
      </c>
      <c r="AF112" s="75">
        <f t="shared" si="72"/>
        <v>288249.98693842464</v>
      </c>
      <c r="AG112" s="75">
        <f t="shared" si="72"/>
        <v>310685.57193975535</v>
      </c>
      <c r="AH112" s="75">
        <f t="shared" si="72"/>
        <v>335581.49293062708</v>
      </c>
      <c r="AI112" s="75">
        <f t="shared" si="72"/>
        <v>354531.47333215066</v>
      </c>
      <c r="AJ112" s="75">
        <f t="shared" si="72"/>
        <v>350468.03398150462</v>
      </c>
      <c r="AK112" s="75">
        <f t="shared" si="72"/>
        <v>370882.96291614324</v>
      </c>
      <c r="AL112" s="75">
        <f t="shared" si="72"/>
        <v>404758.5984779651</v>
      </c>
      <c r="AM112" s="75">
        <f t="shared" si="72"/>
        <v>450846.62781267194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>
        <f t="shared" ref="K113:L113" si="73">IFERROR(K112/K$105,0)</f>
        <v>0.65847862767891618</v>
      </c>
      <c r="L113" s="105">
        <f t="shared" si="73"/>
        <v>0.76943796174515855</v>
      </c>
      <c r="M113" s="1"/>
      <c r="N113" s="1"/>
      <c r="O113" s="105">
        <f t="shared" ref="O113:AM113" si="74">IFERROR(O112/O$105,0)</f>
        <v>9.6859727701822506E-3</v>
      </c>
      <c r="P113" s="105">
        <f t="shared" si="74"/>
        <v>2.4025087032517463</v>
      </c>
      <c r="Q113" s="105">
        <f t="shared" si="74"/>
        <v>0.66713210702195491</v>
      </c>
      <c r="R113" s="105">
        <f t="shared" si="74"/>
        <v>0.73606540081948979</v>
      </c>
      <c r="S113" s="105">
        <f t="shared" si="74"/>
        <v>0.32150256201076277</v>
      </c>
      <c r="T113" s="105">
        <f t="shared" si="74"/>
        <v>0.67358232746405544</v>
      </c>
      <c r="U113" s="105">
        <f t="shared" si="74"/>
        <v>0.73456058789925815</v>
      </c>
      <c r="V113" s="105">
        <f t="shared" si="74"/>
        <v>0.67859619213358069</v>
      </c>
      <c r="W113" s="105">
        <f t="shared" si="74"/>
        <v>0.69243196932204121</v>
      </c>
      <c r="X113" s="105">
        <f t="shared" si="74"/>
        <v>0.86479947363231491</v>
      </c>
      <c r="Y113" s="105">
        <f t="shared" si="74"/>
        <v>0.37248427170083614</v>
      </c>
      <c r="Z113" s="105">
        <f t="shared" si="74"/>
        <v>0.85113803091535134</v>
      </c>
      <c r="AA113" s="105">
        <f t="shared" si="74"/>
        <v>0.54516520008817315</v>
      </c>
      <c r="AB113" s="105">
        <f t="shared" si="74"/>
        <v>0.91327805804761308</v>
      </c>
      <c r="AC113" s="105">
        <f t="shared" si="74"/>
        <v>0.97443169305563759</v>
      </c>
      <c r="AD113" s="105">
        <f t="shared" si="74"/>
        <v>0.40447132242016348</v>
      </c>
      <c r="AE113" s="105">
        <f t="shared" si="74"/>
        <v>0.94366214136593629</v>
      </c>
      <c r="AF113" s="105">
        <f t="shared" si="74"/>
        <v>0.8826059898885894</v>
      </c>
      <c r="AG113" s="105">
        <f t="shared" si="74"/>
        <v>1.1022762049181292</v>
      </c>
      <c r="AH113" s="105">
        <f t="shared" si="74"/>
        <v>1.1906040314612973</v>
      </c>
      <c r="AI113" s="105">
        <f t="shared" si="74"/>
        <v>0.51858175877912893</v>
      </c>
      <c r="AJ113" s="105">
        <f t="shared" si="74"/>
        <v>1.2434197443747412</v>
      </c>
      <c r="AK113" s="105">
        <f t="shared" si="74"/>
        <v>1.1667182747775353</v>
      </c>
      <c r="AL113" s="105">
        <f t="shared" si="74"/>
        <v>1.4360363407052124</v>
      </c>
      <c r="AM113" s="105">
        <f t="shared" si="74"/>
        <v>1.5844146077086485</v>
      </c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75">K112+K114</f>
        <v>2921422.6780487248</v>
      </c>
      <c r="L115" s="75">
        <f t="shared" si="75"/>
        <v>8914611.0541228503</v>
      </c>
      <c r="M115" s="1"/>
      <c r="N115" s="1"/>
      <c r="O115" s="75">
        <f t="shared" ref="O115:AM115" si="76">O112+O114</f>
        <v>9760.6969115484681</v>
      </c>
      <c r="P115" s="75">
        <f t="shared" si="76"/>
        <v>677166.74571184174</v>
      </c>
      <c r="Q115" s="75">
        <f t="shared" si="76"/>
        <v>188036.64571974031</v>
      </c>
      <c r="R115" s="75">
        <f t="shared" si="76"/>
        <v>207466.05888644204</v>
      </c>
      <c r="S115" s="75">
        <f t="shared" si="76"/>
        <v>219809.72819471179</v>
      </c>
      <c r="T115" s="75">
        <f t="shared" si="76"/>
        <v>189854.69315490231</v>
      </c>
      <c r="U115" s="75">
        <f t="shared" si="76"/>
        <v>207041.91504599759</v>
      </c>
      <c r="V115" s="75">
        <f t="shared" si="76"/>
        <v>215715.97171571176</v>
      </c>
      <c r="W115" s="75">
        <f t="shared" si="76"/>
        <v>231879.88614364626</v>
      </c>
      <c r="X115" s="75">
        <f t="shared" si="76"/>
        <v>243750.81116679934</v>
      </c>
      <c r="Y115" s="75">
        <f t="shared" si="76"/>
        <v>253648.06649597097</v>
      </c>
      <c r="Z115" s="75">
        <f t="shared" si="76"/>
        <v>239900.2217001082</v>
      </c>
      <c r="AA115" s="75">
        <f t="shared" si="76"/>
        <v>249401.43719571509</v>
      </c>
      <c r="AB115" s="75">
        <f t="shared" si="76"/>
        <v>257414.89704536126</v>
      </c>
      <c r="AC115" s="75">
        <f t="shared" si="76"/>
        <v>274651.5496954784</v>
      </c>
      <c r="AD115" s="75">
        <f t="shared" si="76"/>
        <v>289986.27151047648</v>
      </c>
      <c r="AE115" s="75">
        <f t="shared" si="76"/>
        <v>273836.83055299171</v>
      </c>
      <c r="AF115" s="75">
        <f t="shared" si="76"/>
        <v>288249.98693842464</v>
      </c>
      <c r="AG115" s="75">
        <f t="shared" si="76"/>
        <v>310685.57193975535</v>
      </c>
      <c r="AH115" s="75">
        <f t="shared" si="76"/>
        <v>335581.49293062708</v>
      </c>
      <c r="AI115" s="75">
        <f t="shared" si="76"/>
        <v>354531.47333215066</v>
      </c>
      <c r="AJ115" s="75">
        <f t="shared" si="76"/>
        <v>350468.03398150462</v>
      </c>
      <c r="AK115" s="75">
        <f t="shared" si="76"/>
        <v>370882.96291614324</v>
      </c>
      <c r="AL115" s="75">
        <f t="shared" si="76"/>
        <v>404758.5984779651</v>
      </c>
      <c r="AM115" s="75">
        <f t="shared" si="76"/>
        <v>450846.62781267194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>
        <f t="shared" ref="K116:L116" si="77">IFERROR(K115/K$105,0)</f>
        <v>0.65847862767891618</v>
      </c>
      <c r="L116" s="105">
        <f t="shared" si="77"/>
        <v>0.76943796174515855</v>
      </c>
      <c r="M116" s="1"/>
      <c r="N116" s="1"/>
      <c r="O116" s="105">
        <f t="shared" ref="O116:AM116" si="78">IFERROR(O115/O$105,0)</f>
        <v>9.6859727701822506E-3</v>
      </c>
      <c r="P116" s="105">
        <f t="shared" si="78"/>
        <v>2.4025087032517463</v>
      </c>
      <c r="Q116" s="105">
        <f t="shared" si="78"/>
        <v>0.66713210702195491</v>
      </c>
      <c r="R116" s="105">
        <f t="shared" si="78"/>
        <v>0.73606540081948979</v>
      </c>
      <c r="S116" s="105">
        <f t="shared" si="78"/>
        <v>0.32150256201076277</v>
      </c>
      <c r="T116" s="105">
        <f t="shared" si="78"/>
        <v>0.67358232746405544</v>
      </c>
      <c r="U116" s="105">
        <f t="shared" si="78"/>
        <v>0.73456058789925815</v>
      </c>
      <c r="V116" s="105">
        <f t="shared" si="78"/>
        <v>0.67859619213358069</v>
      </c>
      <c r="W116" s="105">
        <f t="shared" si="78"/>
        <v>0.69243196932204121</v>
      </c>
      <c r="X116" s="105">
        <f t="shared" si="78"/>
        <v>0.86479947363231491</v>
      </c>
      <c r="Y116" s="105">
        <f t="shared" si="78"/>
        <v>0.37248427170083614</v>
      </c>
      <c r="Z116" s="105">
        <f t="shared" si="78"/>
        <v>0.85113803091535134</v>
      </c>
      <c r="AA116" s="105">
        <f t="shared" si="78"/>
        <v>0.54516520008817315</v>
      </c>
      <c r="AB116" s="105">
        <f t="shared" si="78"/>
        <v>0.91327805804761308</v>
      </c>
      <c r="AC116" s="105">
        <f t="shared" si="78"/>
        <v>0.97443169305563759</v>
      </c>
      <c r="AD116" s="105">
        <f t="shared" si="78"/>
        <v>0.40447132242016348</v>
      </c>
      <c r="AE116" s="105">
        <f t="shared" si="78"/>
        <v>0.94366214136593629</v>
      </c>
      <c r="AF116" s="105">
        <f t="shared" si="78"/>
        <v>0.8826059898885894</v>
      </c>
      <c r="AG116" s="105">
        <f t="shared" si="78"/>
        <v>1.1022762049181292</v>
      </c>
      <c r="AH116" s="105">
        <f t="shared" si="78"/>
        <v>1.1906040314612973</v>
      </c>
      <c r="AI116" s="105">
        <f t="shared" si="78"/>
        <v>0.51858175877912893</v>
      </c>
      <c r="AJ116" s="105">
        <f t="shared" si="78"/>
        <v>1.2434197443747412</v>
      </c>
      <c r="AK116" s="105">
        <f t="shared" si="78"/>
        <v>1.1667182747775353</v>
      </c>
      <c r="AL116" s="105">
        <f t="shared" si="78"/>
        <v>1.4360363407052124</v>
      </c>
      <c r="AM116" s="105">
        <f t="shared" si="78"/>
        <v>1.5844146077086485</v>
      </c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-298507.50666829536</v>
      </c>
      <c r="L117" s="108">
        <f>SUM(O117:AV117)</f>
        <v>-852723.90605832206</v>
      </c>
      <c r="M117" s="1"/>
      <c r="N117" s="1"/>
      <c r="O117" s="108">
        <f t="shared" ref="O117:AM117" si="79">-O207</f>
        <v>-11681.149398059199</v>
      </c>
      <c r="P117" s="108">
        <f t="shared" si="79"/>
        <v>-35043.448194177632</v>
      </c>
      <c r="Q117" s="108">
        <f t="shared" si="79"/>
        <v>-35043.448194177632</v>
      </c>
      <c r="R117" s="108">
        <f t="shared" si="79"/>
        <v>-35043.448194177632</v>
      </c>
      <c r="S117" s="108">
        <f t="shared" si="79"/>
        <v>-35043.448194177632</v>
      </c>
      <c r="T117" s="108">
        <f t="shared" si="79"/>
        <v>-35043.448194177632</v>
      </c>
      <c r="U117" s="108">
        <f t="shared" si="79"/>
        <v>-35043.448194177632</v>
      </c>
      <c r="V117" s="108">
        <f t="shared" si="79"/>
        <v>-35043.448194177632</v>
      </c>
      <c r="W117" s="108">
        <f t="shared" si="79"/>
        <v>-35043.448194177632</v>
      </c>
      <c r="X117" s="108">
        <f t="shared" si="79"/>
        <v>-35043.448194177632</v>
      </c>
      <c r="Y117" s="108">
        <f t="shared" si="79"/>
        <v>-35043.448194177632</v>
      </c>
      <c r="Z117" s="108">
        <f t="shared" si="79"/>
        <v>-35043.448194177632</v>
      </c>
      <c r="AA117" s="108">
        <f t="shared" si="79"/>
        <v>-35043.448194177632</v>
      </c>
      <c r="AB117" s="108">
        <f t="shared" si="79"/>
        <v>-35043.448194177632</v>
      </c>
      <c r="AC117" s="108">
        <f t="shared" si="79"/>
        <v>-35043.448194177632</v>
      </c>
      <c r="AD117" s="108">
        <f t="shared" si="79"/>
        <v>-35043.448194177632</v>
      </c>
      <c r="AE117" s="108">
        <f t="shared" si="79"/>
        <v>-35043.448194177632</v>
      </c>
      <c r="AF117" s="108">
        <f t="shared" si="79"/>
        <v>-35043.448194177632</v>
      </c>
      <c r="AG117" s="108">
        <f t="shared" si="79"/>
        <v>-35043.448194177632</v>
      </c>
      <c r="AH117" s="108">
        <f t="shared" si="79"/>
        <v>-35043.448194177632</v>
      </c>
      <c r="AI117" s="108">
        <f t="shared" si="79"/>
        <v>-35043.448194177632</v>
      </c>
      <c r="AJ117" s="108">
        <f t="shared" si="79"/>
        <v>-35043.448194177632</v>
      </c>
      <c r="AK117" s="108">
        <f t="shared" si="79"/>
        <v>-35043.448194177632</v>
      </c>
      <c r="AL117" s="108">
        <f t="shared" si="79"/>
        <v>-35043.448194177632</v>
      </c>
      <c r="AM117" s="108">
        <f t="shared" si="79"/>
        <v>-35043.448194177632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80">K115+K117</f>
        <v>2622915.1713804295</v>
      </c>
      <c r="L118" s="109">
        <f t="shared" si="80"/>
        <v>8061887.1480645286</v>
      </c>
      <c r="M118" s="1"/>
      <c r="N118" s="1"/>
      <c r="O118" s="109">
        <f t="shared" ref="O118:AM118" si="81">O115+O117</f>
        <v>-1920.4524865107305</v>
      </c>
      <c r="P118" s="109">
        <f t="shared" si="81"/>
        <v>642123.29751766415</v>
      </c>
      <c r="Q118" s="109">
        <f t="shared" si="81"/>
        <v>152993.19752556266</v>
      </c>
      <c r="R118" s="109">
        <f t="shared" si="81"/>
        <v>172422.6106922644</v>
      </c>
      <c r="S118" s="109">
        <f t="shared" si="81"/>
        <v>184766.28000053414</v>
      </c>
      <c r="T118" s="109">
        <f t="shared" si="81"/>
        <v>154811.24496072467</v>
      </c>
      <c r="U118" s="109">
        <f t="shared" si="81"/>
        <v>171998.46685181995</v>
      </c>
      <c r="V118" s="109">
        <f t="shared" si="81"/>
        <v>180672.52352153411</v>
      </c>
      <c r="W118" s="109">
        <f t="shared" si="81"/>
        <v>196836.43794946861</v>
      </c>
      <c r="X118" s="109">
        <f t="shared" si="81"/>
        <v>208707.36297262169</v>
      </c>
      <c r="Y118" s="109">
        <f t="shared" si="81"/>
        <v>218604.61830179335</v>
      </c>
      <c r="Z118" s="109">
        <f t="shared" si="81"/>
        <v>204856.77350593056</v>
      </c>
      <c r="AA118" s="109">
        <f t="shared" si="81"/>
        <v>214357.98900153744</v>
      </c>
      <c r="AB118" s="109">
        <f t="shared" si="81"/>
        <v>222371.44885118364</v>
      </c>
      <c r="AC118" s="109">
        <f t="shared" si="81"/>
        <v>239608.10150130076</v>
      </c>
      <c r="AD118" s="109">
        <f t="shared" si="81"/>
        <v>254942.82331629883</v>
      </c>
      <c r="AE118" s="109">
        <f t="shared" si="81"/>
        <v>238793.38235881407</v>
      </c>
      <c r="AF118" s="109">
        <f t="shared" si="81"/>
        <v>253206.53874424699</v>
      </c>
      <c r="AG118" s="109">
        <f t="shared" si="81"/>
        <v>275642.1237455777</v>
      </c>
      <c r="AH118" s="109">
        <f t="shared" si="81"/>
        <v>300538.04473644943</v>
      </c>
      <c r="AI118" s="109">
        <f t="shared" si="81"/>
        <v>319488.02513797302</v>
      </c>
      <c r="AJ118" s="109">
        <f t="shared" si="81"/>
        <v>315424.58578732697</v>
      </c>
      <c r="AK118" s="109">
        <f t="shared" si="81"/>
        <v>335839.51472196559</v>
      </c>
      <c r="AL118" s="109">
        <f t="shared" si="81"/>
        <v>369715.15028378746</v>
      </c>
      <c r="AM118" s="109">
        <f t="shared" si="81"/>
        <v>415803.17961849429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>
        <f t="shared" ref="K119:L119" si="82">IFERROR(K118/K$105,0)</f>
        <v>0.59119606195512275</v>
      </c>
      <c r="L119" s="105">
        <f t="shared" si="82"/>
        <v>0.69583765094916017</v>
      </c>
      <c r="M119" s="1"/>
      <c r="N119" s="1"/>
      <c r="O119" s="105">
        <f t="shared" ref="O119:AM119" si="83">IFERROR(O118/O$105,0)</f>
        <v>-1.9057502409242147E-3</v>
      </c>
      <c r="P119" s="105">
        <f t="shared" si="83"/>
        <v>2.2781786326869846</v>
      </c>
      <c r="Q119" s="105">
        <f t="shared" si="83"/>
        <v>0.54280203645719294</v>
      </c>
      <c r="R119" s="105">
        <f t="shared" si="83"/>
        <v>0.61173533025472782</v>
      </c>
      <c r="S119" s="105">
        <f t="shared" si="83"/>
        <v>0.27024660319287364</v>
      </c>
      <c r="T119" s="105">
        <f t="shared" si="83"/>
        <v>0.54925225689929358</v>
      </c>
      <c r="U119" s="105">
        <f t="shared" si="83"/>
        <v>0.61023051733449618</v>
      </c>
      <c r="V119" s="105">
        <f t="shared" si="83"/>
        <v>0.5683570183039347</v>
      </c>
      <c r="W119" s="105">
        <f t="shared" si="83"/>
        <v>0.58778639506167862</v>
      </c>
      <c r="X119" s="105">
        <f t="shared" si="83"/>
        <v>0.74046940306755293</v>
      </c>
      <c r="Y119" s="105">
        <f t="shared" si="83"/>
        <v>0.32102267982348759</v>
      </c>
      <c r="Z119" s="105">
        <f t="shared" si="83"/>
        <v>0.72680796035058937</v>
      </c>
      <c r="AA119" s="105">
        <f t="shared" si="83"/>
        <v>0.46856392360247923</v>
      </c>
      <c r="AB119" s="105">
        <f t="shared" si="83"/>
        <v>0.78894798748285122</v>
      </c>
      <c r="AC119" s="105">
        <f t="shared" si="83"/>
        <v>0.85010162249087573</v>
      </c>
      <c r="AD119" s="105">
        <f t="shared" si="83"/>
        <v>0.35559290566121893</v>
      </c>
      <c r="AE119" s="105">
        <f t="shared" si="83"/>
        <v>0.82289980528067208</v>
      </c>
      <c r="AF119" s="105">
        <f t="shared" si="83"/>
        <v>0.77530483226828129</v>
      </c>
      <c r="AG119" s="105">
        <f t="shared" si="83"/>
        <v>0.9779461343533673</v>
      </c>
      <c r="AH119" s="105">
        <f t="shared" si="83"/>
        <v>1.0662739608965355</v>
      </c>
      <c r="AI119" s="105">
        <f t="shared" si="83"/>
        <v>0.4673228597386021</v>
      </c>
      <c r="AJ119" s="105">
        <f t="shared" si="83"/>
        <v>1.1190896738099791</v>
      </c>
      <c r="AK119" s="105">
        <f t="shared" si="83"/>
        <v>1.0564791009478893</v>
      </c>
      <c r="AL119" s="105">
        <f t="shared" si="83"/>
        <v>1.3117062701404503</v>
      </c>
      <c r="AM119" s="105">
        <f t="shared" si="83"/>
        <v>1.4612610832102764</v>
      </c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84">SUM(K123)</f>
        <v>3886816.493076764</v>
      </c>
      <c r="L122" s="69">
        <f t="shared" si="84"/>
        <v>11103175.860134406</v>
      </c>
      <c r="M122" s="1"/>
      <c r="N122" s="1"/>
      <c r="O122" s="69">
        <f t="shared" ref="O122:AM122" si="85">SUM(O123)</f>
        <v>152098.2994538958</v>
      </c>
      <c r="P122" s="69">
        <f t="shared" si="85"/>
        <v>456294.8983616879</v>
      </c>
      <c r="Q122" s="69">
        <f t="shared" si="85"/>
        <v>456294.8983616879</v>
      </c>
      <c r="R122" s="69">
        <f t="shared" si="85"/>
        <v>456294.8983616879</v>
      </c>
      <c r="S122" s="69">
        <f t="shared" si="85"/>
        <v>456294.8983616879</v>
      </c>
      <c r="T122" s="69">
        <f t="shared" si="85"/>
        <v>456294.8983616879</v>
      </c>
      <c r="U122" s="69">
        <f t="shared" si="85"/>
        <v>456294.8983616879</v>
      </c>
      <c r="V122" s="69">
        <f t="shared" si="85"/>
        <v>456294.8983616879</v>
      </c>
      <c r="W122" s="69">
        <f t="shared" si="85"/>
        <v>456294.8983616879</v>
      </c>
      <c r="X122" s="69">
        <f t="shared" si="85"/>
        <v>456294.8983616879</v>
      </c>
      <c r="Y122" s="69">
        <f t="shared" si="85"/>
        <v>456294.8983616879</v>
      </c>
      <c r="Z122" s="69">
        <f t="shared" si="85"/>
        <v>456294.8983616879</v>
      </c>
      <c r="AA122" s="69">
        <f t="shared" si="85"/>
        <v>456294.8983616879</v>
      </c>
      <c r="AB122" s="69">
        <f t="shared" si="85"/>
        <v>456294.8983616879</v>
      </c>
      <c r="AC122" s="69">
        <f t="shared" si="85"/>
        <v>456294.8983616879</v>
      </c>
      <c r="AD122" s="69">
        <f t="shared" si="85"/>
        <v>456294.8983616879</v>
      </c>
      <c r="AE122" s="69">
        <f t="shared" si="85"/>
        <v>456294.8983616879</v>
      </c>
      <c r="AF122" s="69">
        <f t="shared" si="85"/>
        <v>456294.8983616879</v>
      </c>
      <c r="AG122" s="69">
        <f t="shared" si="85"/>
        <v>456294.8983616879</v>
      </c>
      <c r="AH122" s="69">
        <f t="shared" si="85"/>
        <v>456294.8983616879</v>
      </c>
      <c r="AI122" s="69">
        <f t="shared" si="85"/>
        <v>456294.8983616879</v>
      </c>
      <c r="AJ122" s="69">
        <f t="shared" si="85"/>
        <v>456294.8983616879</v>
      </c>
      <c r="AK122" s="69">
        <f t="shared" si="85"/>
        <v>456294.8983616879</v>
      </c>
      <c r="AL122" s="69">
        <f t="shared" si="85"/>
        <v>456294.8983616879</v>
      </c>
      <c r="AM122" s="69">
        <f t="shared" si="85"/>
        <v>456294.8983616879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3886816.493076764</v>
      </c>
      <c r="L123" s="97">
        <f>SUM(O123:AV123)</f>
        <v>11103175.860134406</v>
      </c>
      <c r="M123" s="1"/>
      <c r="N123" s="1"/>
      <c r="O123" s="97">
        <f t="shared" ref="O123:AM123" si="86">O75</f>
        <v>152098.2994538958</v>
      </c>
      <c r="P123" s="97">
        <f t="shared" si="86"/>
        <v>456294.8983616879</v>
      </c>
      <c r="Q123" s="97">
        <f t="shared" si="86"/>
        <v>456294.8983616879</v>
      </c>
      <c r="R123" s="97">
        <f t="shared" si="86"/>
        <v>456294.8983616879</v>
      </c>
      <c r="S123" s="97">
        <f t="shared" si="86"/>
        <v>456294.8983616879</v>
      </c>
      <c r="T123" s="97">
        <f t="shared" si="86"/>
        <v>456294.8983616879</v>
      </c>
      <c r="U123" s="97">
        <f t="shared" si="86"/>
        <v>456294.8983616879</v>
      </c>
      <c r="V123" s="97">
        <f t="shared" si="86"/>
        <v>456294.8983616879</v>
      </c>
      <c r="W123" s="97">
        <f t="shared" si="86"/>
        <v>456294.8983616879</v>
      </c>
      <c r="X123" s="97">
        <f t="shared" si="86"/>
        <v>456294.8983616879</v>
      </c>
      <c r="Y123" s="97">
        <f t="shared" si="86"/>
        <v>456294.8983616879</v>
      </c>
      <c r="Z123" s="97">
        <f t="shared" si="86"/>
        <v>456294.8983616879</v>
      </c>
      <c r="AA123" s="97">
        <f t="shared" si="86"/>
        <v>456294.8983616879</v>
      </c>
      <c r="AB123" s="97">
        <f t="shared" si="86"/>
        <v>456294.8983616879</v>
      </c>
      <c r="AC123" s="97">
        <f t="shared" si="86"/>
        <v>456294.8983616879</v>
      </c>
      <c r="AD123" s="97">
        <f t="shared" si="86"/>
        <v>456294.8983616879</v>
      </c>
      <c r="AE123" s="97">
        <f t="shared" si="86"/>
        <v>456294.8983616879</v>
      </c>
      <c r="AF123" s="97">
        <f t="shared" si="86"/>
        <v>456294.8983616879</v>
      </c>
      <c r="AG123" s="97">
        <f t="shared" si="86"/>
        <v>456294.8983616879</v>
      </c>
      <c r="AH123" s="97">
        <f t="shared" si="86"/>
        <v>456294.8983616879</v>
      </c>
      <c r="AI123" s="97">
        <f t="shared" si="86"/>
        <v>456294.8983616879</v>
      </c>
      <c r="AJ123" s="97">
        <f t="shared" si="86"/>
        <v>456294.8983616879</v>
      </c>
      <c r="AK123" s="97">
        <f t="shared" si="86"/>
        <v>456294.8983616879</v>
      </c>
      <c r="AL123" s="97">
        <f t="shared" si="86"/>
        <v>456294.8983616879</v>
      </c>
      <c r="AM123" s="97">
        <f t="shared" si="86"/>
        <v>456294.8983616879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87">SUM(K125:K126)</f>
        <v>-219605.13185883715</v>
      </c>
      <c r="L124" s="99">
        <f t="shared" si="87"/>
        <v>-627329.43609759398</v>
      </c>
      <c r="M124" s="111"/>
      <c r="N124" s="1"/>
      <c r="O124" s="99">
        <f t="shared" ref="O124:AM124" si="88">SUM(O125:O126)</f>
        <v>-8593.5539191451135</v>
      </c>
      <c r="P124" s="99">
        <f t="shared" si="88"/>
        <v>-25780.661757435366</v>
      </c>
      <c r="Q124" s="99">
        <f t="shared" si="88"/>
        <v>-25780.661757435366</v>
      </c>
      <c r="R124" s="99">
        <f t="shared" si="88"/>
        <v>-25780.661757435366</v>
      </c>
      <c r="S124" s="99">
        <f t="shared" si="88"/>
        <v>-25780.661757435366</v>
      </c>
      <c r="T124" s="99">
        <f t="shared" si="88"/>
        <v>-25780.661757435366</v>
      </c>
      <c r="U124" s="99">
        <f t="shared" si="88"/>
        <v>-25780.661757435366</v>
      </c>
      <c r="V124" s="99">
        <f t="shared" si="88"/>
        <v>-25780.661757435366</v>
      </c>
      <c r="W124" s="99">
        <f t="shared" si="88"/>
        <v>-25780.661757435366</v>
      </c>
      <c r="X124" s="99">
        <f t="shared" si="88"/>
        <v>-25780.661757435366</v>
      </c>
      <c r="Y124" s="99">
        <f t="shared" si="88"/>
        <v>-25780.661757435366</v>
      </c>
      <c r="Z124" s="99">
        <f t="shared" si="88"/>
        <v>-25780.661757435366</v>
      </c>
      <c r="AA124" s="99">
        <f t="shared" si="88"/>
        <v>-25780.661757435366</v>
      </c>
      <c r="AB124" s="99">
        <f t="shared" si="88"/>
        <v>-25780.661757435366</v>
      </c>
      <c r="AC124" s="99">
        <f t="shared" si="88"/>
        <v>-25780.661757435366</v>
      </c>
      <c r="AD124" s="99">
        <f t="shared" si="88"/>
        <v>-25780.661757435366</v>
      </c>
      <c r="AE124" s="99">
        <f t="shared" si="88"/>
        <v>-25780.661757435366</v>
      </c>
      <c r="AF124" s="99">
        <f t="shared" si="88"/>
        <v>-25780.661757435366</v>
      </c>
      <c r="AG124" s="99">
        <f t="shared" si="88"/>
        <v>-25780.661757435366</v>
      </c>
      <c r="AH124" s="99">
        <f t="shared" si="88"/>
        <v>-25780.661757435366</v>
      </c>
      <c r="AI124" s="99">
        <f t="shared" si="88"/>
        <v>-25780.661757435366</v>
      </c>
      <c r="AJ124" s="99">
        <f t="shared" si="88"/>
        <v>-25780.661757435366</v>
      </c>
      <c r="AK124" s="99">
        <f t="shared" si="88"/>
        <v>-25780.661757435366</v>
      </c>
      <c r="AL124" s="99">
        <f t="shared" si="88"/>
        <v>-25780.661757435366</v>
      </c>
      <c r="AM124" s="99">
        <f t="shared" si="88"/>
        <v>-25780.661757435366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-141868.80199730184</v>
      </c>
      <c r="L125" s="54">
        <f t="shared" ref="L125:L126" si="89">SUM(O125:AV125)</f>
        <v>-405265.91889490589</v>
      </c>
      <c r="M125" s="1"/>
      <c r="N125" s="1"/>
      <c r="O125" s="54">
        <f t="shared" ref="O125:AM126" si="90">O103</f>
        <v>-5551.5879300671968</v>
      </c>
      <c r="P125" s="54">
        <f t="shared" si="90"/>
        <v>-16654.763790201607</v>
      </c>
      <c r="Q125" s="54">
        <f t="shared" si="90"/>
        <v>-16654.763790201607</v>
      </c>
      <c r="R125" s="54">
        <f t="shared" si="90"/>
        <v>-16654.763790201607</v>
      </c>
      <c r="S125" s="54">
        <f t="shared" si="90"/>
        <v>-16654.763790201607</v>
      </c>
      <c r="T125" s="54">
        <f t="shared" si="90"/>
        <v>-16654.763790201607</v>
      </c>
      <c r="U125" s="54">
        <f t="shared" si="90"/>
        <v>-16654.763790201607</v>
      </c>
      <c r="V125" s="54">
        <f t="shared" si="90"/>
        <v>-16654.763790201607</v>
      </c>
      <c r="W125" s="54">
        <f t="shared" si="90"/>
        <v>-16654.763790201607</v>
      </c>
      <c r="X125" s="54">
        <f t="shared" si="90"/>
        <v>-16654.763790201607</v>
      </c>
      <c r="Y125" s="54">
        <f t="shared" si="90"/>
        <v>-16654.763790201607</v>
      </c>
      <c r="Z125" s="54">
        <f t="shared" si="90"/>
        <v>-16654.763790201607</v>
      </c>
      <c r="AA125" s="54">
        <f t="shared" si="90"/>
        <v>-16654.763790201607</v>
      </c>
      <c r="AB125" s="54">
        <f t="shared" si="90"/>
        <v>-16654.763790201607</v>
      </c>
      <c r="AC125" s="54">
        <f t="shared" si="90"/>
        <v>-16654.763790201607</v>
      </c>
      <c r="AD125" s="54">
        <f t="shared" si="90"/>
        <v>-16654.763790201607</v>
      </c>
      <c r="AE125" s="54">
        <f t="shared" si="90"/>
        <v>-16654.763790201607</v>
      </c>
      <c r="AF125" s="54">
        <f t="shared" si="90"/>
        <v>-16654.763790201607</v>
      </c>
      <c r="AG125" s="54">
        <f t="shared" si="90"/>
        <v>-16654.763790201607</v>
      </c>
      <c r="AH125" s="54">
        <f t="shared" si="90"/>
        <v>-16654.763790201607</v>
      </c>
      <c r="AI125" s="54">
        <f t="shared" si="90"/>
        <v>-16654.763790201607</v>
      </c>
      <c r="AJ125" s="54">
        <f t="shared" si="90"/>
        <v>-16654.763790201607</v>
      </c>
      <c r="AK125" s="54">
        <f t="shared" si="90"/>
        <v>-16654.763790201607</v>
      </c>
      <c r="AL125" s="54">
        <f t="shared" si="90"/>
        <v>-16654.763790201607</v>
      </c>
      <c r="AM125" s="54">
        <f t="shared" si="90"/>
        <v>-16654.763790201607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-77736.329861535298</v>
      </c>
      <c r="L126" s="102">
        <f t="shared" si="89"/>
        <v>-222063.51720268812</v>
      </c>
      <c r="M126" s="1"/>
      <c r="N126" s="1"/>
      <c r="O126" s="54">
        <f t="shared" si="90"/>
        <v>-3041.9659890779162</v>
      </c>
      <c r="P126" s="54">
        <f t="shared" si="90"/>
        <v>-9125.8979672337573</v>
      </c>
      <c r="Q126" s="54">
        <f t="shared" si="90"/>
        <v>-9125.8979672337573</v>
      </c>
      <c r="R126" s="54">
        <f t="shared" si="90"/>
        <v>-9125.8979672337573</v>
      </c>
      <c r="S126" s="54">
        <f t="shared" si="90"/>
        <v>-9125.8979672337573</v>
      </c>
      <c r="T126" s="54">
        <f t="shared" si="90"/>
        <v>-9125.8979672337573</v>
      </c>
      <c r="U126" s="54">
        <f t="shared" si="90"/>
        <v>-9125.8979672337573</v>
      </c>
      <c r="V126" s="54">
        <f t="shared" si="90"/>
        <v>-9125.8979672337573</v>
      </c>
      <c r="W126" s="54">
        <f t="shared" si="90"/>
        <v>-9125.8979672337573</v>
      </c>
      <c r="X126" s="54">
        <f t="shared" si="90"/>
        <v>-9125.8979672337573</v>
      </c>
      <c r="Y126" s="54">
        <f t="shared" si="90"/>
        <v>-9125.8979672337573</v>
      </c>
      <c r="Z126" s="54">
        <f t="shared" si="90"/>
        <v>-9125.8979672337573</v>
      </c>
      <c r="AA126" s="54">
        <f t="shared" si="90"/>
        <v>-9125.8979672337573</v>
      </c>
      <c r="AB126" s="54">
        <f t="shared" si="90"/>
        <v>-9125.8979672337573</v>
      </c>
      <c r="AC126" s="54">
        <f t="shared" si="90"/>
        <v>-9125.8979672337573</v>
      </c>
      <c r="AD126" s="54">
        <f t="shared" si="90"/>
        <v>-9125.8979672337573</v>
      </c>
      <c r="AE126" s="54">
        <f t="shared" si="90"/>
        <v>-9125.8979672337573</v>
      </c>
      <c r="AF126" s="54">
        <f t="shared" si="90"/>
        <v>-9125.8979672337573</v>
      </c>
      <c r="AG126" s="54">
        <f t="shared" si="90"/>
        <v>-9125.8979672337573</v>
      </c>
      <c r="AH126" s="54">
        <f t="shared" si="90"/>
        <v>-9125.8979672337573</v>
      </c>
      <c r="AI126" s="54">
        <f t="shared" si="90"/>
        <v>-9125.8979672337573</v>
      </c>
      <c r="AJ126" s="54">
        <f t="shared" si="90"/>
        <v>-9125.8979672337573</v>
      </c>
      <c r="AK126" s="54">
        <f t="shared" si="90"/>
        <v>-9125.8979672337573</v>
      </c>
      <c r="AL126" s="54">
        <f t="shared" si="90"/>
        <v>-9125.8979672337573</v>
      </c>
      <c r="AM126" s="54">
        <f t="shared" si="90"/>
        <v>-9125.8979672337573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91">K122+K124</f>
        <v>3667211.3612179267</v>
      </c>
      <c r="L127" s="69">
        <f t="shared" si="91"/>
        <v>10475846.424036812</v>
      </c>
      <c r="M127" s="1"/>
      <c r="N127" s="1"/>
      <c r="O127" s="69">
        <f t="shared" ref="O127:AM127" si="92">O122+O124</f>
        <v>143504.74553475069</v>
      </c>
      <c r="P127" s="69">
        <f t="shared" si="92"/>
        <v>430514.23660425254</v>
      </c>
      <c r="Q127" s="69">
        <f t="shared" si="92"/>
        <v>430514.23660425254</v>
      </c>
      <c r="R127" s="69">
        <f t="shared" si="92"/>
        <v>430514.23660425254</v>
      </c>
      <c r="S127" s="69">
        <f t="shared" si="92"/>
        <v>430514.23660425254</v>
      </c>
      <c r="T127" s="69">
        <f t="shared" si="92"/>
        <v>430514.23660425254</v>
      </c>
      <c r="U127" s="69">
        <f t="shared" si="92"/>
        <v>430514.23660425254</v>
      </c>
      <c r="V127" s="69">
        <f t="shared" si="92"/>
        <v>430514.23660425254</v>
      </c>
      <c r="W127" s="69">
        <f t="shared" si="92"/>
        <v>430514.23660425254</v>
      </c>
      <c r="X127" s="69">
        <f t="shared" si="92"/>
        <v>430514.23660425254</v>
      </c>
      <c r="Y127" s="69">
        <f t="shared" si="92"/>
        <v>430514.23660425254</v>
      </c>
      <c r="Z127" s="69">
        <f t="shared" si="92"/>
        <v>430514.23660425254</v>
      </c>
      <c r="AA127" s="69">
        <f t="shared" si="92"/>
        <v>430514.23660425254</v>
      </c>
      <c r="AB127" s="69">
        <f t="shared" si="92"/>
        <v>430514.23660425254</v>
      </c>
      <c r="AC127" s="69">
        <f t="shared" si="92"/>
        <v>430514.23660425254</v>
      </c>
      <c r="AD127" s="69">
        <f t="shared" si="92"/>
        <v>430514.23660425254</v>
      </c>
      <c r="AE127" s="69">
        <f t="shared" si="92"/>
        <v>430514.23660425254</v>
      </c>
      <c r="AF127" s="69">
        <f t="shared" si="92"/>
        <v>430514.23660425254</v>
      </c>
      <c r="AG127" s="69">
        <f t="shared" si="92"/>
        <v>430514.23660425254</v>
      </c>
      <c r="AH127" s="69">
        <f t="shared" si="92"/>
        <v>430514.23660425254</v>
      </c>
      <c r="AI127" s="69">
        <f t="shared" si="92"/>
        <v>430514.23660425254</v>
      </c>
      <c r="AJ127" s="69">
        <f t="shared" si="92"/>
        <v>430514.23660425254</v>
      </c>
      <c r="AK127" s="69">
        <f t="shared" si="92"/>
        <v>430514.23660425254</v>
      </c>
      <c r="AL127" s="69">
        <f t="shared" si="92"/>
        <v>430514.23660425254</v>
      </c>
      <c r="AM127" s="69">
        <f t="shared" si="92"/>
        <v>430514.23660425254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-1861437.8017177756</v>
      </c>
      <c r="L128" s="97">
        <f>SUM(O128:AV128)</f>
        <v>-5199803.1278062956</v>
      </c>
      <c r="M128" s="1"/>
      <c r="N128" s="1"/>
      <c r="O128" s="54">
        <f>-O11</f>
        <v>-133744.04862320219</v>
      </c>
      <c r="P128" s="54">
        <f t="shared" ref="P128:AM128" si="93">-P11</f>
        <v>-209642.38925409873</v>
      </c>
      <c r="Q128" s="54">
        <f t="shared" si="93"/>
        <v>-216727.75962784194</v>
      </c>
      <c r="R128" s="54">
        <f t="shared" si="93"/>
        <v>-209505.5007845902</v>
      </c>
      <c r="S128" s="54">
        <f t="shared" si="93"/>
        <v>-210581.41115833347</v>
      </c>
      <c r="T128" s="54">
        <f t="shared" si="93"/>
        <v>-215378.07231508166</v>
      </c>
      <c r="U128" s="54">
        <f t="shared" si="93"/>
        <v>-210444.52268882497</v>
      </c>
      <c r="V128" s="54">
        <f t="shared" si="93"/>
        <v>-215241.18384557316</v>
      </c>
      <c r="W128" s="54">
        <f t="shared" si="93"/>
        <v>-210307.63421931647</v>
      </c>
      <c r="X128" s="54">
        <f t="shared" si="93"/>
        <v>-209094.8353760647</v>
      </c>
      <c r="Y128" s="54">
        <f t="shared" si="93"/>
        <v>-216180.20574980794</v>
      </c>
      <c r="Z128" s="54">
        <f t="shared" si="93"/>
        <v>-208957.94690655617</v>
      </c>
      <c r="AA128" s="54">
        <f t="shared" si="93"/>
        <v>-216043.31728029941</v>
      </c>
      <c r="AB128" s="54">
        <f t="shared" si="93"/>
        <v>-208821.05843704767</v>
      </c>
      <c r="AC128" s="54">
        <f t="shared" si="93"/>
        <v>-209896.96881079095</v>
      </c>
      <c r="AD128" s="54">
        <f t="shared" si="93"/>
        <v>-214693.62996753913</v>
      </c>
      <c r="AE128" s="54">
        <f t="shared" si="93"/>
        <v>-209760.08034128245</v>
      </c>
      <c r="AF128" s="54">
        <f t="shared" si="93"/>
        <v>-214556.74149803063</v>
      </c>
      <c r="AG128" s="54">
        <f t="shared" si="93"/>
        <v>-209623.19187177395</v>
      </c>
      <c r="AH128" s="54">
        <f t="shared" si="93"/>
        <v>-208410.39302852217</v>
      </c>
      <c r="AI128" s="54">
        <f t="shared" si="93"/>
        <v>-215495.76340226538</v>
      </c>
      <c r="AJ128" s="54">
        <f t="shared" si="93"/>
        <v>-208273.50455901364</v>
      </c>
      <c r="AK128" s="54">
        <f t="shared" si="93"/>
        <v>-215358.87493275688</v>
      </c>
      <c r="AL128" s="54">
        <f t="shared" si="93"/>
        <v>-208136.61608950514</v>
      </c>
      <c r="AM128" s="54">
        <f t="shared" si="93"/>
        <v>-194927.47703817568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94">K127+SUM(K128)</f>
        <v>1805773.5595001511</v>
      </c>
      <c r="L129" s="75">
        <f t="shared" si="94"/>
        <v>5276043.2962305164</v>
      </c>
      <c r="M129" s="1"/>
      <c r="N129" s="1"/>
      <c r="O129" s="75">
        <f t="shared" ref="O129:AM129" si="95">O127+SUM(O128)</f>
        <v>9760.6969115484972</v>
      </c>
      <c r="P129" s="75">
        <f t="shared" si="95"/>
        <v>220871.84735015381</v>
      </c>
      <c r="Q129" s="75">
        <f t="shared" si="95"/>
        <v>213786.4769764106</v>
      </c>
      <c r="R129" s="75">
        <f t="shared" si="95"/>
        <v>221008.73581966234</v>
      </c>
      <c r="S129" s="75">
        <f t="shared" si="95"/>
        <v>219932.82544591906</v>
      </c>
      <c r="T129" s="75">
        <f t="shared" si="95"/>
        <v>215136.16428917088</v>
      </c>
      <c r="U129" s="75">
        <f t="shared" si="95"/>
        <v>220069.71391542756</v>
      </c>
      <c r="V129" s="75">
        <f t="shared" si="95"/>
        <v>215273.05275867938</v>
      </c>
      <c r="W129" s="75">
        <f t="shared" si="95"/>
        <v>220206.60238493606</v>
      </c>
      <c r="X129" s="75">
        <f t="shared" si="95"/>
        <v>221419.40122818784</v>
      </c>
      <c r="Y129" s="75">
        <f t="shared" si="95"/>
        <v>214334.0308544446</v>
      </c>
      <c r="Z129" s="75">
        <f t="shared" si="95"/>
        <v>221556.28969769637</v>
      </c>
      <c r="AA129" s="75">
        <f t="shared" si="95"/>
        <v>214470.91932395313</v>
      </c>
      <c r="AB129" s="75">
        <f t="shared" si="95"/>
        <v>221693.17816720487</v>
      </c>
      <c r="AC129" s="75">
        <f t="shared" si="95"/>
        <v>220617.26779346159</v>
      </c>
      <c r="AD129" s="75">
        <f t="shared" si="95"/>
        <v>215820.6066367134</v>
      </c>
      <c r="AE129" s="75">
        <f t="shared" si="95"/>
        <v>220754.15626297009</v>
      </c>
      <c r="AF129" s="75">
        <f t="shared" si="95"/>
        <v>215957.4951062219</v>
      </c>
      <c r="AG129" s="75">
        <f t="shared" si="95"/>
        <v>220891.04473247859</v>
      </c>
      <c r="AH129" s="75">
        <f t="shared" si="95"/>
        <v>222103.84357573037</v>
      </c>
      <c r="AI129" s="75">
        <f t="shared" si="95"/>
        <v>215018.47320198716</v>
      </c>
      <c r="AJ129" s="75">
        <f t="shared" si="95"/>
        <v>222240.7320452389</v>
      </c>
      <c r="AK129" s="75">
        <f t="shared" si="95"/>
        <v>215155.36167149566</v>
      </c>
      <c r="AL129" s="75">
        <f t="shared" si="95"/>
        <v>222377.6205147474</v>
      </c>
      <c r="AM129" s="75">
        <f t="shared" si="95"/>
        <v>235586.75956607686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>
        <f t="shared" ref="K130:L130" si="96">IFERROR(K129/K$105,0)</f>
        <v>0.40701515199872745</v>
      </c>
      <c r="L130" s="105">
        <f t="shared" si="96"/>
        <v>0.45538588002146529</v>
      </c>
      <c r="M130" s="1"/>
      <c r="N130" s="1"/>
      <c r="O130" s="105">
        <f t="shared" ref="O130:AM130" si="97">O129/O127</f>
        <v>6.8016544506431492E-2</v>
      </c>
      <c r="P130" s="105">
        <f t="shared" si="97"/>
        <v>0.5130419126027389</v>
      </c>
      <c r="Q130" s="105">
        <f t="shared" si="97"/>
        <v>0.4965839890979783</v>
      </c>
      <c r="R130" s="105">
        <f t="shared" si="97"/>
        <v>0.51335987762658641</v>
      </c>
      <c r="S130" s="105">
        <f t="shared" si="97"/>
        <v>0.51086074918375091</v>
      </c>
      <c r="T130" s="105">
        <f t="shared" si="97"/>
        <v>0.49971904758850849</v>
      </c>
      <c r="U130" s="105">
        <f t="shared" si="97"/>
        <v>0.51117871420759831</v>
      </c>
      <c r="V130" s="105">
        <f t="shared" si="97"/>
        <v>0.50003701261235589</v>
      </c>
      <c r="W130" s="105">
        <f t="shared" si="97"/>
        <v>0.51149667923144571</v>
      </c>
      <c r="X130" s="105">
        <f t="shared" si="97"/>
        <v>0.5143137726981285</v>
      </c>
      <c r="Y130" s="105">
        <f t="shared" si="97"/>
        <v>0.49785584919336778</v>
      </c>
      <c r="Z130" s="105">
        <f t="shared" si="97"/>
        <v>0.5146317377219759</v>
      </c>
      <c r="AA130" s="105">
        <f t="shared" si="97"/>
        <v>0.49817381421721518</v>
      </c>
      <c r="AB130" s="105">
        <f t="shared" si="97"/>
        <v>0.5149497027458233</v>
      </c>
      <c r="AC130" s="105">
        <f t="shared" si="97"/>
        <v>0.51245057430298779</v>
      </c>
      <c r="AD130" s="105">
        <f t="shared" si="97"/>
        <v>0.50130887270774538</v>
      </c>
      <c r="AE130" s="105">
        <f t="shared" si="97"/>
        <v>0.51276853932683519</v>
      </c>
      <c r="AF130" s="105">
        <f t="shared" si="97"/>
        <v>0.50162683773159267</v>
      </c>
      <c r="AG130" s="105">
        <f t="shared" si="97"/>
        <v>0.51308650435068259</v>
      </c>
      <c r="AH130" s="105">
        <f t="shared" si="97"/>
        <v>0.51590359781736539</v>
      </c>
      <c r="AI130" s="105">
        <f t="shared" si="97"/>
        <v>0.49944567431260473</v>
      </c>
      <c r="AJ130" s="105">
        <f t="shared" si="97"/>
        <v>0.51622156284121279</v>
      </c>
      <c r="AK130" s="105">
        <f t="shared" si="97"/>
        <v>0.49976363933645207</v>
      </c>
      <c r="AL130" s="105">
        <f t="shared" si="97"/>
        <v>0.51653952786506019</v>
      </c>
      <c r="AM130" s="105">
        <f t="shared" si="97"/>
        <v>0.54722176303460668</v>
      </c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557824.5592742865</v>
      </c>
      <c r="L131" s="97">
        <f>SUM(O131:AV131)</f>
        <v>1819283.8789461695</v>
      </c>
      <c r="M131" s="1"/>
      <c r="N131" s="1"/>
      <c r="O131" s="54">
        <f t="shared" ref="O131:AM131" si="98">O132-O129</f>
        <v>-2.9103830456733704E-11</v>
      </c>
      <c r="P131" s="54">
        <f t="shared" si="98"/>
        <v>456294.8983616879</v>
      </c>
      <c r="Q131" s="54">
        <f t="shared" si="98"/>
        <v>-25749.831256670295</v>
      </c>
      <c r="R131" s="54">
        <f t="shared" si="98"/>
        <v>-13542.676933220297</v>
      </c>
      <c r="S131" s="54">
        <f t="shared" si="98"/>
        <v>-123.09725120727671</v>
      </c>
      <c r="T131" s="54">
        <f t="shared" si="98"/>
        <v>-25281.471134268562</v>
      </c>
      <c r="U131" s="54">
        <f t="shared" si="98"/>
        <v>-13027.798869429971</v>
      </c>
      <c r="V131" s="54">
        <f t="shared" si="98"/>
        <v>442.91895703237969</v>
      </c>
      <c r="W131" s="54">
        <f t="shared" si="98"/>
        <v>11673.283758710197</v>
      </c>
      <c r="X131" s="54">
        <f t="shared" si="98"/>
        <v>22331.409938611498</v>
      </c>
      <c r="Y131" s="54">
        <f t="shared" si="98"/>
        <v>39314.035641526367</v>
      </c>
      <c r="Z131" s="54">
        <f t="shared" si="98"/>
        <v>18343.932002411835</v>
      </c>
      <c r="AA131" s="54">
        <f t="shared" si="98"/>
        <v>34930.517871761956</v>
      </c>
      <c r="AB131" s="54">
        <f t="shared" si="98"/>
        <v>35721.718878156389</v>
      </c>
      <c r="AC131" s="54">
        <f t="shared" si="98"/>
        <v>54034.28190201681</v>
      </c>
      <c r="AD131" s="54">
        <f t="shared" si="98"/>
        <v>74165.664873763075</v>
      </c>
      <c r="AE131" s="54">
        <f t="shared" si="98"/>
        <v>53082.67429002162</v>
      </c>
      <c r="AF131" s="54">
        <f t="shared" si="98"/>
        <v>72292.491832202737</v>
      </c>
      <c r="AG131" s="54">
        <f t="shared" si="98"/>
        <v>89794.527207276755</v>
      </c>
      <c r="AH131" s="54">
        <f t="shared" si="98"/>
        <v>113477.64935489671</v>
      </c>
      <c r="AI131" s="54">
        <f t="shared" si="98"/>
        <v>139513.00013016351</v>
      </c>
      <c r="AJ131" s="54">
        <f t="shared" si="98"/>
        <v>128227.30193626572</v>
      </c>
      <c r="AK131" s="54">
        <f t="shared" si="98"/>
        <v>155727.60124464758</v>
      </c>
      <c r="AL131" s="54">
        <f t="shared" si="98"/>
        <v>182380.97796321771</v>
      </c>
      <c r="AM131" s="54">
        <f t="shared" si="98"/>
        <v>215259.86824659508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 t="shared" ref="K132:L132" si="99">K115</f>
        <v>2921422.6780487248</v>
      </c>
      <c r="L132" s="75">
        <f t="shared" si="99"/>
        <v>8914611.0541228503</v>
      </c>
      <c r="M132" s="1"/>
      <c r="N132" s="1"/>
      <c r="O132" s="75">
        <f t="shared" ref="O132:AM132" si="100">O115</f>
        <v>9760.6969115484681</v>
      </c>
      <c r="P132" s="75">
        <f t="shared" si="100"/>
        <v>677166.74571184174</v>
      </c>
      <c r="Q132" s="75">
        <f t="shared" si="100"/>
        <v>188036.64571974031</v>
      </c>
      <c r="R132" s="75">
        <f t="shared" si="100"/>
        <v>207466.05888644204</v>
      </c>
      <c r="S132" s="75">
        <f t="shared" si="100"/>
        <v>219809.72819471179</v>
      </c>
      <c r="T132" s="75">
        <f t="shared" si="100"/>
        <v>189854.69315490231</v>
      </c>
      <c r="U132" s="75">
        <f t="shared" si="100"/>
        <v>207041.91504599759</v>
      </c>
      <c r="V132" s="75">
        <f t="shared" si="100"/>
        <v>215715.97171571176</v>
      </c>
      <c r="W132" s="75">
        <f t="shared" si="100"/>
        <v>231879.88614364626</v>
      </c>
      <c r="X132" s="75">
        <f t="shared" si="100"/>
        <v>243750.81116679934</v>
      </c>
      <c r="Y132" s="75">
        <f t="shared" si="100"/>
        <v>253648.06649597097</v>
      </c>
      <c r="Z132" s="75">
        <f t="shared" si="100"/>
        <v>239900.2217001082</v>
      </c>
      <c r="AA132" s="75">
        <f t="shared" si="100"/>
        <v>249401.43719571509</v>
      </c>
      <c r="AB132" s="75">
        <f t="shared" si="100"/>
        <v>257414.89704536126</v>
      </c>
      <c r="AC132" s="75">
        <f t="shared" si="100"/>
        <v>274651.5496954784</v>
      </c>
      <c r="AD132" s="75">
        <f t="shared" si="100"/>
        <v>289986.27151047648</v>
      </c>
      <c r="AE132" s="75">
        <f t="shared" si="100"/>
        <v>273836.83055299171</v>
      </c>
      <c r="AF132" s="75">
        <f t="shared" si="100"/>
        <v>288249.98693842464</v>
      </c>
      <c r="AG132" s="75">
        <f t="shared" si="100"/>
        <v>310685.57193975535</v>
      </c>
      <c r="AH132" s="75">
        <f t="shared" si="100"/>
        <v>335581.49293062708</v>
      </c>
      <c r="AI132" s="75">
        <f t="shared" si="100"/>
        <v>354531.47333215066</v>
      </c>
      <c r="AJ132" s="75">
        <f t="shared" si="100"/>
        <v>350468.03398150462</v>
      </c>
      <c r="AK132" s="75">
        <f t="shared" si="100"/>
        <v>370882.96291614324</v>
      </c>
      <c r="AL132" s="75">
        <f t="shared" si="100"/>
        <v>404758.5984779651</v>
      </c>
      <c r="AM132" s="75">
        <f t="shared" si="100"/>
        <v>450846.62781267194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>
        <f t="shared" ref="K133:L133" si="101">IFERROR(K132/K$105,0)</f>
        <v>0.65847862767891618</v>
      </c>
      <c r="L133" s="105">
        <f t="shared" si="101"/>
        <v>0.76943796174515855</v>
      </c>
      <c r="M133" s="1"/>
      <c r="N133" s="1"/>
      <c r="O133" s="105">
        <f t="shared" ref="O133:AM133" si="102">IFERROR(O132/O$105,0)</f>
        <v>9.6859727701822506E-3</v>
      </c>
      <c r="P133" s="105">
        <f t="shared" si="102"/>
        <v>2.4025087032517463</v>
      </c>
      <c r="Q133" s="105">
        <f t="shared" si="102"/>
        <v>0.66713210702195491</v>
      </c>
      <c r="R133" s="105">
        <f t="shared" si="102"/>
        <v>0.73606540081948979</v>
      </c>
      <c r="S133" s="105">
        <f t="shared" si="102"/>
        <v>0.32150256201076277</v>
      </c>
      <c r="T133" s="105">
        <f t="shared" si="102"/>
        <v>0.67358232746405544</v>
      </c>
      <c r="U133" s="105">
        <f t="shared" si="102"/>
        <v>0.73456058789925815</v>
      </c>
      <c r="V133" s="105">
        <f t="shared" si="102"/>
        <v>0.67859619213358069</v>
      </c>
      <c r="W133" s="105">
        <f t="shared" si="102"/>
        <v>0.69243196932204121</v>
      </c>
      <c r="X133" s="105">
        <f t="shared" si="102"/>
        <v>0.86479947363231491</v>
      </c>
      <c r="Y133" s="105">
        <f t="shared" si="102"/>
        <v>0.37248427170083614</v>
      </c>
      <c r="Z133" s="105">
        <f t="shared" si="102"/>
        <v>0.85113803091535134</v>
      </c>
      <c r="AA133" s="105">
        <f t="shared" si="102"/>
        <v>0.54516520008817315</v>
      </c>
      <c r="AB133" s="105">
        <f t="shared" si="102"/>
        <v>0.91327805804761308</v>
      </c>
      <c r="AC133" s="105">
        <f t="shared" si="102"/>
        <v>0.97443169305563759</v>
      </c>
      <c r="AD133" s="105">
        <f t="shared" si="102"/>
        <v>0.40447132242016348</v>
      </c>
      <c r="AE133" s="105">
        <f t="shared" si="102"/>
        <v>0.94366214136593629</v>
      </c>
      <c r="AF133" s="105">
        <f t="shared" si="102"/>
        <v>0.8826059898885894</v>
      </c>
      <c r="AG133" s="105">
        <f t="shared" si="102"/>
        <v>1.1022762049181292</v>
      </c>
      <c r="AH133" s="105">
        <f t="shared" si="102"/>
        <v>1.1906040314612973</v>
      </c>
      <c r="AI133" s="105">
        <f t="shared" si="102"/>
        <v>0.51858175877912893</v>
      </c>
      <c r="AJ133" s="105">
        <f t="shared" si="102"/>
        <v>1.2434197443747412</v>
      </c>
      <c r="AK133" s="105">
        <f t="shared" si="102"/>
        <v>1.1667182747775353</v>
      </c>
      <c r="AL133" s="105">
        <f t="shared" si="102"/>
        <v>1.4360363407052124</v>
      </c>
      <c r="AM133" s="105">
        <f t="shared" si="102"/>
        <v>1.5844146077086485</v>
      </c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103">K132+K134</f>
        <v>2921422.6780487248</v>
      </c>
      <c r="L135" s="75">
        <f t="shared" si="103"/>
        <v>8914611.0541228503</v>
      </c>
      <c r="M135" s="1"/>
      <c r="N135" s="1"/>
      <c r="O135" s="75">
        <f t="shared" ref="O135:AM135" si="104">O132+O134</f>
        <v>9760.6969115484681</v>
      </c>
      <c r="P135" s="75">
        <f t="shared" si="104"/>
        <v>677166.74571184174</v>
      </c>
      <c r="Q135" s="75">
        <f t="shared" si="104"/>
        <v>188036.64571974031</v>
      </c>
      <c r="R135" s="75">
        <f t="shared" si="104"/>
        <v>207466.05888644204</v>
      </c>
      <c r="S135" s="75">
        <f t="shared" si="104"/>
        <v>219809.72819471179</v>
      </c>
      <c r="T135" s="75">
        <f t="shared" si="104"/>
        <v>189854.69315490231</v>
      </c>
      <c r="U135" s="75">
        <f t="shared" si="104"/>
        <v>207041.91504599759</v>
      </c>
      <c r="V135" s="75">
        <f t="shared" si="104"/>
        <v>215715.97171571176</v>
      </c>
      <c r="W135" s="75">
        <f t="shared" si="104"/>
        <v>231879.88614364626</v>
      </c>
      <c r="X135" s="75">
        <f t="shared" si="104"/>
        <v>243750.81116679934</v>
      </c>
      <c r="Y135" s="75">
        <f t="shared" si="104"/>
        <v>253648.06649597097</v>
      </c>
      <c r="Z135" s="75">
        <f t="shared" si="104"/>
        <v>239900.2217001082</v>
      </c>
      <c r="AA135" s="75">
        <f t="shared" si="104"/>
        <v>249401.43719571509</v>
      </c>
      <c r="AB135" s="75">
        <f t="shared" si="104"/>
        <v>257414.89704536126</v>
      </c>
      <c r="AC135" s="75">
        <f t="shared" si="104"/>
        <v>274651.5496954784</v>
      </c>
      <c r="AD135" s="75">
        <f t="shared" si="104"/>
        <v>289986.27151047648</v>
      </c>
      <c r="AE135" s="75">
        <f t="shared" si="104"/>
        <v>273836.83055299171</v>
      </c>
      <c r="AF135" s="75">
        <f t="shared" si="104"/>
        <v>288249.98693842464</v>
      </c>
      <c r="AG135" s="75">
        <f t="shared" si="104"/>
        <v>310685.57193975535</v>
      </c>
      <c r="AH135" s="75">
        <f t="shared" si="104"/>
        <v>335581.49293062708</v>
      </c>
      <c r="AI135" s="75">
        <f t="shared" si="104"/>
        <v>354531.47333215066</v>
      </c>
      <c r="AJ135" s="75">
        <f t="shared" si="104"/>
        <v>350468.03398150462</v>
      </c>
      <c r="AK135" s="75">
        <f t="shared" si="104"/>
        <v>370882.96291614324</v>
      </c>
      <c r="AL135" s="75">
        <f t="shared" si="104"/>
        <v>404758.5984779651</v>
      </c>
      <c r="AM135" s="75">
        <f t="shared" si="104"/>
        <v>450846.62781267194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>
        <f t="shared" ref="K136:L136" si="105">IFERROR(K135/K$105,0)</f>
        <v>0.65847862767891618</v>
      </c>
      <c r="L136" s="105">
        <f t="shared" si="105"/>
        <v>0.76943796174515855</v>
      </c>
      <c r="M136" s="1"/>
      <c r="N136" s="1"/>
      <c r="O136" s="105">
        <f t="shared" ref="O136:AM136" si="106">O135/O127</f>
        <v>6.8016544506431298E-2</v>
      </c>
      <c r="P136" s="105">
        <f t="shared" si="106"/>
        <v>1.5729253254273283</v>
      </c>
      <c r="Q136" s="105">
        <f t="shared" si="106"/>
        <v>0.43677218947022139</v>
      </c>
      <c r="R136" s="105">
        <f t="shared" si="106"/>
        <v>0.48190289947868525</v>
      </c>
      <c r="S136" s="105">
        <f t="shared" si="106"/>
        <v>0.51057481845082509</v>
      </c>
      <c r="T136" s="105">
        <f t="shared" si="106"/>
        <v>0.44099515651888888</v>
      </c>
      <c r="U136" s="105">
        <f t="shared" si="106"/>
        <v>0.48091769665754297</v>
      </c>
      <c r="V136" s="105">
        <f t="shared" si="106"/>
        <v>0.50106582634108632</v>
      </c>
      <c r="W136" s="105">
        <f t="shared" si="106"/>
        <v>0.53861142426469943</v>
      </c>
      <c r="X136" s="105">
        <f t="shared" si="106"/>
        <v>0.56618525112995444</v>
      </c>
      <c r="Y136" s="105">
        <f t="shared" si="106"/>
        <v>0.58917463101025236</v>
      </c>
      <c r="Z136" s="105">
        <f t="shared" si="106"/>
        <v>0.55724108822128204</v>
      </c>
      <c r="AA136" s="105">
        <f t="shared" si="106"/>
        <v>0.57931054536757576</v>
      </c>
      <c r="AB136" s="105">
        <f t="shared" si="106"/>
        <v>0.59792423840791187</v>
      </c>
      <c r="AC136" s="105">
        <f t="shared" si="106"/>
        <v>0.63796159648943296</v>
      </c>
      <c r="AD136" s="105">
        <f t="shared" si="106"/>
        <v>0.67358114286251702</v>
      </c>
      <c r="AE136" s="105">
        <f t="shared" si="106"/>
        <v>0.63606916396754254</v>
      </c>
      <c r="AF136" s="105">
        <f t="shared" si="106"/>
        <v>0.66954809488308886</v>
      </c>
      <c r="AG136" s="105">
        <f t="shared" si="106"/>
        <v>0.72166155152111977</v>
      </c>
      <c r="AH136" s="105">
        <f t="shared" si="106"/>
        <v>0.77948988534636598</v>
      </c>
      <c r="AI136" s="105">
        <f t="shared" si="106"/>
        <v>0.82350696722266925</v>
      </c>
      <c r="AJ136" s="105">
        <f t="shared" si="106"/>
        <v>0.81406839584650048</v>
      </c>
      <c r="AK136" s="105">
        <f t="shared" si="106"/>
        <v>0.86148826538592504</v>
      </c>
      <c r="AL136" s="105">
        <f t="shared" si="106"/>
        <v>0.94017471215484305</v>
      </c>
      <c r="AM136" s="105">
        <f t="shared" si="106"/>
        <v>1.0472281506153995</v>
      </c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-298507.50666829536</v>
      </c>
      <c r="L137" s="108">
        <f>SUM(O137:AV137)</f>
        <v>-852723.90605832206</v>
      </c>
      <c r="M137" s="1"/>
      <c r="N137" s="1"/>
      <c r="O137" s="54">
        <f t="shared" ref="O137:AM137" si="107">O117</f>
        <v>-11681.149398059199</v>
      </c>
      <c r="P137" s="54">
        <f t="shared" si="107"/>
        <v>-35043.448194177632</v>
      </c>
      <c r="Q137" s="54">
        <f t="shared" si="107"/>
        <v>-35043.448194177632</v>
      </c>
      <c r="R137" s="54">
        <f t="shared" si="107"/>
        <v>-35043.448194177632</v>
      </c>
      <c r="S137" s="54">
        <f t="shared" si="107"/>
        <v>-35043.448194177632</v>
      </c>
      <c r="T137" s="54">
        <f t="shared" si="107"/>
        <v>-35043.448194177632</v>
      </c>
      <c r="U137" s="54">
        <f t="shared" si="107"/>
        <v>-35043.448194177632</v>
      </c>
      <c r="V137" s="54">
        <f t="shared" si="107"/>
        <v>-35043.448194177632</v>
      </c>
      <c r="W137" s="54">
        <f t="shared" si="107"/>
        <v>-35043.448194177632</v>
      </c>
      <c r="X137" s="54">
        <f t="shared" si="107"/>
        <v>-35043.448194177632</v>
      </c>
      <c r="Y137" s="54">
        <f t="shared" si="107"/>
        <v>-35043.448194177632</v>
      </c>
      <c r="Z137" s="54">
        <f t="shared" si="107"/>
        <v>-35043.448194177632</v>
      </c>
      <c r="AA137" s="54">
        <f t="shared" si="107"/>
        <v>-35043.448194177632</v>
      </c>
      <c r="AB137" s="54">
        <f t="shared" si="107"/>
        <v>-35043.448194177632</v>
      </c>
      <c r="AC137" s="54">
        <f t="shared" si="107"/>
        <v>-35043.448194177632</v>
      </c>
      <c r="AD137" s="54">
        <f t="shared" si="107"/>
        <v>-35043.448194177632</v>
      </c>
      <c r="AE137" s="54">
        <f t="shared" si="107"/>
        <v>-35043.448194177632</v>
      </c>
      <c r="AF137" s="54">
        <f t="shared" si="107"/>
        <v>-35043.448194177632</v>
      </c>
      <c r="AG137" s="54">
        <f t="shared" si="107"/>
        <v>-35043.448194177632</v>
      </c>
      <c r="AH137" s="54">
        <f t="shared" si="107"/>
        <v>-35043.448194177632</v>
      </c>
      <c r="AI137" s="54">
        <f t="shared" si="107"/>
        <v>-35043.448194177632</v>
      </c>
      <c r="AJ137" s="54">
        <f t="shared" si="107"/>
        <v>-35043.448194177632</v>
      </c>
      <c r="AK137" s="54">
        <f t="shared" si="107"/>
        <v>-35043.448194177632</v>
      </c>
      <c r="AL137" s="54">
        <f t="shared" si="107"/>
        <v>-35043.448194177632</v>
      </c>
      <c r="AM137" s="54">
        <f t="shared" si="107"/>
        <v>-35043.448194177632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108">K135+K137</f>
        <v>2622915.1713804295</v>
      </c>
      <c r="L138" s="109">
        <f t="shared" si="108"/>
        <v>8061887.1480645286</v>
      </c>
      <c r="M138" s="1"/>
      <c r="N138" s="1"/>
      <c r="O138" s="109">
        <f t="shared" ref="O138:AM138" si="109">O135+O137</f>
        <v>-1920.4524865107305</v>
      </c>
      <c r="P138" s="109">
        <f t="shared" si="109"/>
        <v>642123.29751766415</v>
      </c>
      <c r="Q138" s="109">
        <f t="shared" si="109"/>
        <v>152993.19752556266</v>
      </c>
      <c r="R138" s="109">
        <f t="shared" si="109"/>
        <v>172422.6106922644</v>
      </c>
      <c r="S138" s="109">
        <f t="shared" si="109"/>
        <v>184766.28000053414</v>
      </c>
      <c r="T138" s="109">
        <f t="shared" si="109"/>
        <v>154811.24496072467</v>
      </c>
      <c r="U138" s="109">
        <f t="shared" si="109"/>
        <v>171998.46685181995</v>
      </c>
      <c r="V138" s="109">
        <f t="shared" si="109"/>
        <v>180672.52352153411</v>
      </c>
      <c r="W138" s="109">
        <f t="shared" si="109"/>
        <v>196836.43794946861</v>
      </c>
      <c r="X138" s="109">
        <f t="shared" si="109"/>
        <v>208707.36297262169</v>
      </c>
      <c r="Y138" s="109">
        <f t="shared" si="109"/>
        <v>218604.61830179335</v>
      </c>
      <c r="Z138" s="109">
        <f t="shared" si="109"/>
        <v>204856.77350593056</v>
      </c>
      <c r="AA138" s="109">
        <f t="shared" si="109"/>
        <v>214357.98900153744</v>
      </c>
      <c r="AB138" s="109">
        <f t="shared" si="109"/>
        <v>222371.44885118364</v>
      </c>
      <c r="AC138" s="109">
        <f t="shared" si="109"/>
        <v>239608.10150130076</v>
      </c>
      <c r="AD138" s="109">
        <f t="shared" si="109"/>
        <v>254942.82331629883</v>
      </c>
      <c r="AE138" s="109">
        <f t="shared" si="109"/>
        <v>238793.38235881407</v>
      </c>
      <c r="AF138" s="109">
        <f t="shared" si="109"/>
        <v>253206.53874424699</v>
      </c>
      <c r="AG138" s="109">
        <f t="shared" si="109"/>
        <v>275642.1237455777</v>
      </c>
      <c r="AH138" s="109">
        <f t="shared" si="109"/>
        <v>300538.04473644943</v>
      </c>
      <c r="AI138" s="109">
        <f t="shared" si="109"/>
        <v>319488.02513797302</v>
      </c>
      <c r="AJ138" s="109">
        <f t="shared" si="109"/>
        <v>315424.58578732697</v>
      </c>
      <c r="AK138" s="109">
        <f t="shared" si="109"/>
        <v>335839.51472196559</v>
      </c>
      <c r="AL138" s="109">
        <f t="shared" si="109"/>
        <v>369715.15028378746</v>
      </c>
      <c r="AM138" s="109">
        <f t="shared" si="109"/>
        <v>415803.17961849429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>
        <f t="shared" ref="K139:L139" si="110">IFERROR(K138/K$105,0)</f>
        <v>0.59119606195512275</v>
      </c>
      <c r="L139" s="105">
        <f t="shared" si="110"/>
        <v>0.69583765094916017</v>
      </c>
      <c r="M139" s="1"/>
      <c r="N139" s="1"/>
      <c r="O139" s="105">
        <f t="shared" ref="O139:AM139" si="111">O138/O127</f>
        <v>-1.3382501598497168E-2</v>
      </c>
      <c r="P139" s="105">
        <f t="shared" si="111"/>
        <v>1.4915262793224</v>
      </c>
      <c r="Q139" s="105">
        <f t="shared" si="111"/>
        <v>0.35537314336529291</v>
      </c>
      <c r="R139" s="105">
        <f t="shared" si="111"/>
        <v>0.40050385337375677</v>
      </c>
      <c r="S139" s="105">
        <f t="shared" si="111"/>
        <v>0.4291757723458966</v>
      </c>
      <c r="T139" s="105">
        <f t="shared" si="111"/>
        <v>0.35959611041396039</v>
      </c>
      <c r="U139" s="105">
        <f t="shared" si="111"/>
        <v>0.39951865055261443</v>
      </c>
      <c r="V139" s="105">
        <f t="shared" si="111"/>
        <v>0.41966678023615783</v>
      </c>
      <c r="W139" s="105">
        <f t="shared" si="111"/>
        <v>0.45721237815977095</v>
      </c>
      <c r="X139" s="105">
        <f t="shared" si="111"/>
        <v>0.4847862050250259</v>
      </c>
      <c r="Y139" s="105">
        <f t="shared" si="111"/>
        <v>0.50777558490532393</v>
      </c>
      <c r="Z139" s="105">
        <f t="shared" si="111"/>
        <v>0.47584204211635361</v>
      </c>
      <c r="AA139" s="105">
        <f t="shared" si="111"/>
        <v>0.49791149926264727</v>
      </c>
      <c r="AB139" s="105">
        <f t="shared" si="111"/>
        <v>0.51652519230298344</v>
      </c>
      <c r="AC139" s="105">
        <f t="shared" si="111"/>
        <v>0.55656255038450442</v>
      </c>
      <c r="AD139" s="105">
        <f t="shared" si="111"/>
        <v>0.59218209675758848</v>
      </c>
      <c r="AE139" s="105">
        <f t="shared" si="111"/>
        <v>0.554670117862614</v>
      </c>
      <c r="AF139" s="105">
        <f t="shared" si="111"/>
        <v>0.58814904877816032</v>
      </c>
      <c r="AG139" s="105">
        <f t="shared" si="111"/>
        <v>0.64026250541619134</v>
      </c>
      <c r="AH139" s="105">
        <f t="shared" si="111"/>
        <v>0.69809083924143744</v>
      </c>
      <c r="AI139" s="105">
        <f t="shared" si="111"/>
        <v>0.74210792111774071</v>
      </c>
      <c r="AJ139" s="105">
        <f t="shared" si="111"/>
        <v>0.73266934974157194</v>
      </c>
      <c r="AK139" s="105">
        <f t="shared" si="111"/>
        <v>0.7800892192809965</v>
      </c>
      <c r="AL139" s="105">
        <f t="shared" si="111"/>
        <v>0.85877566604991451</v>
      </c>
      <c r="AM139" s="105">
        <f t="shared" si="111"/>
        <v>0.9658291045104711</v>
      </c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112">O$3</f>
        <v>1</v>
      </c>
      <c r="P141" s="80">
        <f t="shared" si="112"/>
        <v>2</v>
      </c>
      <c r="Q141" s="80">
        <f t="shared" si="112"/>
        <v>3</v>
      </c>
      <c r="R141" s="80">
        <f t="shared" si="112"/>
        <v>4</v>
      </c>
      <c r="S141" s="80">
        <f t="shared" si="112"/>
        <v>5</v>
      </c>
      <c r="T141" s="80">
        <f t="shared" si="112"/>
        <v>6</v>
      </c>
      <c r="U141" s="80">
        <f t="shared" si="112"/>
        <v>7</v>
      </c>
      <c r="V141" s="80">
        <f t="shared" si="112"/>
        <v>8</v>
      </c>
      <c r="W141" s="80">
        <f t="shared" si="112"/>
        <v>9</v>
      </c>
      <c r="X141" s="80">
        <f t="shared" si="112"/>
        <v>10</v>
      </c>
      <c r="Y141" s="80">
        <f t="shared" si="112"/>
        <v>11</v>
      </c>
      <c r="Z141" s="80">
        <f t="shared" si="112"/>
        <v>12</v>
      </c>
      <c r="AA141" s="80">
        <f t="shared" si="112"/>
        <v>13</v>
      </c>
      <c r="AB141" s="80">
        <f t="shared" si="112"/>
        <v>14</v>
      </c>
      <c r="AC141" s="80">
        <f t="shared" si="112"/>
        <v>15</v>
      </c>
      <c r="AD141" s="80">
        <f t="shared" si="112"/>
        <v>16</v>
      </c>
      <c r="AE141" s="80">
        <f t="shared" si="112"/>
        <v>17</v>
      </c>
      <c r="AF141" s="80">
        <f t="shared" si="112"/>
        <v>18</v>
      </c>
      <c r="AG141" s="80">
        <f t="shared" si="112"/>
        <v>19</v>
      </c>
      <c r="AH141" s="80">
        <f t="shared" si="112"/>
        <v>20</v>
      </c>
      <c r="AI141" s="80">
        <f t="shared" si="112"/>
        <v>21</v>
      </c>
      <c r="AJ141" s="80">
        <f t="shared" si="112"/>
        <v>22</v>
      </c>
      <c r="AK141" s="80">
        <f t="shared" si="112"/>
        <v>23</v>
      </c>
      <c r="AL141" s="80">
        <f t="shared" si="112"/>
        <v>24</v>
      </c>
      <c r="AM141" s="80">
        <f t="shared" si="112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113">O$2</f>
        <v>46023</v>
      </c>
      <c r="P142" s="84">
        <f t="shared" si="113"/>
        <v>46388</v>
      </c>
      <c r="Q142" s="84">
        <f t="shared" si="113"/>
        <v>46753</v>
      </c>
      <c r="R142" s="84">
        <f t="shared" si="113"/>
        <v>47119</v>
      </c>
      <c r="S142" s="84">
        <f t="shared" si="113"/>
        <v>47484</v>
      </c>
      <c r="T142" s="84">
        <f t="shared" si="113"/>
        <v>47849</v>
      </c>
      <c r="U142" s="84">
        <f t="shared" si="113"/>
        <v>48214</v>
      </c>
      <c r="V142" s="84">
        <f t="shared" si="113"/>
        <v>48580</v>
      </c>
      <c r="W142" s="84">
        <f t="shared" si="113"/>
        <v>48945</v>
      </c>
      <c r="X142" s="84">
        <f t="shared" si="113"/>
        <v>49310</v>
      </c>
      <c r="Y142" s="84">
        <f t="shared" si="113"/>
        <v>49675</v>
      </c>
      <c r="Z142" s="84">
        <f t="shared" si="113"/>
        <v>50041</v>
      </c>
      <c r="AA142" s="84">
        <f t="shared" si="113"/>
        <v>50406</v>
      </c>
      <c r="AB142" s="84">
        <f t="shared" si="113"/>
        <v>50771</v>
      </c>
      <c r="AC142" s="84">
        <f t="shared" si="113"/>
        <v>51136</v>
      </c>
      <c r="AD142" s="84">
        <f t="shared" si="113"/>
        <v>51502</v>
      </c>
      <c r="AE142" s="84">
        <f t="shared" si="113"/>
        <v>51867</v>
      </c>
      <c r="AF142" s="84">
        <f t="shared" si="113"/>
        <v>52232</v>
      </c>
      <c r="AG142" s="84">
        <f t="shared" si="113"/>
        <v>52597</v>
      </c>
      <c r="AH142" s="84">
        <f t="shared" si="113"/>
        <v>52963</v>
      </c>
      <c r="AI142" s="84">
        <f t="shared" si="113"/>
        <v>53328</v>
      </c>
      <c r="AJ142" s="84">
        <f t="shared" si="113"/>
        <v>53693</v>
      </c>
      <c r="AK142" s="84">
        <f t="shared" si="113"/>
        <v>54058</v>
      </c>
      <c r="AL142" s="84">
        <f t="shared" si="113"/>
        <v>54424</v>
      </c>
      <c r="AM142" s="84">
        <f t="shared" si="113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3886816.493076764</v>
      </c>
      <c r="L143" s="62">
        <f t="shared" ref="L143:L147" si="114">SUM(O143:AV143)</f>
        <v>11103175.860134406</v>
      </c>
      <c r="M143" s="1"/>
      <c r="N143" s="1"/>
      <c r="O143" s="112">
        <f t="shared" ref="O143:AM143" si="115">O75</f>
        <v>152098.2994538958</v>
      </c>
      <c r="P143" s="112">
        <f t="shared" si="115"/>
        <v>456294.8983616879</v>
      </c>
      <c r="Q143" s="112">
        <f t="shared" si="115"/>
        <v>456294.8983616879</v>
      </c>
      <c r="R143" s="112">
        <f t="shared" si="115"/>
        <v>456294.8983616879</v>
      </c>
      <c r="S143" s="112">
        <f t="shared" si="115"/>
        <v>456294.8983616879</v>
      </c>
      <c r="T143" s="112">
        <f t="shared" si="115"/>
        <v>456294.8983616879</v>
      </c>
      <c r="U143" s="112">
        <f t="shared" si="115"/>
        <v>456294.8983616879</v>
      </c>
      <c r="V143" s="112">
        <f t="shared" si="115"/>
        <v>456294.8983616879</v>
      </c>
      <c r="W143" s="112">
        <f t="shared" si="115"/>
        <v>456294.8983616879</v>
      </c>
      <c r="X143" s="112">
        <f t="shared" si="115"/>
        <v>456294.8983616879</v>
      </c>
      <c r="Y143" s="112">
        <f t="shared" si="115"/>
        <v>456294.8983616879</v>
      </c>
      <c r="Z143" s="112">
        <f t="shared" si="115"/>
        <v>456294.8983616879</v>
      </c>
      <c r="AA143" s="112">
        <f t="shared" si="115"/>
        <v>456294.8983616879</v>
      </c>
      <c r="AB143" s="112">
        <f t="shared" si="115"/>
        <v>456294.8983616879</v>
      </c>
      <c r="AC143" s="112">
        <f t="shared" si="115"/>
        <v>456294.8983616879</v>
      </c>
      <c r="AD143" s="112">
        <f t="shared" si="115"/>
        <v>456294.8983616879</v>
      </c>
      <c r="AE143" s="112">
        <f t="shared" si="115"/>
        <v>456294.8983616879</v>
      </c>
      <c r="AF143" s="112">
        <f t="shared" si="115"/>
        <v>456294.8983616879</v>
      </c>
      <c r="AG143" s="112">
        <f t="shared" si="115"/>
        <v>456294.8983616879</v>
      </c>
      <c r="AH143" s="112">
        <f t="shared" si="115"/>
        <v>456294.8983616879</v>
      </c>
      <c r="AI143" s="112">
        <f t="shared" si="115"/>
        <v>456294.8983616879</v>
      </c>
      <c r="AJ143" s="112">
        <f t="shared" si="115"/>
        <v>456294.8983616879</v>
      </c>
      <c r="AK143" s="112">
        <f t="shared" si="115"/>
        <v>456294.8983616879</v>
      </c>
      <c r="AL143" s="112">
        <f t="shared" si="115"/>
        <v>456294.8983616879</v>
      </c>
      <c r="AM143" s="112">
        <f t="shared" si="115"/>
        <v>456294.8983616879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-219605.13185883718</v>
      </c>
      <c r="L144" s="54">
        <f t="shared" si="114"/>
        <v>-627329.43609759398</v>
      </c>
      <c r="M144" s="1"/>
      <c r="N144" s="1"/>
      <c r="O144" s="97">
        <f t="shared" ref="O144:AM144" si="116">-MAX(O212,0)-O260</f>
        <v>-8593.5539191451135</v>
      </c>
      <c r="P144" s="97">
        <f t="shared" si="116"/>
        <v>-25780.661757435366</v>
      </c>
      <c r="Q144" s="97">
        <f t="shared" si="116"/>
        <v>-25780.661757435366</v>
      </c>
      <c r="R144" s="97">
        <f t="shared" si="116"/>
        <v>-25780.661757435366</v>
      </c>
      <c r="S144" s="97">
        <f t="shared" si="116"/>
        <v>-25780.661757435366</v>
      </c>
      <c r="T144" s="97">
        <f t="shared" si="116"/>
        <v>-25780.661757435366</v>
      </c>
      <c r="U144" s="97">
        <f t="shared" si="116"/>
        <v>-25780.661757435366</v>
      </c>
      <c r="V144" s="97">
        <f t="shared" si="116"/>
        <v>-25780.661757435366</v>
      </c>
      <c r="W144" s="97">
        <f t="shared" si="116"/>
        <v>-25780.661757435366</v>
      </c>
      <c r="X144" s="97">
        <f t="shared" si="116"/>
        <v>-25780.661757435366</v>
      </c>
      <c r="Y144" s="97">
        <f t="shared" si="116"/>
        <v>-25780.661757435366</v>
      </c>
      <c r="Z144" s="97">
        <f t="shared" si="116"/>
        <v>-25780.661757435366</v>
      </c>
      <c r="AA144" s="97">
        <f t="shared" si="116"/>
        <v>-25780.661757435366</v>
      </c>
      <c r="AB144" s="97">
        <f t="shared" si="116"/>
        <v>-25780.661757435366</v>
      </c>
      <c r="AC144" s="97">
        <f t="shared" si="116"/>
        <v>-25780.661757435366</v>
      </c>
      <c r="AD144" s="97">
        <f t="shared" si="116"/>
        <v>-25780.661757435366</v>
      </c>
      <c r="AE144" s="97">
        <f t="shared" si="116"/>
        <v>-25780.661757435366</v>
      </c>
      <c r="AF144" s="97">
        <f t="shared" si="116"/>
        <v>-25780.661757435366</v>
      </c>
      <c r="AG144" s="97">
        <f t="shared" si="116"/>
        <v>-25780.661757435366</v>
      </c>
      <c r="AH144" s="97">
        <f t="shared" si="116"/>
        <v>-25780.661757435366</v>
      </c>
      <c r="AI144" s="97">
        <f t="shared" si="116"/>
        <v>-25780.661757435366</v>
      </c>
      <c r="AJ144" s="97">
        <f t="shared" si="116"/>
        <v>-25780.661757435366</v>
      </c>
      <c r="AK144" s="97">
        <f t="shared" si="116"/>
        <v>-25780.661757435366</v>
      </c>
      <c r="AL144" s="97">
        <f t="shared" si="116"/>
        <v>-25780.661757435366</v>
      </c>
      <c r="AM144" s="97">
        <f t="shared" si="116"/>
        <v>-25780.661757435366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-1861437.8017177756</v>
      </c>
      <c r="L145" s="54">
        <f t="shared" si="114"/>
        <v>-5199803.1278062956</v>
      </c>
      <c r="M145" s="1"/>
      <c r="N145" s="1"/>
      <c r="O145" s="97">
        <f t="shared" ref="O145:AM145" si="117">O106</f>
        <v>-133744.04862320219</v>
      </c>
      <c r="P145" s="97">
        <f t="shared" si="117"/>
        <v>-209642.38925409873</v>
      </c>
      <c r="Q145" s="97">
        <f t="shared" si="117"/>
        <v>-216727.75962784194</v>
      </c>
      <c r="R145" s="97">
        <f t="shared" si="117"/>
        <v>-209505.5007845902</v>
      </c>
      <c r="S145" s="97">
        <f t="shared" si="117"/>
        <v>-210581.41115833347</v>
      </c>
      <c r="T145" s="97">
        <f t="shared" si="117"/>
        <v>-215378.07231508166</v>
      </c>
      <c r="U145" s="97">
        <f t="shared" si="117"/>
        <v>-210444.52268882497</v>
      </c>
      <c r="V145" s="97">
        <f t="shared" si="117"/>
        <v>-215241.18384557316</v>
      </c>
      <c r="W145" s="97">
        <f t="shared" si="117"/>
        <v>-210307.63421931647</v>
      </c>
      <c r="X145" s="97">
        <f t="shared" si="117"/>
        <v>-209094.8353760647</v>
      </c>
      <c r="Y145" s="97">
        <f t="shared" si="117"/>
        <v>-216180.20574980794</v>
      </c>
      <c r="Z145" s="97">
        <f t="shared" si="117"/>
        <v>-208957.94690655617</v>
      </c>
      <c r="AA145" s="97">
        <f t="shared" si="117"/>
        <v>-216043.31728029941</v>
      </c>
      <c r="AB145" s="97">
        <f t="shared" si="117"/>
        <v>-208821.05843704767</v>
      </c>
      <c r="AC145" s="97">
        <f t="shared" si="117"/>
        <v>-209896.96881079095</v>
      </c>
      <c r="AD145" s="97">
        <f t="shared" si="117"/>
        <v>-214693.62996753913</v>
      </c>
      <c r="AE145" s="97">
        <f t="shared" si="117"/>
        <v>-209760.08034128245</v>
      </c>
      <c r="AF145" s="97">
        <f t="shared" si="117"/>
        <v>-214556.74149803063</v>
      </c>
      <c r="AG145" s="97">
        <f t="shared" si="117"/>
        <v>-209623.19187177395</v>
      </c>
      <c r="AH145" s="97">
        <f t="shared" si="117"/>
        <v>-208410.39302852217</v>
      </c>
      <c r="AI145" s="97">
        <f t="shared" si="117"/>
        <v>-215495.76340226538</v>
      </c>
      <c r="AJ145" s="97">
        <f t="shared" si="117"/>
        <v>-208273.50455901364</v>
      </c>
      <c r="AK145" s="97">
        <f t="shared" si="117"/>
        <v>-215358.87493275688</v>
      </c>
      <c r="AL145" s="97">
        <f t="shared" si="117"/>
        <v>-208136.61608950514</v>
      </c>
      <c r="AM145" s="97">
        <f t="shared" si="117"/>
        <v>-194927.47703817568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-298507.50666829536</v>
      </c>
      <c r="L146" s="54">
        <f t="shared" si="114"/>
        <v>-852723.90605832206</v>
      </c>
      <c r="M146" s="1"/>
      <c r="N146" s="1"/>
      <c r="O146" s="54">
        <f t="shared" ref="O146:AM146" si="118">MIN(O117,0)</f>
        <v>-11681.149398059199</v>
      </c>
      <c r="P146" s="54">
        <f t="shared" si="118"/>
        <v>-35043.448194177632</v>
      </c>
      <c r="Q146" s="54">
        <f t="shared" si="118"/>
        <v>-35043.448194177632</v>
      </c>
      <c r="R146" s="54">
        <f t="shared" si="118"/>
        <v>-35043.448194177632</v>
      </c>
      <c r="S146" s="54">
        <f t="shared" si="118"/>
        <v>-35043.448194177632</v>
      </c>
      <c r="T146" s="54">
        <f t="shared" si="118"/>
        <v>-35043.448194177632</v>
      </c>
      <c r="U146" s="54">
        <f t="shared" si="118"/>
        <v>-35043.448194177632</v>
      </c>
      <c r="V146" s="54">
        <f t="shared" si="118"/>
        <v>-35043.448194177632</v>
      </c>
      <c r="W146" s="54">
        <f t="shared" si="118"/>
        <v>-35043.448194177632</v>
      </c>
      <c r="X146" s="54">
        <f t="shared" si="118"/>
        <v>-35043.448194177632</v>
      </c>
      <c r="Y146" s="54">
        <f t="shared" si="118"/>
        <v>-35043.448194177632</v>
      </c>
      <c r="Z146" s="54">
        <f t="shared" si="118"/>
        <v>-35043.448194177632</v>
      </c>
      <c r="AA146" s="54">
        <f t="shared" si="118"/>
        <v>-35043.448194177632</v>
      </c>
      <c r="AB146" s="54">
        <f t="shared" si="118"/>
        <v>-35043.448194177632</v>
      </c>
      <c r="AC146" s="54">
        <f t="shared" si="118"/>
        <v>-35043.448194177632</v>
      </c>
      <c r="AD146" s="54">
        <f t="shared" si="118"/>
        <v>-35043.448194177632</v>
      </c>
      <c r="AE146" s="54">
        <f t="shared" si="118"/>
        <v>-35043.448194177632</v>
      </c>
      <c r="AF146" s="54">
        <f t="shared" si="118"/>
        <v>-35043.448194177632</v>
      </c>
      <c r="AG146" s="54">
        <f t="shared" si="118"/>
        <v>-35043.448194177632</v>
      </c>
      <c r="AH146" s="54">
        <f t="shared" si="118"/>
        <v>-35043.448194177632</v>
      </c>
      <c r="AI146" s="54">
        <f t="shared" si="118"/>
        <v>-35043.448194177632</v>
      </c>
      <c r="AJ146" s="54">
        <f t="shared" si="118"/>
        <v>-35043.448194177632</v>
      </c>
      <c r="AK146" s="54">
        <f t="shared" si="118"/>
        <v>-35043.448194177632</v>
      </c>
      <c r="AL146" s="54">
        <f t="shared" si="118"/>
        <v>-35043.448194177632</v>
      </c>
      <c r="AM146" s="54">
        <f t="shared" si="118"/>
        <v>-35043.448194177632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114"/>
        <v>0</v>
      </c>
      <c r="M147" s="1"/>
      <c r="N147" s="1"/>
      <c r="O147" s="54">
        <f t="shared" ref="O147:AM147" si="119">O49</f>
        <v>0</v>
      </c>
      <c r="P147" s="54">
        <f t="shared" si="119"/>
        <v>0</v>
      </c>
      <c r="Q147" s="54">
        <f t="shared" si="119"/>
        <v>0</v>
      </c>
      <c r="R147" s="54">
        <f t="shared" si="119"/>
        <v>0</v>
      </c>
      <c r="S147" s="54">
        <f t="shared" si="119"/>
        <v>0</v>
      </c>
      <c r="T147" s="54">
        <f t="shared" si="119"/>
        <v>0</v>
      </c>
      <c r="U147" s="54">
        <f t="shared" si="119"/>
        <v>0</v>
      </c>
      <c r="V147" s="54">
        <f t="shared" si="119"/>
        <v>0</v>
      </c>
      <c r="W147" s="54">
        <f t="shared" si="119"/>
        <v>0</v>
      </c>
      <c r="X147" s="54">
        <f t="shared" si="119"/>
        <v>0</v>
      </c>
      <c r="Y147" s="54">
        <f t="shared" si="119"/>
        <v>0</v>
      </c>
      <c r="Z147" s="54">
        <f t="shared" si="119"/>
        <v>0</v>
      </c>
      <c r="AA147" s="54">
        <f t="shared" si="119"/>
        <v>0</v>
      </c>
      <c r="AB147" s="54">
        <f t="shared" si="119"/>
        <v>0</v>
      </c>
      <c r="AC147" s="54">
        <f t="shared" si="119"/>
        <v>0</v>
      </c>
      <c r="AD147" s="54">
        <f t="shared" si="119"/>
        <v>0</v>
      </c>
      <c r="AE147" s="54">
        <f t="shared" si="119"/>
        <v>0</v>
      </c>
      <c r="AF147" s="54">
        <f t="shared" si="119"/>
        <v>0</v>
      </c>
      <c r="AG147" s="54">
        <f t="shared" si="119"/>
        <v>0</v>
      </c>
      <c r="AH147" s="54">
        <f t="shared" si="119"/>
        <v>0</v>
      </c>
      <c r="AI147" s="54">
        <f t="shared" si="119"/>
        <v>0</v>
      </c>
      <c r="AJ147" s="54">
        <f t="shared" si="119"/>
        <v>0</v>
      </c>
      <c r="AK147" s="54">
        <f t="shared" si="119"/>
        <v>0</v>
      </c>
      <c r="AL147" s="54">
        <f t="shared" si="119"/>
        <v>0</v>
      </c>
      <c r="AM147" s="54">
        <f t="shared" si="119"/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120">SUM(K143:K147)</f>
        <v>1507266.0528318556</v>
      </c>
      <c r="L148" s="115">
        <f t="shared" si="120"/>
        <v>4423319.3901721947</v>
      </c>
      <c r="M148" s="1"/>
      <c r="N148" s="1"/>
      <c r="O148" s="334">
        <f t="shared" ref="O148:AM148" si="121">SUM(O143:O147)</f>
        <v>-1920.4524865107014</v>
      </c>
      <c r="P148" s="334">
        <f t="shared" si="121"/>
        <v>185828.39915597619</v>
      </c>
      <c r="Q148" s="116">
        <f t="shared" si="121"/>
        <v>178743.02878223296</v>
      </c>
      <c r="R148" s="116">
        <f t="shared" si="121"/>
        <v>185965.28762548469</v>
      </c>
      <c r="S148" s="116">
        <f t="shared" si="121"/>
        <v>184889.37725174142</v>
      </c>
      <c r="T148" s="116">
        <f t="shared" si="121"/>
        <v>180092.71609499323</v>
      </c>
      <c r="U148" s="116">
        <f t="shared" si="121"/>
        <v>185026.26572124992</v>
      </c>
      <c r="V148" s="116">
        <f t="shared" si="121"/>
        <v>180229.60456450173</v>
      </c>
      <c r="W148" s="116">
        <f t="shared" si="121"/>
        <v>185163.15419075842</v>
      </c>
      <c r="X148" s="116">
        <f t="shared" si="121"/>
        <v>186375.95303401019</v>
      </c>
      <c r="Y148" s="116">
        <f t="shared" si="121"/>
        <v>179290.58266026695</v>
      </c>
      <c r="Z148" s="116">
        <f t="shared" si="121"/>
        <v>186512.84150351875</v>
      </c>
      <c r="AA148" s="116">
        <f t="shared" si="121"/>
        <v>179427.47112977551</v>
      </c>
      <c r="AB148" s="116">
        <f t="shared" si="121"/>
        <v>186649.72997302725</v>
      </c>
      <c r="AC148" s="116">
        <f t="shared" si="121"/>
        <v>185573.81959928398</v>
      </c>
      <c r="AD148" s="116">
        <f t="shared" si="121"/>
        <v>180777.15844253579</v>
      </c>
      <c r="AE148" s="116">
        <f t="shared" si="121"/>
        <v>185710.70806879248</v>
      </c>
      <c r="AF148" s="116">
        <f t="shared" si="121"/>
        <v>180914.04691204429</v>
      </c>
      <c r="AG148" s="116">
        <f t="shared" si="121"/>
        <v>185847.59653830098</v>
      </c>
      <c r="AH148" s="116">
        <f t="shared" si="121"/>
        <v>187060.39538155275</v>
      </c>
      <c r="AI148" s="116">
        <f t="shared" si="121"/>
        <v>179975.02500780951</v>
      </c>
      <c r="AJ148" s="116">
        <f t="shared" si="121"/>
        <v>187197.28385106125</v>
      </c>
      <c r="AK148" s="116">
        <f t="shared" si="121"/>
        <v>180111.91347731801</v>
      </c>
      <c r="AL148" s="116">
        <f t="shared" si="121"/>
        <v>187334.17232056975</v>
      </c>
      <c r="AM148" s="116">
        <f t="shared" si="121"/>
        <v>200543.31137189921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>
        <f t="shared" ref="K149:L149" si="122">IFERROR(K148/(K143+K144),"nd")</f>
        <v>0.41101150284702265</v>
      </c>
      <c r="L149" s="118">
        <f t="shared" si="122"/>
        <v>0.42223980871110289</v>
      </c>
      <c r="M149" s="1"/>
      <c r="N149" s="1"/>
      <c r="O149" s="335">
        <f t="shared" ref="O149:AM149" si="123">IFERROR((O148-O146)/(O143+O144),"nd")</f>
        <v>6.8016544506431492E-2</v>
      </c>
      <c r="P149" s="335">
        <f t="shared" si="123"/>
        <v>0.51304191260273901</v>
      </c>
      <c r="Q149" s="119">
        <f t="shared" si="123"/>
        <v>0.4965839890979783</v>
      </c>
      <c r="R149" s="119">
        <f t="shared" si="123"/>
        <v>0.51335987762658641</v>
      </c>
      <c r="S149" s="119">
        <f t="shared" si="123"/>
        <v>0.51086074918375091</v>
      </c>
      <c r="T149" s="119">
        <f t="shared" si="123"/>
        <v>0.49971904758850849</v>
      </c>
      <c r="U149" s="119">
        <f t="shared" si="123"/>
        <v>0.51117871420759831</v>
      </c>
      <c r="V149" s="119">
        <f t="shared" si="123"/>
        <v>0.50003701261235589</v>
      </c>
      <c r="W149" s="119">
        <f t="shared" si="123"/>
        <v>0.51149667923144571</v>
      </c>
      <c r="X149" s="119">
        <f t="shared" si="123"/>
        <v>0.5143137726981285</v>
      </c>
      <c r="Y149" s="119">
        <f t="shared" si="123"/>
        <v>0.49785584919336778</v>
      </c>
      <c r="Z149" s="119">
        <f t="shared" si="123"/>
        <v>0.51463173772197601</v>
      </c>
      <c r="AA149" s="119">
        <f t="shared" si="123"/>
        <v>0.49817381421721524</v>
      </c>
      <c r="AB149" s="119">
        <f t="shared" si="123"/>
        <v>0.5149497027458233</v>
      </c>
      <c r="AC149" s="119">
        <f t="shared" si="123"/>
        <v>0.5124505743029879</v>
      </c>
      <c r="AD149" s="119">
        <f t="shared" si="123"/>
        <v>0.50130887270774538</v>
      </c>
      <c r="AE149" s="119">
        <f t="shared" si="123"/>
        <v>0.51276853932683519</v>
      </c>
      <c r="AF149" s="119">
        <f t="shared" si="123"/>
        <v>0.50162683773159278</v>
      </c>
      <c r="AG149" s="119">
        <f t="shared" si="123"/>
        <v>0.51308650435068259</v>
      </c>
      <c r="AH149" s="119">
        <f t="shared" si="123"/>
        <v>0.51590359781736539</v>
      </c>
      <c r="AI149" s="119">
        <f t="shared" si="123"/>
        <v>0.49944567431260473</v>
      </c>
      <c r="AJ149" s="119">
        <f t="shared" si="123"/>
        <v>0.51622156284121279</v>
      </c>
      <c r="AK149" s="119">
        <f t="shared" si="123"/>
        <v>0.49976363933645207</v>
      </c>
      <c r="AL149" s="119">
        <f t="shared" si="123"/>
        <v>0.51653952786506019</v>
      </c>
      <c r="AM149" s="119">
        <f t="shared" si="123"/>
        <v>0.54722176303460668</v>
      </c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124">SUM(K151:K152)</f>
        <v>-1507266.0528318561</v>
      </c>
      <c r="L150" s="69">
        <f t="shared" si="124"/>
        <v>-2940353.3879744117</v>
      </c>
      <c r="M150" s="1"/>
      <c r="N150" s="1"/>
      <c r="O150" s="69">
        <f t="shared" ref="O150:AM150" si="125">SUM(O151:O152)</f>
        <v>-946074.70236035262</v>
      </c>
      <c r="P150" s="69">
        <f t="shared" si="125"/>
        <v>0</v>
      </c>
      <c r="Q150" s="69">
        <f t="shared" si="125"/>
        <v>0</v>
      </c>
      <c r="R150" s="69">
        <f t="shared" si="125"/>
        <v>0</v>
      </c>
      <c r="S150" s="69">
        <f t="shared" si="125"/>
        <v>-401836.91962439282</v>
      </c>
      <c r="T150" s="69">
        <f t="shared" si="125"/>
        <v>0</v>
      </c>
      <c r="U150" s="69">
        <f t="shared" si="125"/>
        <v>0</v>
      </c>
      <c r="V150" s="69">
        <f t="shared" si="125"/>
        <v>-36027.434344636582</v>
      </c>
      <c r="W150" s="69">
        <f t="shared" si="125"/>
        <v>-53019.312724472242</v>
      </c>
      <c r="X150" s="69">
        <f t="shared" si="125"/>
        <v>0</v>
      </c>
      <c r="Y150" s="69">
        <f t="shared" si="125"/>
        <v>-399104.97311353683</v>
      </c>
      <c r="Z150" s="69">
        <f t="shared" si="125"/>
        <v>0</v>
      </c>
      <c r="AA150" s="69">
        <f t="shared" si="125"/>
        <v>-175620.45897219155</v>
      </c>
      <c r="AB150" s="69">
        <f t="shared" si="125"/>
        <v>0</v>
      </c>
      <c r="AC150" s="69">
        <f t="shared" si="125"/>
        <v>0</v>
      </c>
      <c r="AD150" s="69">
        <f t="shared" si="125"/>
        <v>-435093.19054432254</v>
      </c>
      <c r="AE150" s="69">
        <f t="shared" si="125"/>
        <v>-8327.0595970052218</v>
      </c>
      <c r="AF150" s="69">
        <f t="shared" si="125"/>
        <v>-44731.4700413178</v>
      </c>
      <c r="AG150" s="69">
        <f t="shared" si="125"/>
        <v>0</v>
      </c>
      <c r="AH150" s="69">
        <f t="shared" si="125"/>
        <v>0</v>
      </c>
      <c r="AI150" s="69">
        <f t="shared" si="125"/>
        <v>-401797.70271054201</v>
      </c>
      <c r="AJ150" s="69">
        <f t="shared" si="125"/>
        <v>0</v>
      </c>
      <c r="AK150" s="69">
        <f t="shared" si="125"/>
        <v>-36027.434344636582</v>
      </c>
      <c r="AL150" s="69">
        <f t="shared" si="125"/>
        <v>0</v>
      </c>
      <c r="AM150" s="69">
        <f t="shared" si="125"/>
        <v>-2692.7295970052223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-1477872.6740338402</v>
      </c>
      <c r="L151" s="97">
        <f t="shared" ref="L151:L152" si="126">SUM(O151:AV151)</f>
        <v>-2908040.6328103491</v>
      </c>
      <c r="M151" s="1"/>
      <c r="N151" s="1"/>
      <c r="O151" s="97">
        <f>-O29</f>
        <v>-913761.9471962899</v>
      </c>
      <c r="P151" s="97">
        <f t="shared" ref="P151:AM151" si="127">-P29</f>
        <v>0</v>
      </c>
      <c r="Q151" s="97">
        <f t="shared" si="127"/>
        <v>0</v>
      </c>
      <c r="R151" s="97">
        <f t="shared" si="127"/>
        <v>0</v>
      </c>
      <c r="S151" s="97">
        <f t="shared" si="127"/>
        <v>-401836.91962439282</v>
      </c>
      <c r="T151" s="97">
        <f t="shared" si="127"/>
        <v>0</v>
      </c>
      <c r="U151" s="97">
        <f t="shared" si="127"/>
        <v>0</v>
      </c>
      <c r="V151" s="97">
        <f t="shared" si="127"/>
        <v>-36027.434344636582</v>
      </c>
      <c r="W151" s="97">
        <f t="shared" si="127"/>
        <v>-53019.312724472242</v>
      </c>
      <c r="X151" s="97">
        <f t="shared" si="127"/>
        <v>0</v>
      </c>
      <c r="Y151" s="97">
        <f t="shared" si="127"/>
        <v>-399104.97311353683</v>
      </c>
      <c r="Z151" s="97">
        <f t="shared" si="127"/>
        <v>0</v>
      </c>
      <c r="AA151" s="97">
        <f t="shared" si="127"/>
        <v>-175620.45897219155</v>
      </c>
      <c r="AB151" s="97">
        <f t="shared" si="127"/>
        <v>0</v>
      </c>
      <c r="AC151" s="97">
        <f t="shared" si="127"/>
        <v>0</v>
      </c>
      <c r="AD151" s="97">
        <f t="shared" si="127"/>
        <v>-435093.19054432254</v>
      </c>
      <c r="AE151" s="97">
        <f t="shared" si="127"/>
        <v>-8327.0595970052218</v>
      </c>
      <c r="AF151" s="97">
        <f t="shared" si="127"/>
        <v>-44731.4700413178</v>
      </c>
      <c r="AG151" s="97">
        <f t="shared" si="127"/>
        <v>0</v>
      </c>
      <c r="AH151" s="97">
        <f t="shared" si="127"/>
        <v>0</v>
      </c>
      <c r="AI151" s="97">
        <f t="shared" si="127"/>
        <v>-401797.70271054201</v>
      </c>
      <c r="AJ151" s="97">
        <f t="shared" si="127"/>
        <v>0</v>
      </c>
      <c r="AK151" s="97">
        <f t="shared" si="127"/>
        <v>-36027.434344636582</v>
      </c>
      <c r="AL151" s="97">
        <f t="shared" si="127"/>
        <v>0</v>
      </c>
      <c r="AM151" s="97">
        <f t="shared" si="127"/>
        <v>-2692.7295970052223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-29393.378798015983</v>
      </c>
      <c r="L152" s="54">
        <f t="shared" si="126"/>
        <v>-32312.755164062666</v>
      </c>
      <c r="M152" s="1"/>
      <c r="N152" s="1"/>
      <c r="O152" s="97">
        <f t="shared" ref="O152:AM152" si="128">-O41</f>
        <v>-32312.755164062666</v>
      </c>
      <c r="P152" s="97">
        <f t="shared" si="128"/>
        <v>0</v>
      </c>
      <c r="Q152" s="97">
        <f t="shared" si="128"/>
        <v>0</v>
      </c>
      <c r="R152" s="97">
        <f t="shared" si="128"/>
        <v>0</v>
      </c>
      <c r="S152" s="97">
        <f t="shared" si="128"/>
        <v>0</v>
      </c>
      <c r="T152" s="97">
        <f t="shared" si="128"/>
        <v>0</v>
      </c>
      <c r="U152" s="97">
        <f t="shared" si="128"/>
        <v>0</v>
      </c>
      <c r="V152" s="97">
        <f t="shared" si="128"/>
        <v>0</v>
      </c>
      <c r="W152" s="97">
        <f t="shared" si="128"/>
        <v>0</v>
      </c>
      <c r="X152" s="97">
        <f t="shared" si="128"/>
        <v>0</v>
      </c>
      <c r="Y152" s="97">
        <f t="shared" si="128"/>
        <v>0</v>
      </c>
      <c r="Z152" s="97">
        <f t="shared" si="128"/>
        <v>0</v>
      </c>
      <c r="AA152" s="97">
        <f t="shared" si="128"/>
        <v>0</v>
      </c>
      <c r="AB152" s="97">
        <f t="shared" si="128"/>
        <v>0</v>
      </c>
      <c r="AC152" s="97">
        <f t="shared" si="128"/>
        <v>0</v>
      </c>
      <c r="AD152" s="97">
        <f t="shared" si="128"/>
        <v>0</v>
      </c>
      <c r="AE152" s="97">
        <f t="shared" si="128"/>
        <v>0</v>
      </c>
      <c r="AF152" s="97">
        <f t="shared" si="128"/>
        <v>0</v>
      </c>
      <c r="AG152" s="97">
        <f t="shared" si="128"/>
        <v>0</v>
      </c>
      <c r="AH152" s="97">
        <f t="shared" si="128"/>
        <v>0</v>
      </c>
      <c r="AI152" s="97">
        <f t="shared" si="128"/>
        <v>0</v>
      </c>
      <c r="AJ152" s="97">
        <f t="shared" si="128"/>
        <v>0</v>
      </c>
      <c r="AK152" s="97">
        <f t="shared" si="128"/>
        <v>0</v>
      </c>
      <c r="AL152" s="97">
        <f t="shared" si="128"/>
        <v>0</v>
      </c>
      <c r="AM152" s="97">
        <f t="shared" si="128"/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129">K148+K150</f>
        <v>0</v>
      </c>
      <c r="L153" s="115">
        <f t="shared" si="129"/>
        <v>1482966.002197783</v>
      </c>
      <c r="M153" s="1"/>
      <c r="N153" s="1"/>
      <c r="O153" s="116">
        <f t="shared" ref="O153:AM153" si="130">O148+O150</f>
        <v>-947995.15484686336</v>
      </c>
      <c r="P153" s="116">
        <f t="shared" si="130"/>
        <v>185828.39915597619</v>
      </c>
      <c r="Q153" s="116">
        <f t="shared" si="130"/>
        <v>178743.02878223296</v>
      </c>
      <c r="R153" s="116">
        <f t="shared" si="130"/>
        <v>185965.28762548469</v>
      </c>
      <c r="S153" s="116">
        <f t="shared" si="130"/>
        <v>-216947.5423726514</v>
      </c>
      <c r="T153" s="116">
        <f t="shared" si="130"/>
        <v>180092.71609499323</v>
      </c>
      <c r="U153" s="116">
        <f t="shared" si="130"/>
        <v>185026.26572124992</v>
      </c>
      <c r="V153" s="116">
        <f t="shared" si="130"/>
        <v>144202.17021986516</v>
      </c>
      <c r="W153" s="116">
        <f t="shared" si="130"/>
        <v>132143.84146628616</v>
      </c>
      <c r="X153" s="116">
        <f t="shared" si="130"/>
        <v>186375.95303401019</v>
      </c>
      <c r="Y153" s="116">
        <f t="shared" si="130"/>
        <v>-219814.39045326988</v>
      </c>
      <c r="Z153" s="116">
        <f t="shared" si="130"/>
        <v>186512.84150351875</v>
      </c>
      <c r="AA153" s="116">
        <f t="shared" si="130"/>
        <v>3807.0121575839585</v>
      </c>
      <c r="AB153" s="116">
        <f t="shared" si="130"/>
        <v>186649.72997302725</v>
      </c>
      <c r="AC153" s="116">
        <f t="shared" si="130"/>
        <v>185573.81959928398</v>
      </c>
      <c r="AD153" s="116">
        <f t="shared" si="130"/>
        <v>-254316.03210178675</v>
      </c>
      <c r="AE153" s="116">
        <f t="shared" si="130"/>
        <v>177383.64847178725</v>
      </c>
      <c r="AF153" s="116">
        <f t="shared" si="130"/>
        <v>136182.57687072648</v>
      </c>
      <c r="AG153" s="116">
        <f t="shared" si="130"/>
        <v>185847.59653830098</v>
      </c>
      <c r="AH153" s="116">
        <f t="shared" si="130"/>
        <v>187060.39538155275</v>
      </c>
      <c r="AI153" s="116">
        <f t="shared" si="130"/>
        <v>-221822.6777027325</v>
      </c>
      <c r="AJ153" s="116">
        <f t="shared" si="130"/>
        <v>187197.28385106125</v>
      </c>
      <c r="AK153" s="116">
        <f t="shared" si="130"/>
        <v>144084.47913268144</v>
      </c>
      <c r="AL153" s="116">
        <f t="shared" si="130"/>
        <v>187334.17232056975</v>
      </c>
      <c r="AM153" s="116">
        <f t="shared" si="130"/>
        <v>197850.58177489397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131">SUM($O153:O153)</f>
        <v>-947995.15484686336</v>
      </c>
      <c r="P154" s="125">
        <f t="shared" si="131"/>
        <v>-762166.7556908871</v>
      </c>
      <c r="Q154" s="125">
        <f t="shared" si="131"/>
        <v>-583423.72690865421</v>
      </c>
      <c r="R154" s="125">
        <f t="shared" si="131"/>
        <v>-397458.43928316951</v>
      </c>
      <c r="S154" s="125">
        <f t="shared" si="131"/>
        <v>-614405.98165582097</v>
      </c>
      <c r="T154" s="125">
        <f t="shared" si="131"/>
        <v>-434313.26556082774</v>
      </c>
      <c r="U154" s="125">
        <f t="shared" si="131"/>
        <v>-249286.99983957782</v>
      </c>
      <c r="V154" s="125">
        <f t="shared" si="131"/>
        <v>-105084.82961971266</v>
      </c>
      <c r="W154" s="125">
        <f t="shared" si="131"/>
        <v>27059.011846573499</v>
      </c>
      <c r="X154" s="125">
        <f t="shared" si="131"/>
        <v>213434.96488058369</v>
      </c>
      <c r="Y154" s="125">
        <f t="shared" si="131"/>
        <v>-6379.4255726861884</v>
      </c>
      <c r="Z154" s="125">
        <f t="shared" si="131"/>
        <v>180133.41593083256</v>
      </c>
      <c r="AA154" s="125">
        <f t="shared" si="131"/>
        <v>183940.42808841652</v>
      </c>
      <c r="AB154" s="125">
        <f t="shared" si="131"/>
        <v>370590.15806144377</v>
      </c>
      <c r="AC154" s="125">
        <f t="shared" si="131"/>
        <v>556163.97766072769</v>
      </c>
      <c r="AD154" s="125">
        <f t="shared" si="131"/>
        <v>301847.94555894093</v>
      </c>
      <c r="AE154" s="125">
        <f t="shared" si="131"/>
        <v>479231.59403072821</v>
      </c>
      <c r="AF154" s="125">
        <f t="shared" si="131"/>
        <v>615414.17090145475</v>
      </c>
      <c r="AG154" s="125">
        <f t="shared" si="131"/>
        <v>801261.76743975573</v>
      </c>
      <c r="AH154" s="125">
        <f t="shared" si="131"/>
        <v>988322.16282130848</v>
      </c>
      <c r="AI154" s="125">
        <f t="shared" si="131"/>
        <v>766499.48511857598</v>
      </c>
      <c r="AJ154" s="125">
        <f t="shared" si="131"/>
        <v>953696.76896963723</v>
      </c>
      <c r="AK154" s="125">
        <f t="shared" si="131"/>
        <v>1097781.2481023187</v>
      </c>
      <c r="AL154" s="125">
        <f t="shared" si="131"/>
        <v>1285115.4204228884</v>
      </c>
      <c r="AM154" s="125">
        <f t="shared" si="131"/>
        <v>1482966.0021977823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9.9320884002751519E-2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-1.3568115848728558E-10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-947995.15484686336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132">IF(O154&lt;0,1,0)</f>
        <v>1</v>
      </c>
      <c r="P160" s="131">
        <f t="shared" si="132"/>
        <v>1</v>
      </c>
      <c r="Q160" s="131">
        <f t="shared" si="132"/>
        <v>1</v>
      </c>
      <c r="R160" s="131">
        <f t="shared" si="132"/>
        <v>1</v>
      </c>
      <c r="S160" s="131">
        <f t="shared" si="132"/>
        <v>1</v>
      </c>
      <c r="T160" s="131">
        <f t="shared" si="132"/>
        <v>1</v>
      </c>
      <c r="U160" s="131">
        <f t="shared" si="132"/>
        <v>1</v>
      </c>
      <c r="V160" s="131">
        <f t="shared" si="132"/>
        <v>1</v>
      </c>
      <c r="W160" s="131">
        <f t="shared" si="132"/>
        <v>0</v>
      </c>
      <c r="X160" s="131">
        <f t="shared" si="132"/>
        <v>0</v>
      </c>
      <c r="Y160" s="131">
        <f t="shared" si="132"/>
        <v>1</v>
      </c>
      <c r="Z160" s="131">
        <f t="shared" si="132"/>
        <v>0</v>
      </c>
      <c r="AA160" s="131">
        <f t="shared" si="132"/>
        <v>0</v>
      </c>
      <c r="AB160" s="131">
        <f t="shared" si="132"/>
        <v>0</v>
      </c>
      <c r="AC160" s="131">
        <f t="shared" si="132"/>
        <v>0</v>
      </c>
      <c r="AD160" s="131">
        <f t="shared" si="132"/>
        <v>0</v>
      </c>
      <c r="AE160" s="131">
        <f t="shared" si="132"/>
        <v>0</v>
      </c>
      <c r="AF160" s="131">
        <f t="shared" si="132"/>
        <v>0</v>
      </c>
      <c r="AG160" s="131">
        <f t="shared" si="132"/>
        <v>0</v>
      </c>
      <c r="AH160" s="131">
        <f t="shared" si="132"/>
        <v>0</v>
      </c>
      <c r="AI160" s="131">
        <f t="shared" si="132"/>
        <v>0</v>
      </c>
      <c r="AJ160" s="131">
        <f t="shared" si="132"/>
        <v>0</v>
      </c>
      <c r="AK160" s="131">
        <f t="shared" si="132"/>
        <v>0</v>
      </c>
      <c r="AL160" s="131">
        <f t="shared" si="132"/>
        <v>0</v>
      </c>
      <c r="AM160" s="131">
        <f t="shared" si="132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133">SUM(O162:AM162)</f>
        <v>-108586.27039293163</v>
      </c>
      <c r="M162" s="1"/>
      <c r="N162" s="1"/>
      <c r="O162" s="329">
        <f>SUM(O163:O167)</f>
        <v>508651.43968705181</v>
      </c>
      <c r="P162" s="357">
        <f t="shared" ref="P162:AM162" si="134">SUM(P163:P167)</f>
        <v>-114496.32320068951</v>
      </c>
      <c r="Q162" s="357">
        <f t="shared" si="134"/>
        <v>-109846.9745924126</v>
      </c>
      <c r="R162" s="357">
        <f t="shared" si="134"/>
        <v>-105197.6259841357</v>
      </c>
      <c r="S162" s="357">
        <f t="shared" si="134"/>
        <v>-100548.27737585879</v>
      </c>
      <c r="T162" s="357">
        <f t="shared" si="134"/>
        <v>-95898.928767581892</v>
      </c>
      <c r="U162" s="357">
        <f t="shared" si="134"/>
        <v>-91249.580159304969</v>
      </c>
      <c r="V162" s="357">
        <f t="shared" si="134"/>
        <v>-4.4486951082944876E-12</v>
      </c>
      <c r="W162" s="357">
        <f t="shared" si="134"/>
        <v>-4.4486951082944876E-12</v>
      </c>
      <c r="X162" s="357">
        <f t="shared" si="134"/>
        <v>-4.4486951082944876E-12</v>
      </c>
      <c r="Y162" s="357">
        <f t="shared" si="134"/>
        <v>-4.4486951082944876E-12</v>
      </c>
      <c r="Z162" s="357">
        <f t="shared" si="134"/>
        <v>-4.4486951082944876E-12</v>
      </c>
      <c r="AA162" s="357">
        <f t="shared" si="134"/>
        <v>-4.4486951082944876E-12</v>
      </c>
      <c r="AB162" s="357">
        <f t="shared" si="134"/>
        <v>-4.4486951082944876E-12</v>
      </c>
      <c r="AC162" s="357">
        <f t="shared" si="134"/>
        <v>-4.4486951082944876E-12</v>
      </c>
      <c r="AD162" s="357">
        <f t="shared" si="134"/>
        <v>-4.4486951082944876E-12</v>
      </c>
      <c r="AE162" s="357">
        <f t="shared" si="134"/>
        <v>-4.4486951082944876E-12</v>
      </c>
      <c r="AF162" s="357">
        <f t="shared" si="134"/>
        <v>-4.4486951082944876E-12</v>
      </c>
      <c r="AG162" s="357">
        <f t="shared" si="134"/>
        <v>-4.4486951082944876E-12</v>
      </c>
      <c r="AH162" s="357">
        <f t="shared" si="134"/>
        <v>-4.4486951082944876E-12</v>
      </c>
      <c r="AI162" s="357">
        <f t="shared" si="134"/>
        <v>-4.4486951082944876E-12</v>
      </c>
      <c r="AJ162" s="357">
        <f t="shared" si="134"/>
        <v>-4.4486951082944876E-12</v>
      </c>
      <c r="AK162" s="357">
        <f t="shared" si="134"/>
        <v>-4.4486951082944876E-12</v>
      </c>
      <c r="AL162" s="357">
        <f t="shared" si="134"/>
        <v>-4.4486951082944876E-12</v>
      </c>
      <c r="AM162" s="357">
        <f t="shared" si="134"/>
        <v>-4.4486951082944876E-12</v>
      </c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customHeight="1" x14ac:dyDescent="0.3">
      <c r="A163" s="131"/>
      <c r="B163" s="352" t="s">
        <v>5175</v>
      </c>
      <c r="C163" s="352"/>
      <c r="D163" s="352"/>
      <c r="E163" s="352"/>
      <c r="F163" s="352"/>
      <c r="G163" s="350">
        <v>1</v>
      </c>
      <c r="H163" s="350">
        <v>1</v>
      </c>
      <c r="I163" s="350">
        <f>$L$30*WACC!$D$31</f>
        <v>547497.48095582984</v>
      </c>
      <c r="J163" s="350"/>
      <c r="K163" s="350"/>
      <c r="L163" s="350">
        <f t="shared" si="133"/>
        <v>547497.48095582984</v>
      </c>
      <c r="M163" s="1"/>
      <c r="N163" s="1"/>
      <c r="O163" s="350">
        <f>IF(AND($G163&lt;=O$3,O$3&lt;=$H163),$I163/($H163-$G163+1),0)</f>
        <v>547497.48095582984</v>
      </c>
      <c r="P163" s="350">
        <f>IF(AND($G163&lt;=P$3,P$3&lt;=$H163),$I163/($H163-$G163+1),0)</f>
        <v>0</v>
      </c>
      <c r="Q163" s="350">
        <f t="shared" ref="Q163:AM163" si="135">IF(AND($G163&lt;=Q$3,Q$3&lt;=$H163),$I163/($H163-$G163+1),0)</f>
        <v>0</v>
      </c>
      <c r="R163" s="350">
        <f t="shared" si="135"/>
        <v>0</v>
      </c>
      <c r="S163" s="350">
        <f t="shared" si="135"/>
        <v>0</v>
      </c>
      <c r="T163" s="350">
        <f t="shared" si="135"/>
        <v>0</v>
      </c>
      <c r="U163" s="350">
        <f t="shared" si="135"/>
        <v>0</v>
      </c>
      <c r="V163" s="350">
        <f t="shared" si="135"/>
        <v>0</v>
      </c>
      <c r="W163" s="350">
        <f t="shared" si="135"/>
        <v>0</v>
      </c>
      <c r="X163" s="350">
        <f t="shared" si="135"/>
        <v>0</v>
      </c>
      <c r="Y163" s="350">
        <f t="shared" si="135"/>
        <v>0</v>
      </c>
      <c r="Z163" s="350">
        <f t="shared" si="135"/>
        <v>0</v>
      </c>
      <c r="AA163" s="350">
        <f t="shared" si="135"/>
        <v>0</v>
      </c>
      <c r="AB163" s="350">
        <f t="shared" si="135"/>
        <v>0</v>
      </c>
      <c r="AC163" s="350">
        <f t="shared" si="135"/>
        <v>0</v>
      </c>
      <c r="AD163" s="350">
        <f t="shared" si="135"/>
        <v>0</v>
      </c>
      <c r="AE163" s="350">
        <f t="shared" si="135"/>
        <v>0</v>
      </c>
      <c r="AF163" s="350">
        <f t="shared" si="135"/>
        <v>0</v>
      </c>
      <c r="AG163" s="350">
        <f t="shared" si="135"/>
        <v>0</v>
      </c>
      <c r="AH163" s="350">
        <f t="shared" si="135"/>
        <v>0</v>
      </c>
      <c r="AI163" s="350">
        <f t="shared" si="135"/>
        <v>0</v>
      </c>
      <c r="AJ163" s="350">
        <f t="shared" si="135"/>
        <v>0</v>
      </c>
      <c r="AK163" s="350">
        <f t="shared" si="135"/>
        <v>0</v>
      </c>
      <c r="AL163" s="350">
        <f t="shared" si="135"/>
        <v>0</v>
      </c>
      <c r="AM163" s="350">
        <f t="shared" si="135"/>
        <v>0</v>
      </c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customHeight="1" x14ac:dyDescent="0.3">
      <c r="A164" s="131"/>
      <c r="B164" s="353" t="s">
        <v>5176</v>
      </c>
      <c r="C164" s="353"/>
      <c r="D164" s="353"/>
      <c r="E164" s="353"/>
      <c r="F164" s="353"/>
      <c r="G164" s="351">
        <v>2</v>
      </c>
      <c r="H164" s="351">
        <v>7</v>
      </c>
      <c r="I164" s="351">
        <f>I163</f>
        <v>547497.48095582984</v>
      </c>
      <c r="J164" s="351"/>
      <c r="K164" s="351"/>
      <c r="L164" s="351">
        <f t="shared" si="133"/>
        <v>-547497.48095582984</v>
      </c>
      <c r="M164" s="1"/>
      <c r="N164" s="1"/>
      <c r="O164" s="351">
        <f>-IF(AND($G164&lt;=O$3,O$3&lt;=$H164),$I164/($H164-$G164+1),0)</f>
        <v>0</v>
      </c>
      <c r="P164" s="351">
        <f t="shared" ref="P164:AM164" si="136">-IF(AND($G164&lt;=P$3,P$3&lt;=$H164),$I164/($H164-$G164+1),0)</f>
        <v>-91249.580159304969</v>
      </c>
      <c r="Q164" s="351">
        <f t="shared" si="136"/>
        <v>-91249.580159304969</v>
      </c>
      <c r="R164" s="351">
        <f t="shared" si="136"/>
        <v>-91249.580159304969</v>
      </c>
      <c r="S164" s="351">
        <f t="shared" si="136"/>
        <v>-91249.580159304969</v>
      </c>
      <c r="T164" s="351">
        <f t="shared" si="136"/>
        <v>-91249.580159304969</v>
      </c>
      <c r="U164" s="351">
        <f t="shared" si="136"/>
        <v>-91249.580159304969</v>
      </c>
      <c r="V164" s="351">
        <f t="shared" si="136"/>
        <v>0</v>
      </c>
      <c r="W164" s="351">
        <f t="shared" si="136"/>
        <v>0</v>
      </c>
      <c r="X164" s="351">
        <f t="shared" si="136"/>
        <v>0</v>
      </c>
      <c r="Y164" s="351">
        <f t="shared" si="136"/>
        <v>0</v>
      </c>
      <c r="Z164" s="351">
        <f t="shared" si="136"/>
        <v>0</v>
      </c>
      <c r="AA164" s="351">
        <f t="shared" si="136"/>
        <v>0</v>
      </c>
      <c r="AB164" s="351">
        <f t="shared" si="136"/>
        <v>0</v>
      </c>
      <c r="AC164" s="351">
        <f t="shared" si="136"/>
        <v>0</v>
      </c>
      <c r="AD164" s="351">
        <f t="shared" si="136"/>
        <v>0</v>
      </c>
      <c r="AE164" s="351">
        <f t="shared" si="136"/>
        <v>0</v>
      </c>
      <c r="AF164" s="351">
        <f t="shared" si="136"/>
        <v>0</v>
      </c>
      <c r="AG164" s="351">
        <f t="shared" si="136"/>
        <v>0</v>
      </c>
      <c r="AH164" s="351">
        <f t="shared" si="136"/>
        <v>0</v>
      </c>
      <c r="AI164" s="351">
        <f t="shared" si="136"/>
        <v>0</v>
      </c>
      <c r="AJ164" s="351">
        <f t="shared" si="136"/>
        <v>0</v>
      </c>
      <c r="AK164" s="351">
        <f t="shared" si="136"/>
        <v>0</v>
      </c>
      <c r="AL164" s="351">
        <f t="shared" si="136"/>
        <v>0</v>
      </c>
      <c r="AM164" s="351">
        <f t="shared" si="136"/>
        <v>0</v>
      </c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customHeight="1" x14ac:dyDescent="0.3">
      <c r="A165" s="131"/>
      <c r="B165" s="353" t="s">
        <v>5177</v>
      </c>
      <c r="C165" s="353"/>
      <c r="D165" s="353"/>
      <c r="E165" s="353"/>
      <c r="F165" s="353"/>
      <c r="G165" s="354">
        <f>WACC!$D$23</f>
        <v>7.7200000000000005E-2</v>
      </c>
      <c r="H165" s="351"/>
      <c r="I165" s="351"/>
      <c r="J165" s="351"/>
      <c r="K165" s="351"/>
      <c r="L165" s="351">
        <f t="shared" si="133"/>
        <v>-147933.81935426523</v>
      </c>
      <c r="M165" s="1"/>
      <c r="N165" s="1"/>
      <c r="O165" s="351">
        <f>-SUM($O163:O163,$O164:O164)*$G$165</f>
        <v>-42266.805529790065</v>
      </c>
      <c r="P165" s="351">
        <f>-SUM($O163:P163,$O164:P164)*$G$165</f>
        <v>-35222.337941491722</v>
      </c>
      <c r="Q165" s="351">
        <f>-SUM($O163:Q163,$O164:Q164)*$G$165</f>
        <v>-28177.870353193382</v>
      </c>
      <c r="R165" s="351">
        <f>-SUM($O163:R163,$O164:R164)*$G$165</f>
        <v>-21133.402764895036</v>
      </c>
      <c r="S165" s="351">
        <f>-SUM($O163:S163,$O164:S164)*$G$165</f>
        <v>-14088.935176596695</v>
      </c>
      <c r="T165" s="351">
        <f>-SUM($O163:T163,$O164:T164)*$G$165</f>
        <v>-7044.4675882983511</v>
      </c>
      <c r="U165" s="351">
        <f>-SUM($O163:U163,$O164:U164)*$G$165</f>
        <v>0</v>
      </c>
      <c r="V165" s="351">
        <f>-SUM($O163:V163,$O164:V164)*$G$165</f>
        <v>-6.7404471337795266E-12</v>
      </c>
      <c r="W165" s="351">
        <f>-SUM($O163:W163,$O164:W164)*$G$165</f>
        <v>-6.7404471337795266E-12</v>
      </c>
      <c r="X165" s="351">
        <f>-SUM($O163:X163,$O164:X164)*$G$165</f>
        <v>-6.7404471337795266E-12</v>
      </c>
      <c r="Y165" s="351">
        <f>-SUM($O163:Y163,$O164:Y164)*$G$165</f>
        <v>-6.7404471337795266E-12</v>
      </c>
      <c r="Z165" s="351">
        <f>-SUM($O163:Z163,$O164:Z164)*$G$165</f>
        <v>-6.7404471337795266E-12</v>
      </c>
      <c r="AA165" s="351">
        <f>-SUM($O163:AA163,$O164:AA164)*$G$165</f>
        <v>-6.7404471337795266E-12</v>
      </c>
      <c r="AB165" s="351">
        <f>-SUM($O163:AB163,$O164:AB164)*$G$165</f>
        <v>-6.7404471337795266E-12</v>
      </c>
      <c r="AC165" s="351">
        <f>-SUM($O163:AC163,$O164:AC164)*$G$165</f>
        <v>-6.7404471337795266E-12</v>
      </c>
      <c r="AD165" s="351">
        <f>-SUM($O163:AD163,$O164:AD164)*$G$165</f>
        <v>-6.7404471337795266E-12</v>
      </c>
      <c r="AE165" s="351">
        <f>-SUM($O163:AE163,$O164:AE164)*$G$165</f>
        <v>-6.7404471337795266E-12</v>
      </c>
      <c r="AF165" s="351">
        <f>-SUM($O163:AF163,$O164:AF164)*$G$165</f>
        <v>-6.7404471337795266E-12</v>
      </c>
      <c r="AG165" s="351">
        <f>-SUM($O163:AG163,$O164:AG164)*$G$165</f>
        <v>-6.7404471337795266E-12</v>
      </c>
      <c r="AH165" s="351">
        <f>-SUM($O163:AH163,$O164:AH164)*$G$165</f>
        <v>-6.7404471337795266E-12</v>
      </c>
      <c r="AI165" s="351">
        <f>-SUM($O163:AI163,$O164:AI164)*$G$165</f>
        <v>-6.7404471337795266E-12</v>
      </c>
      <c r="AJ165" s="351">
        <f>-SUM($O163:AJ163,$O164:AJ164)*$G$165</f>
        <v>-6.7404471337795266E-12</v>
      </c>
      <c r="AK165" s="351">
        <f>-SUM($O163:AK163,$O164:AK164)*$G$165</f>
        <v>-6.7404471337795266E-12</v>
      </c>
      <c r="AL165" s="351">
        <f>-SUM($O163:AL163,$O164:AL164)*$G$165</f>
        <v>-6.7404471337795266E-12</v>
      </c>
      <c r="AM165" s="351">
        <f>-SUM($O163:AM163,$O164:AM164)*$G$165</f>
        <v>-6.7404471337795266E-12</v>
      </c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customHeight="1" x14ac:dyDescent="0.3">
      <c r="A166" s="131"/>
      <c r="B166" s="353" t="s">
        <v>5178</v>
      </c>
      <c r="C166" s="353"/>
      <c r="D166" s="353"/>
      <c r="E166" s="353"/>
      <c r="F166" s="353"/>
      <c r="G166" s="354">
        <f>WACC!$D$24</f>
        <v>0.34</v>
      </c>
      <c r="H166" s="351"/>
      <c r="I166" s="351"/>
      <c r="J166" s="351"/>
      <c r="K166" s="351"/>
      <c r="L166" s="351">
        <f t="shared" si="133"/>
        <v>50297.498580450185</v>
      </c>
      <c r="M166" s="1"/>
      <c r="N166" s="1"/>
      <c r="O166" s="351">
        <f>-O165*$G$166</f>
        <v>14370.713880128624</v>
      </c>
      <c r="P166" s="351">
        <f t="shared" ref="P166:AM166" si="137">-P165*$G$166</f>
        <v>11975.594900107186</v>
      </c>
      <c r="Q166" s="351">
        <f t="shared" si="137"/>
        <v>9580.4759200857516</v>
      </c>
      <c r="R166" s="351">
        <f t="shared" si="137"/>
        <v>7185.3569400643128</v>
      </c>
      <c r="S166" s="351">
        <f t="shared" si="137"/>
        <v>4790.2379600428767</v>
      </c>
      <c r="T166" s="351">
        <f t="shared" si="137"/>
        <v>2395.1189800214397</v>
      </c>
      <c r="U166" s="351">
        <f t="shared" si="137"/>
        <v>0</v>
      </c>
      <c r="V166" s="351">
        <f t="shared" si="137"/>
        <v>2.291752025485039E-12</v>
      </c>
      <c r="W166" s="351">
        <f t="shared" si="137"/>
        <v>2.291752025485039E-12</v>
      </c>
      <c r="X166" s="351">
        <f t="shared" si="137"/>
        <v>2.291752025485039E-12</v>
      </c>
      <c r="Y166" s="351">
        <f t="shared" si="137"/>
        <v>2.291752025485039E-12</v>
      </c>
      <c r="Z166" s="351">
        <f t="shared" si="137"/>
        <v>2.291752025485039E-12</v>
      </c>
      <c r="AA166" s="351">
        <f t="shared" si="137"/>
        <v>2.291752025485039E-12</v>
      </c>
      <c r="AB166" s="351">
        <f t="shared" si="137"/>
        <v>2.291752025485039E-12</v>
      </c>
      <c r="AC166" s="351">
        <f t="shared" si="137"/>
        <v>2.291752025485039E-12</v>
      </c>
      <c r="AD166" s="351">
        <f t="shared" si="137"/>
        <v>2.291752025485039E-12</v>
      </c>
      <c r="AE166" s="351">
        <f t="shared" si="137"/>
        <v>2.291752025485039E-12</v>
      </c>
      <c r="AF166" s="351">
        <f t="shared" si="137"/>
        <v>2.291752025485039E-12</v>
      </c>
      <c r="AG166" s="351">
        <f t="shared" si="137"/>
        <v>2.291752025485039E-12</v>
      </c>
      <c r="AH166" s="351">
        <f t="shared" si="137"/>
        <v>2.291752025485039E-12</v>
      </c>
      <c r="AI166" s="351">
        <f t="shared" si="137"/>
        <v>2.291752025485039E-12</v>
      </c>
      <c r="AJ166" s="351">
        <f t="shared" si="137"/>
        <v>2.291752025485039E-12</v>
      </c>
      <c r="AK166" s="351">
        <f t="shared" si="137"/>
        <v>2.291752025485039E-12</v>
      </c>
      <c r="AL166" s="351">
        <f t="shared" si="137"/>
        <v>2.291752025485039E-12</v>
      </c>
      <c r="AM166" s="351">
        <f t="shared" si="137"/>
        <v>2.291752025485039E-12</v>
      </c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customHeight="1" x14ac:dyDescent="0.3">
      <c r="A167" s="131"/>
      <c r="B167" s="183" t="s">
        <v>5179</v>
      </c>
      <c r="C167" s="183"/>
      <c r="D167" s="183"/>
      <c r="E167" s="183"/>
      <c r="F167" s="183"/>
      <c r="G167" s="195">
        <v>1</v>
      </c>
      <c r="H167" s="195">
        <v>1</v>
      </c>
      <c r="I167" s="195">
        <f>2%*I163</f>
        <v>10949.949619116596</v>
      </c>
      <c r="J167" s="195"/>
      <c r="K167" s="195"/>
      <c r="L167" s="195">
        <f t="shared" si="133"/>
        <v>-10949.949619116596</v>
      </c>
      <c r="M167" s="1"/>
      <c r="N167" s="1"/>
      <c r="O167" s="195">
        <f>IF(AND($G167&lt;=O$3,O$3&lt;=$H167),-$I167,0)</f>
        <v>-10949.949619116596</v>
      </c>
      <c r="P167" s="195">
        <f t="shared" ref="P167:AM167" si="138">IF(AND($G167&lt;=P$3,P$3&lt;=$H167),-$I167,0)</f>
        <v>0</v>
      </c>
      <c r="Q167" s="195">
        <f t="shared" si="138"/>
        <v>0</v>
      </c>
      <c r="R167" s="195">
        <f t="shared" si="138"/>
        <v>0</v>
      </c>
      <c r="S167" s="195">
        <f t="shared" si="138"/>
        <v>0</v>
      </c>
      <c r="T167" s="195">
        <f t="shared" si="138"/>
        <v>0</v>
      </c>
      <c r="U167" s="195">
        <f t="shared" si="138"/>
        <v>0</v>
      </c>
      <c r="V167" s="195">
        <f t="shared" si="138"/>
        <v>0</v>
      </c>
      <c r="W167" s="195">
        <f t="shared" si="138"/>
        <v>0</v>
      </c>
      <c r="X167" s="195">
        <f t="shared" si="138"/>
        <v>0</v>
      </c>
      <c r="Y167" s="195">
        <f t="shared" si="138"/>
        <v>0</v>
      </c>
      <c r="Z167" s="195">
        <f t="shared" si="138"/>
        <v>0</v>
      </c>
      <c r="AA167" s="195">
        <f t="shared" si="138"/>
        <v>0</v>
      </c>
      <c r="AB167" s="195">
        <f t="shared" si="138"/>
        <v>0</v>
      </c>
      <c r="AC167" s="195">
        <f t="shared" si="138"/>
        <v>0</v>
      </c>
      <c r="AD167" s="195">
        <f t="shared" si="138"/>
        <v>0</v>
      </c>
      <c r="AE167" s="195">
        <f t="shared" si="138"/>
        <v>0</v>
      </c>
      <c r="AF167" s="195">
        <f t="shared" si="138"/>
        <v>0</v>
      </c>
      <c r="AG167" s="195">
        <f t="shared" si="138"/>
        <v>0</v>
      </c>
      <c r="AH167" s="195">
        <f t="shared" si="138"/>
        <v>0</v>
      </c>
      <c r="AI167" s="195">
        <f t="shared" si="138"/>
        <v>0</v>
      </c>
      <c r="AJ167" s="195">
        <f t="shared" si="138"/>
        <v>0</v>
      </c>
      <c r="AK167" s="195">
        <f t="shared" si="138"/>
        <v>0</v>
      </c>
      <c r="AL167" s="195">
        <f t="shared" si="138"/>
        <v>0</v>
      </c>
      <c r="AM167" s="195">
        <f t="shared" si="138"/>
        <v>0</v>
      </c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f>L162+L153</f>
        <v>1374379.7318048514</v>
      </c>
      <c r="M168" s="1"/>
      <c r="N168" s="1"/>
      <c r="O168" s="349">
        <f>O153+O162</f>
        <v>-439343.71515981155</v>
      </c>
      <c r="P168" s="349">
        <f t="shared" ref="P168:AM168" si="139">P153+P162</f>
        <v>71332.07595528668</v>
      </c>
      <c r="Q168" s="349">
        <f t="shared" si="139"/>
        <v>68896.054189820352</v>
      </c>
      <c r="R168" s="349">
        <f t="shared" si="139"/>
        <v>80767.661641348997</v>
      </c>
      <c r="S168" s="349">
        <f t="shared" si="139"/>
        <v>-317495.8197485102</v>
      </c>
      <c r="T168" s="349">
        <f t="shared" si="139"/>
        <v>84193.787327411337</v>
      </c>
      <c r="U168" s="349">
        <f t="shared" si="139"/>
        <v>93776.685561944949</v>
      </c>
      <c r="V168" s="349">
        <f t="shared" si="139"/>
        <v>144202.17021986516</v>
      </c>
      <c r="W168" s="349">
        <f t="shared" si="139"/>
        <v>132143.84146628616</v>
      </c>
      <c r="X168" s="349">
        <f t="shared" si="139"/>
        <v>186375.95303401019</v>
      </c>
      <c r="Y168" s="349">
        <f t="shared" si="139"/>
        <v>-219814.39045326988</v>
      </c>
      <c r="Z168" s="349">
        <f t="shared" si="139"/>
        <v>186512.84150351875</v>
      </c>
      <c r="AA168" s="349">
        <f t="shared" si="139"/>
        <v>3807.0121575839539</v>
      </c>
      <c r="AB168" s="349">
        <f t="shared" si="139"/>
        <v>186649.72997302725</v>
      </c>
      <c r="AC168" s="349">
        <f t="shared" si="139"/>
        <v>185573.81959928398</v>
      </c>
      <c r="AD168" s="349">
        <f t="shared" si="139"/>
        <v>-254316.03210178675</v>
      </c>
      <c r="AE168" s="349">
        <f t="shared" si="139"/>
        <v>177383.64847178725</v>
      </c>
      <c r="AF168" s="349">
        <f t="shared" si="139"/>
        <v>136182.57687072648</v>
      </c>
      <c r="AG168" s="349">
        <f t="shared" si="139"/>
        <v>185847.59653830098</v>
      </c>
      <c r="AH168" s="349">
        <f t="shared" si="139"/>
        <v>187060.39538155275</v>
      </c>
      <c r="AI168" s="349">
        <f t="shared" si="139"/>
        <v>-221822.6777027325</v>
      </c>
      <c r="AJ168" s="349">
        <f t="shared" si="139"/>
        <v>187197.28385106125</v>
      </c>
      <c r="AK168" s="349">
        <f t="shared" si="139"/>
        <v>144084.47913268144</v>
      </c>
      <c r="AL168" s="349">
        <f t="shared" si="139"/>
        <v>187334.17232056975</v>
      </c>
      <c r="AM168" s="349">
        <f t="shared" si="139"/>
        <v>197850.58177489397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f>SUM($O168:O168)</f>
        <v>-439343.71515981155</v>
      </c>
      <c r="P169" s="125">
        <f>SUM($O168:P168)</f>
        <v>-368011.63920452486</v>
      </c>
      <c r="Q169" s="125">
        <f>SUM($O168:Q168)</f>
        <v>-299115.5850147045</v>
      </c>
      <c r="R169" s="125">
        <f>SUM($O168:R168)</f>
        <v>-218347.9233733555</v>
      </c>
      <c r="S169" s="125">
        <f>SUM($O168:S168)</f>
        <v>-535843.74312186567</v>
      </c>
      <c r="T169" s="125">
        <f>SUM($O168:T168)</f>
        <v>-451649.95579445432</v>
      </c>
      <c r="U169" s="125">
        <f>SUM($O168:U168)</f>
        <v>-357873.27023250936</v>
      </c>
      <c r="V169" s="125">
        <f>SUM($O168:V168)</f>
        <v>-213671.10001264419</v>
      </c>
      <c r="W169" s="125">
        <f>SUM($O168:W168)</f>
        <v>-81527.258546358033</v>
      </c>
      <c r="X169" s="125">
        <f>SUM($O168:X168)</f>
        <v>104848.69448765216</v>
      </c>
      <c r="Y169" s="125">
        <f>SUM($O168:Y168)</f>
        <v>-114965.69596561772</v>
      </c>
      <c r="Z169" s="125">
        <f>SUM($O168:Z168)</f>
        <v>71547.145537901029</v>
      </c>
      <c r="AA169" s="125">
        <f>SUM($O168:AA168)</f>
        <v>75354.157695484988</v>
      </c>
      <c r="AB169" s="125">
        <f>SUM($O168:AB168)</f>
        <v>262003.88766851224</v>
      </c>
      <c r="AC169" s="125">
        <f>SUM($O168:AC168)</f>
        <v>447577.70726779621</v>
      </c>
      <c r="AD169" s="125">
        <f>SUM($O168:AD168)</f>
        <v>193261.67516600946</v>
      </c>
      <c r="AE169" s="125">
        <f>SUM($O168:AE168)</f>
        <v>370645.32363779668</v>
      </c>
      <c r="AF169" s="125">
        <f>SUM($O168:AF168)</f>
        <v>506827.90050852316</v>
      </c>
      <c r="AG169" s="125">
        <f>SUM($O168:AG168)</f>
        <v>692675.49704682408</v>
      </c>
      <c r="AH169" s="125">
        <f>SUM($O168:AH168)</f>
        <v>879735.89242837683</v>
      </c>
      <c r="AI169" s="125">
        <f>SUM($O168:AI168)</f>
        <v>657913.21472564433</v>
      </c>
      <c r="AJ169" s="125">
        <f>SUM($O168:AJ168)</f>
        <v>845110.49857670558</v>
      </c>
      <c r="AK169" s="125">
        <f>SUM($O168:AK168)</f>
        <v>989194.97770938696</v>
      </c>
      <c r="AL169" s="125">
        <f>SUM($O168:AL168)</f>
        <v>1176529.1500299568</v>
      </c>
      <c r="AM169" s="125">
        <f>SUM($O168:AM168)</f>
        <v>1374379.7318048507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AVERAGE(O172:AM172)</f>
        <v>2.4627912243252283</v>
      </c>
      <c r="M172" s="1"/>
      <c r="N172" s="1"/>
      <c r="O172" s="343"/>
      <c r="P172" s="343">
        <f t="shared" ref="P172:R172" si="140">IF(ROUND(P165,6)=0,0,P148/-P165)</f>
        <v>5.2758678161755794</v>
      </c>
      <c r="Q172" s="343">
        <f t="shared" si="140"/>
        <v>6.3433831777132905</v>
      </c>
      <c r="R172" s="343">
        <f t="shared" si="140"/>
        <v>8.7995903780527946</v>
      </c>
      <c r="S172" s="343">
        <f>IF(ROUND(S165,6)=0,0,S148/-S165)</f>
        <v>13.123019939708676</v>
      </c>
      <c r="T172" s="343">
        <f t="shared" ref="T172:AM172" si="141">IF(ROUND(T165,6)=0,0,T148/-T165)</f>
        <v>25.565128072155144</v>
      </c>
      <c r="U172" s="343">
        <f t="shared" si="141"/>
        <v>0</v>
      </c>
      <c r="V172" s="343">
        <f t="shared" si="141"/>
        <v>0</v>
      </c>
      <c r="W172" s="343">
        <f t="shared" si="141"/>
        <v>0</v>
      </c>
      <c r="X172" s="343">
        <f t="shared" si="141"/>
        <v>0</v>
      </c>
      <c r="Y172" s="343">
        <f t="shared" si="141"/>
        <v>0</v>
      </c>
      <c r="Z172" s="343">
        <f t="shared" si="141"/>
        <v>0</v>
      </c>
      <c r="AA172" s="343">
        <f t="shared" si="141"/>
        <v>0</v>
      </c>
      <c r="AB172" s="343">
        <f t="shared" si="141"/>
        <v>0</v>
      </c>
      <c r="AC172" s="343">
        <f t="shared" si="141"/>
        <v>0</v>
      </c>
      <c r="AD172" s="343">
        <f t="shared" si="141"/>
        <v>0</v>
      </c>
      <c r="AE172" s="343">
        <f t="shared" si="141"/>
        <v>0</v>
      </c>
      <c r="AF172" s="343">
        <f t="shared" si="141"/>
        <v>0</v>
      </c>
      <c r="AG172" s="343">
        <f t="shared" si="141"/>
        <v>0</v>
      </c>
      <c r="AH172" s="343">
        <f t="shared" si="141"/>
        <v>0</v>
      </c>
      <c r="AI172" s="343">
        <f t="shared" si="141"/>
        <v>0</v>
      </c>
      <c r="AJ172" s="343">
        <f t="shared" si="141"/>
        <v>0</v>
      </c>
      <c r="AK172" s="343">
        <f t="shared" si="141"/>
        <v>0</v>
      </c>
      <c r="AL172" s="343">
        <f t="shared" si="141"/>
        <v>0</v>
      </c>
      <c r="AM172" s="343">
        <f t="shared" si="141"/>
        <v>0</v>
      </c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/>
      <c r="C173" s="183"/>
      <c r="D173" s="183"/>
      <c r="E173" s="183"/>
      <c r="F173" s="183"/>
      <c r="G173" s="195"/>
      <c r="H173" s="195"/>
      <c r="I173" s="195"/>
      <c r="J173" s="195"/>
      <c r="K173" s="195"/>
      <c r="L173" s="343"/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tr">
        <f>IF(SUM(O211,O222,O226,O230)&lt;SUM(O236,O248,O252,O256),"Presumido","Real")</f>
        <v>Presumido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 t="shared" ref="O205:AM205" si="142">IF(O$204="Presumido",O211,O236)</f>
        <v>5551.5879300671968</v>
      </c>
      <c r="P205" s="97">
        <f t="shared" si="142"/>
        <v>16654.763790201607</v>
      </c>
      <c r="Q205" s="97">
        <f t="shared" si="142"/>
        <v>16654.763790201607</v>
      </c>
      <c r="R205" s="97">
        <f t="shared" si="142"/>
        <v>16654.763790201607</v>
      </c>
      <c r="S205" s="97">
        <f t="shared" si="142"/>
        <v>16654.763790201607</v>
      </c>
      <c r="T205" s="97">
        <f t="shared" si="142"/>
        <v>16654.763790201607</v>
      </c>
      <c r="U205" s="97">
        <f t="shared" si="142"/>
        <v>16654.763790201607</v>
      </c>
      <c r="V205" s="97">
        <f t="shared" si="142"/>
        <v>16654.763790201607</v>
      </c>
      <c r="W205" s="97">
        <f t="shared" si="142"/>
        <v>16654.763790201607</v>
      </c>
      <c r="X205" s="97">
        <f t="shared" si="142"/>
        <v>16654.763790201607</v>
      </c>
      <c r="Y205" s="97">
        <f t="shared" si="142"/>
        <v>16654.763790201607</v>
      </c>
      <c r="Z205" s="97">
        <f t="shared" si="142"/>
        <v>16654.763790201607</v>
      </c>
      <c r="AA205" s="97">
        <f t="shared" si="142"/>
        <v>16654.763790201607</v>
      </c>
      <c r="AB205" s="97">
        <f t="shared" si="142"/>
        <v>16654.763790201607</v>
      </c>
      <c r="AC205" s="97">
        <f t="shared" si="142"/>
        <v>16654.763790201607</v>
      </c>
      <c r="AD205" s="97">
        <f t="shared" si="142"/>
        <v>16654.763790201607</v>
      </c>
      <c r="AE205" s="97">
        <f t="shared" si="142"/>
        <v>16654.763790201607</v>
      </c>
      <c r="AF205" s="97">
        <f t="shared" si="142"/>
        <v>16654.763790201607</v>
      </c>
      <c r="AG205" s="97">
        <f t="shared" si="142"/>
        <v>16654.763790201607</v>
      </c>
      <c r="AH205" s="97">
        <f t="shared" si="142"/>
        <v>16654.763790201607</v>
      </c>
      <c r="AI205" s="97">
        <f t="shared" si="142"/>
        <v>16654.763790201607</v>
      </c>
      <c r="AJ205" s="97">
        <f t="shared" si="142"/>
        <v>16654.763790201607</v>
      </c>
      <c r="AK205" s="97">
        <f t="shared" si="142"/>
        <v>16654.763790201607</v>
      </c>
      <c r="AL205" s="97">
        <f t="shared" si="142"/>
        <v>16654.763790201607</v>
      </c>
      <c r="AM205" s="97">
        <f t="shared" si="142"/>
        <v>16654.763790201607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O260</f>
        <v>3041.9659890779162</v>
      </c>
      <c r="P206" s="54">
        <f t="shared" ref="P206:AM206" si="143">P260</f>
        <v>9125.8979672337573</v>
      </c>
      <c r="Q206" s="54">
        <f t="shared" si="143"/>
        <v>9125.8979672337573</v>
      </c>
      <c r="R206" s="54">
        <f t="shared" si="143"/>
        <v>9125.8979672337573</v>
      </c>
      <c r="S206" s="54">
        <f t="shared" si="143"/>
        <v>9125.8979672337573</v>
      </c>
      <c r="T206" s="54">
        <f t="shared" si="143"/>
        <v>9125.8979672337573</v>
      </c>
      <c r="U206" s="54">
        <f t="shared" si="143"/>
        <v>9125.8979672337573</v>
      </c>
      <c r="V206" s="54">
        <f t="shared" si="143"/>
        <v>9125.8979672337573</v>
      </c>
      <c r="W206" s="54">
        <f t="shared" si="143"/>
        <v>9125.8979672337573</v>
      </c>
      <c r="X206" s="54">
        <f t="shared" si="143"/>
        <v>9125.8979672337573</v>
      </c>
      <c r="Y206" s="54">
        <f t="shared" si="143"/>
        <v>9125.8979672337573</v>
      </c>
      <c r="Z206" s="54">
        <f t="shared" si="143"/>
        <v>9125.8979672337573</v>
      </c>
      <c r="AA206" s="54">
        <f t="shared" si="143"/>
        <v>9125.8979672337573</v>
      </c>
      <c r="AB206" s="54">
        <f t="shared" si="143"/>
        <v>9125.8979672337573</v>
      </c>
      <c r="AC206" s="54">
        <f t="shared" si="143"/>
        <v>9125.8979672337573</v>
      </c>
      <c r="AD206" s="54">
        <f t="shared" si="143"/>
        <v>9125.8979672337573</v>
      </c>
      <c r="AE206" s="54">
        <f t="shared" si="143"/>
        <v>9125.8979672337573</v>
      </c>
      <c r="AF206" s="54">
        <f t="shared" si="143"/>
        <v>9125.8979672337573</v>
      </c>
      <c r="AG206" s="54">
        <f t="shared" si="143"/>
        <v>9125.8979672337573</v>
      </c>
      <c r="AH206" s="54">
        <f t="shared" si="143"/>
        <v>9125.8979672337573</v>
      </c>
      <c r="AI206" s="54">
        <f t="shared" si="143"/>
        <v>9125.8979672337573</v>
      </c>
      <c r="AJ206" s="54">
        <f t="shared" si="143"/>
        <v>9125.8979672337573</v>
      </c>
      <c r="AK206" s="54">
        <f t="shared" si="143"/>
        <v>9125.8979672337573</v>
      </c>
      <c r="AL206" s="54">
        <f t="shared" si="143"/>
        <v>9125.8979672337573</v>
      </c>
      <c r="AM206" s="54">
        <f t="shared" si="143"/>
        <v>9125.8979672337573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 t="shared" ref="O207:AM207" si="144">IF(O$204="Presumido",O222+O226+O230,O247+O251+O255)</f>
        <v>11681.149398059199</v>
      </c>
      <c r="P207" s="330">
        <f t="shared" si="144"/>
        <v>35043.448194177632</v>
      </c>
      <c r="Q207" s="330">
        <f t="shared" si="144"/>
        <v>35043.448194177632</v>
      </c>
      <c r="R207" s="330">
        <f t="shared" si="144"/>
        <v>35043.448194177632</v>
      </c>
      <c r="S207" s="330">
        <f t="shared" si="144"/>
        <v>35043.448194177632</v>
      </c>
      <c r="T207" s="330">
        <f t="shared" si="144"/>
        <v>35043.448194177632</v>
      </c>
      <c r="U207" s="330">
        <f t="shared" si="144"/>
        <v>35043.448194177632</v>
      </c>
      <c r="V207" s="330">
        <f t="shared" si="144"/>
        <v>35043.448194177632</v>
      </c>
      <c r="W207" s="330">
        <f t="shared" si="144"/>
        <v>35043.448194177632</v>
      </c>
      <c r="X207" s="330">
        <f t="shared" si="144"/>
        <v>35043.448194177632</v>
      </c>
      <c r="Y207" s="330">
        <f t="shared" si="144"/>
        <v>35043.448194177632</v>
      </c>
      <c r="Z207" s="330">
        <f t="shared" si="144"/>
        <v>35043.448194177632</v>
      </c>
      <c r="AA207" s="330">
        <f t="shared" si="144"/>
        <v>35043.448194177632</v>
      </c>
      <c r="AB207" s="330">
        <f t="shared" si="144"/>
        <v>35043.448194177632</v>
      </c>
      <c r="AC207" s="330">
        <f t="shared" si="144"/>
        <v>35043.448194177632</v>
      </c>
      <c r="AD207" s="330">
        <f t="shared" si="144"/>
        <v>35043.448194177632</v>
      </c>
      <c r="AE207" s="330">
        <f t="shared" si="144"/>
        <v>35043.448194177632</v>
      </c>
      <c r="AF207" s="330">
        <f t="shared" si="144"/>
        <v>35043.448194177632</v>
      </c>
      <c r="AG207" s="330">
        <f t="shared" si="144"/>
        <v>35043.448194177632</v>
      </c>
      <c r="AH207" s="330">
        <f t="shared" si="144"/>
        <v>35043.448194177632</v>
      </c>
      <c r="AI207" s="330">
        <f t="shared" si="144"/>
        <v>35043.448194177632</v>
      </c>
      <c r="AJ207" s="330">
        <f t="shared" si="144"/>
        <v>35043.448194177632</v>
      </c>
      <c r="AK207" s="330">
        <f t="shared" si="144"/>
        <v>35043.448194177632</v>
      </c>
      <c r="AL207" s="330">
        <f t="shared" si="144"/>
        <v>35043.448194177632</v>
      </c>
      <c r="AM207" s="330">
        <f t="shared" si="144"/>
        <v>35043.448194177632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f t="shared" ref="O209:AM209" si="145">O211+O222+O226+O230</f>
        <v>17232.737328126394</v>
      </c>
      <c r="P209" s="69">
        <f t="shared" si="145"/>
        <v>51698.211984379232</v>
      </c>
      <c r="Q209" s="69">
        <f t="shared" si="145"/>
        <v>51698.211984379232</v>
      </c>
      <c r="R209" s="69">
        <f t="shared" si="145"/>
        <v>51698.211984379232</v>
      </c>
      <c r="S209" s="69">
        <f t="shared" si="145"/>
        <v>51698.211984379232</v>
      </c>
      <c r="T209" s="69">
        <f t="shared" si="145"/>
        <v>51698.211984379232</v>
      </c>
      <c r="U209" s="69">
        <f t="shared" si="145"/>
        <v>51698.211984379232</v>
      </c>
      <c r="V209" s="69">
        <f t="shared" si="145"/>
        <v>51698.211984379232</v>
      </c>
      <c r="W209" s="69">
        <f t="shared" si="145"/>
        <v>51698.211984379232</v>
      </c>
      <c r="X209" s="69">
        <f t="shared" si="145"/>
        <v>51698.211984379232</v>
      </c>
      <c r="Y209" s="69">
        <f t="shared" si="145"/>
        <v>51698.211984379232</v>
      </c>
      <c r="Z209" s="69">
        <f t="shared" si="145"/>
        <v>51698.211984379232</v>
      </c>
      <c r="AA209" s="69">
        <f t="shared" si="145"/>
        <v>51698.211984379232</v>
      </c>
      <c r="AB209" s="69">
        <f t="shared" si="145"/>
        <v>51698.211984379232</v>
      </c>
      <c r="AC209" s="69">
        <f t="shared" si="145"/>
        <v>51698.211984379232</v>
      </c>
      <c r="AD209" s="69">
        <f t="shared" si="145"/>
        <v>51698.211984379232</v>
      </c>
      <c r="AE209" s="69">
        <f t="shared" si="145"/>
        <v>51698.211984379232</v>
      </c>
      <c r="AF209" s="69">
        <f t="shared" si="145"/>
        <v>51698.211984379232</v>
      </c>
      <c r="AG209" s="69">
        <f t="shared" si="145"/>
        <v>51698.211984379232</v>
      </c>
      <c r="AH209" s="69">
        <f t="shared" si="145"/>
        <v>51698.211984379232</v>
      </c>
      <c r="AI209" s="69">
        <f t="shared" si="145"/>
        <v>51698.211984379232</v>
      </c>
      <c r="AJ209" s="69">
        <f t="shared" si="145"/>
        <v>51698.211984379232</v>
      </c>
      <c r="AK209" s="69">
        <f t="shared" si="145"/>
        <v>51698.211984379232</v>
      </c>
      <c r="AL209" s="69">
        <f t="shared" si="145"/>
        <v>51698.211984379232</v>
      </c>
      <c r="AM209" s="69">
        <f t="shared" si="145"/>
        <v>51698.211984379232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9">
        <f t="shared" ref="O211:AM211" si="146">$I211*(O213-O214)</f>
        <v>5551.5879300671968</v>
      </c>
      <c r="P211" s="109">
        <f t="shared" si="146"/>
        <v>16654.763790201607</v>
      </c>
      <c r="Q211" s="109">
        <f t="shared" si="146"/>
        <v>16654.763790201607</v>
      </c>
      <c r="R211" s="109">
        <f t="shared" si="146"/>
        <v>16654.763790201607</v>
      </c>
      <c r="S211" s="109">
        <f t="shared" si="146"/>
        <v>16654.763790201607</v>
      </c>
      <c r="T211" s="109">
        <f t="shared" si="146"/>
        <v>16654.763790201607</v>
      </c>
      <c r="U211" s="109">
        <f t="shared" si="146"/>
        <v>16654.763790201607</v>
      </c>
      <c r="V211" s="109">
        <f t="shared" si="146"/>
        <v>16654.763790201607</v>
      </c>
      <c r="W211" s="109">
        <f t="shared" si="146"/>
        <v>16654.763790201607</v>
      </c>
      <c r="X211" s="109">
        <f t="shared" si="146"/>
        <v>16654.763790201607</v>
      </c>
      <c r="Y211" s="109">
        <f t="shared" si="146"/>
        <v>16654.763790201607</v>
      </c>
      <c r="Z211" s="109">
        <f t="shared" si="146"/>
        <v>16654.763790201607</v>
      </c>
      <c r="AA211" s="109">
        <f t="shared" si="146"/>
        <v>16654.763790201607</v>
      </c>
      <c r="AB211" s="109">
        <f t="shared" si="146"/>
        <v>16654.763790201607</v>
      </c>
      <c r="AC211" s="109">
        <f t="shared" si="146"/>
        <v>16654.763790201607</v>
      </c>
      <c r="AD211" s="109">
        <f t="shared" si="146"/>
        <v>16654.763790201607</v>
      </c>
      <c r="AE211" s="109">
        <f t="shared" si="146"/>
        <v>16654.763790201607</v>
      </c>
      <c r="AF211" s="109">
        <f t="shared" si="146"/>
        <v>16654.763790201607</v>
      </c>
      <c r="AG211" s="109">
        <f t="shared" si="146"/>
        <v>16654.763790201607</v>
      </c>
      <c r="AH211" s="109">
        <f t="shared" si="146"/>
        <v>16654.763790201607</v>
      </c>
      <c r="AI211" s="109">
        <f t="shared" si="146"/>
        <v>16654.763790201607</v>
      </c>
      <c r="AJ211" s="109">
        <f t="shared" si="146"/>
        <v>16654.763790201607</v>
      </c>
      <c r="AK211" s="109">
        <f t="shared" si="146"/>
        <v>16654.763790201607</v>
      </c>
      <c r="AL211" s="109">
        <f t="shared" si="146"/>
        <v>16654.763790201607</v>
      </c>
      <c r="AM211" s="109">
        <f t="shared" si="146"/>
        <v>16654.763790201607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>$I211*(O213-O214)</f>
        <v>5551.5879300671968</v>
      </c>
      <c r="P212" s="107">
        <f t="shared" ref="P212:AM212" si="147">$I211*(P213-P214)</f>
        <v>16654.763790201607</v>
      </c>
      <c r="Q212" s="107">
        <f t="shared" si="147"/>
        <v>16654.763790201607</v>
      </c>
      <c r="R212" s="107">
        <f t="shared" si="147"/>
        <v>16654.763790201607</v>
      </c>
      <c r="S212" s="107">
        <f t="shared" si="147"/>
        <v>16654.763790201607</v>
      </c>
      <c r="T212" s="107">
        <f t="shared" si="147"/>
        <v>16654.763790201607</v>
      </c>
      <c r="U212" s="107">
        <f t="shared" si="147"/>
        <v>16654.763790201607</v>
      </c>
      <c r="V212" s="107">
        <f t="shared" si="147"/>
        <v>16654.763790201607</v>
      </c>
      <c r="W212" s="107">
        <f t="shared" si="147"/>
        <v>16654.763790201607</v>
      </c>
      <c r="X212" s="107">
        <f t="shared" si="147"/>
        <v>16654.763790201607</v>
      </c>
      <c r="Y212" s="107">
        <f t="shared" si="147"/>
        <v>16654.763790201607</v>
      </c>
      <c r="Z212" s="107">
        <f t="shared" si="147"/>
        <v>16654.763790201607</v>
      </c>
      <c r="AA212" s="107">
        <f t="shared" si="147"/>
        <v>16654.763790201607</v>
      </c>
      <c r="AB212" s="107">
        <f t="shared" si="147"/>
        <v>16654.763790201607</v>
      </c>
      <c r="AC212" s="107">
        <f t="shared" si="147"/>
        <v>16654.763790201607</v>
      </c>
      <c r="AD212" s="107">
        <f t="shared" si="147"/>
        <v>16654.763790201607</v>
      </c>
      <c r="AE212" s="107">
        <f t="shared" si="147"/>
        <v>16654.763790201607</v>
      </c>
      <c r="AF212" s="107">
        <f t="shared" si="147"/>
        <v>16654.763790201607</v>
      </c>
      <c r="AG212" s="107">
        <f t="shared" si="147"/>
        <v>16654.763790201607</v>
      </c>
      <c r="AH212" s="107">
        <f t="shared" si="147"/>
        <v>16654.763790201607</v>
      </c>
      <c r="AI212" s="107">
        <f t="shared" si="147"/>
        <v>16654.763790201607</v>
      </c>
      <c r="AJ212" s="107">
        <f t="shared" si="147"/>
        <v>16654.763790201607</v>
      </c>
      <c r="AK212" s="107">
        <f t="shared" si="147"/>
        <v>16654.763790201607</v>
      </c>
      <c r="AL212" s="107">
        <f t="shared" si="147"/>
        <v>16654.763790201607</v>
      </c>
      <c r="AM212" s="107">
        <f t="shared" si="147"/>
        <v>16654.763790201607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148">O122*$I213</f>
        <v>152098.2994538958</v>
      </c>
      <c r="P213" s="107">
        <f t="shared" si="148"/>
        <v>456294.8983616879</v>
      </c>
      <c r="Q213" s="107">
        <f t="shared" si="148"/>
        <v>456294.8983616879</v>
      </c>
      <c r="R213" s="107">
        <f t="shared" si="148"/>
        <v>456294.8983616879</v>
      </c>
      <c r="S213" s="107">
        <f t="shared" si="148"/>
        <v>456294.8983616879</v>
      </c>
      <c r="T213" s="107">
        <f t="shared" si="148"/>
        <v>456294.8983616879</v>
      </c>
      <c r="U213" s="107">
        <f t="shared" si="148"/>
        <v>456294.8983616879</v>
      </c>
      <c r="V213" s="107">
        <f t="shared" si="148"/>
        <v>456294.8983616879</v>
      </c>
      <c r="W213" s="107">
        <f t="shared" si="148"/>
        <v>456294.8983616879</v>
      </c>
      <c r="X213" s="107">
        <f t="shared" si="148"/>
        <v>456294.8983616879</v>
      </c>
      <c r="Y213" s="107">
        <f t="shared" si="148"/>
        <v>456294.8983616879</v>
      </c>
      <c r="Z213" s="107">
        <f t="shared" si="148"/>
        <v>456294.8983616879</v>
      </c>
      <c r="AA213" s="107">
        <f t="shared" si="148"/>
        <v>456294.8983616879</v>
      </c>
      <c r="AB213" s="107">
        <f t="shared" si="148"/>
        <v>456294.8983616879</v>
      </c>
      <c r="AC213" s="107">
        <f t="shared" si="148"/>
        <v>456294.8983616879</v>
      </c>
      <c r="AD213" s="107">
        <f t="shared" si="148"/>
        <v>456294.8983616879</v>
      </c>
      <c r="AE213" s="107">
        <f t="shared" si="148"/>
        <v>456294.8983616879</v>
      </c>
      <c r="AF213" s="107">
        <f t="shared" si="148"/>
        <v>456294.8983616879</v>
      </c>
      <c r="AG213" s="107">
        <f t="shared" si="148"/>
        <v>456294.8983616879</v>
      </c>
      <c r="AH213" s="107">
        <f t="shared" si="148"/>
        <v>456294.8983616879</v>
      </c>
      <c r="AI213" s="107">
        <f t="shared" si="148"/>
        <v>456294.8983616879</v>
      </c>
      <c r="AJ213" s="107">
        <f t="shared" si="148"/>
        <v>456294.8983616879</v>
      </c>
      <c r="AK213" s="107">
        <f t="shared" si="148"/>
        <v>456294.8983616879</v>
      </c>
      <c r="AL213" s="107">
        <f t="shared" si="148"/>
        <v>456294.8983616879</v>
      </c>
      <c r="AM213" s="107">
        <f t="shared" si="148"/>
        <v>456294.8983616879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149">$I$214*O14</f>
        <v>0</v>
      </c>
      <c r="P214" s="107">
        <f t="shared" si="149"/>
        <v>0</v>
      </c>
      <c r="Q214" s="107">
        <f t="shared" si="149"/>
        <v>0</v>
      </c>
      <c r="R214" s="107">
        <f t="shared" si="149"/>
        <v>0</v>
      </c>
      <c r="S214" s="107">
        <f t="shared" si="149"/>
        <v>0</v>
      </c>
      <c r="T214" s="107">
        <f t="shared" si="149"/>
        <v>0</v>
      </c>
      <c r="U214" s="107">
        <f t="shared" si="149"/>
        <v>0</v>
      </c>
      <c r="V214" s="107">
        <f t="shared" si="149"/>
        <v>0</v>
      </c>
      <c r="W214" s="107">
        <f t="shared" si="149"/>
        <v>0</v>
      </c>
      <c r="X214" s="107">
        <f t="shared" si="149"/>
        <v>0</v>
      </c>
      <c r="Y214" s="107">
        <f t="shared" si="149"/>
        <v>0</v>
      </c>
      <c r="Z214" s="107">
        <f t="shared" si="149"/>
        <v>0</v>
      </c>
      <c r="AA214" s="107">
        <f t="shared" si="149"/>
        <v>0</v>
      </c>
      <c r="AB214" s="107">
        <f t="shared" si="149"/>
        <v>0</v>
      </c>
      <c r="AC214" s="107">
        <f t="shared" si="149"/>
        <v>0</v>
      </c>
      <c r="AD214" s="107">
        <f t="shared" si="149"/>
        <v>0</v>
      </c>
      <c r="AE214" s="107">
        <f t="shared" si="149"/>
        <v>0</v>
      </c>
      <c r="AF214" s="107">
        <f t="shared" si="149"/>
        <v>0</v>
      </c>
      <c r="AG214" s="107">
        <f t="shared" si="149"/>
        <v>0</v>
      </c>
      <c r="AH214" s="107">
        <f t="shared" si="149"/>
        <v>0</v>
      </c>
      <c r="AI214" s="107">
        <f t="shared" si="149"/>
        <v>0</v>
      </c>
      <c r="AJ214" s="107">
        <f t="shared" si="149"/>
        <v>0</v>
      </c>
      <c r="AK214" s="107">
        <f t="shared" si="149"/>
        <v>0</v>
      </c>
      <c r="AL214" s="107">
        <f t="shared" si="149"/>
        <v>0</v>
      </c>
      <c r="AM214" s="107">
        <f t="shared" si="149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150">SUM(O220:AV220)</f>
        <v>3553016.2752430099</v>
      </c>
      <c r="M220" s="1"/>
      <c r="N220" s="1"/>
      <c r="O220" s="142">
        <f t="shared" ref="O220:AM220" si="151">32%*O143</f>
        <v>48671.45582524666</v>
      </c>
      <c r="P220" s="142">
        <f t="shared" si="151"/>
        <v>146014.36747574012</v>
      </c>
      <c r="Q220" s="142">
        <f t="shared" si="151"/>
        <v>146014.36747574012</v>
      </c>
      <c r="R220" s="142">
        <f t="shared" si="151"/>
        <v>146014.36747574012</v>
      </c>
      <c r="S220" s="142">
        <f t="shared" si="151"/>
        <v>146014.36747574012</v>
      </c>
      <c r="T220" s="142">
        <f t="shared" si="151"/>
        <v>146014.36747574012</v>
      </c>
      <c r="U220" s="142">
        <f t="shared" si="151"/>
        <v>146014.36747574012</v>
      </c>
      <c r="V220" s="142">
        <f t="shared" si="151"/>
        <v>146014.36747574012</v>
      </c>
      <c r="W220" s="142">
        <f t="shared" si="151"/>
        <v>146014.36747574012</v>
      </c>
      <c r="X220" s="142">
        <f t="shared" si="151"/>
        <v>146014.36747574012</v>
      </c>
      <c r="Y220" s="142">
        <f t="shared" si="151"/>
        <v>146014.36747574012</v>
      </c>
      <c r="Z220" s="142">
        <f t="shared" si="151"/>
        <v>146014.36747574012</v>
      </c>
      <c r="AA220" s="142">
        <f t="shared" si="151"/>
        <v>146014.36747574012</v>
      </c>
      <c r="AB220" s="142">
        <f t="shared" si="151"/>
        <v>146014.36747574012</v>
      </c>
      <c r="AC220" s="142">
        <f t="shared" si="151"/>
        <v>146014.36747574012</v>
      </c>
      <c r="AD220" s="142">
        <f t="shared" si="151"/>
        <v>146014.36747574012</v>
      </c>
      <c r="AE220" s="142">
        <f t="shared" si="151"/>
        <v>146014.36747574012</v>
      </c>
      <c r="AF220" s="142">
        <f t="shared" si="151"/>
        <v>146014.36747574012</v>
      </c>
      <c r="AG220" s="142">
        <f t="shared" si="151"/>
        <v>146014.36747574012</v>
      </c>
      <c r="AH220" s="142">
        <f t="shared" si="151"/>
        <v>146014.36747574012</v>
      </c>
      <c r="AI220" s="142">
        <f t="shared" si="151"/>
        <v>146014.36747574012</v>
      </c>
      <c r="AJ220" s="142">
        <f t="shared" si="151"/>
        <v>146014.36747574012</v>
      </c>
      <c r="AK220" s="142">
        <f t="shared" si="151"/>
        <v>146014.36747574012</v>
      </c>
      <c r="AL220" s="142">
        <f t="shared" si="151"/>
        <v>146014.36747574012</v>
      </c>
      <c r="AM220" s="142">
        <f t="shared" si="151"/>
        <v>146014.36747574012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 t="shared" ref="O222:AM222" si="152">$I222*(O223-O224)</f>
        <v>7300.7183737869991</v>
      </c>
      <c r="P222" s="109">
        <f t="shared" si="152"/>
        <v>21902.155121361018</v>
      </c>
      <c r="Q222" s="109">
        <f t="shared" si="152"/>
        <v>21902.155121361018</v>
      </c>
      <c r="R222" s="109">
        <f t="shared" si="152"/>
        <v>21902.155121361018</v>
      </c>
      <c r="S222" s="109">
        <f t="shared" si="152"/>
        <v>21902.155121361018</v>
      </c>
      <c r="T222" s="109">
        <f t="shared" si="152"/>
        <v>21902.155121361018</v>
      </c>
      <c r="U222" s="109">
        <f t="shared" si="152"/>
        <v>21902.155121361018</v>
      </c>
      <c r="V222" s="109">
        <f t="shared" si="152"/>
        <v>21902.155121361018</v>
      </c>
      <c r="W222" s="109">
        <f t="shared" si="152"/>
        <v>21902.155121361018</v>
      </c>
      <c r="X222" s="109">
        <f t="shared" si="152"/>
        <v>21902.155121361018</v>
      </c>
      <c r="Y222" s="109">
        <f t="shared" si="152"/>
        <v>21902.155121361018</v>
      </c>
      <c r="Z222" s="109">
        <f t="shared" si="152"/>
        <v>21902.155121361018</v>
      </c>
      <c r="AA222" s="109">
        <f t="shared" si="152"/>
        <v>21902.155121361018</v>
      </c>
      <c r="AB222" s="109">
        <f t="shared" si="152"/>
        <v>21902.155121361018</v>
      </c>
      <c r="AC222" s="109">
        <f t="shared" si="152"/>
        <v>21902.155121361018</v>
      </c>
      <c r="AD222" s="109">
        <f t="shared" si="152"/>
        <v>21902.155121361018</v>
      </c>
      <c r="AE222" s="109">
        <f t="shared" si="152"/>
        <v>21902.155121361018</v>
      </c>
      <c r="AF222" s="109">
        <f t="shared" si="152"/>
        <v>21902.155121361018</v>
      </c>
      <c r="AG222" s="109">
        <f t="shared" si="152"/>
        <v>21902.155121361018</v>
      </c>
      <c r="AH222" s="109">
        <f t="shared" si="152"/>
        <v>21902.155121361018</v>
      </c>
      <c r="AI222" s="109">
        <f t="shared" si="152"/>
        <v>21902.155121361018</v>
      </c>
      <c r="AJ222" s="109">
        <f t="shared" si="152"/>
        <v>21902.155121361018</v>
      </c>
      <c r="AK222" s="109">
        <f t="shared" si="152"/>
        <v>21902.155121361018</v>
      </c>
      <c r="AL222" s="109">
        <f t="shared" si="152"/>
        <v>21902.155121361018</v>
      </c>
      <c r="AM222" s="109">
        <f t="shared" si="152"/>
        <v>21902.155121361018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153">O220</f>
        <v>48671.45582524666</v>
      </c>
      <c r="P223" s="107">
        <f t="shared" si="153"/>
        <v>146014.36747574012</v>
      </c>
      <c r="Q223" s="107">
        <f t="shared" si="153"/>
        <v>146014.36747574012</v>
      </c>
      <c r="R223" s="107">
        <f t="shared" si="153"/>
        <v>146014.36747574012</v>
      </c>
      <c r="S223" s="107">
        <f t="shared" si="153"/>
        <v>146014.36747574012</v>
      </c>
      <c r="T223" s="107">
        <f t="shared" si="153"/>
        <v>146014.36747574012</v>
      </c>
      <c r="U223" s="107">
        <f t="shared" si="153"/>
        <v>146014.36747574012</v>
      </c>
      <c r="V223" s="107">
        <f t="shared" si="153"/>
        <v>146014.36747574012</v>
      </c>
      <c r="W223" s="107">
        <f t="shared" si="153"/>
        <v>146014.36747574012</v>
      </c>
      <c r="X223" s="107">
        <f t="shared" si="153"/>
        <v>146014.36747574012</v>
      </c>
      <c r="Y223" s="107">
        <f t="shared" si="153"/>
        <v>146014.36747574012</v>
      </c>
      <c r="Z223" s="107">
        <f t="shared" si="153"/>
        <v>146014.36747574012</v>
      </c>
      <c r="AA223" s="107">
        <f t="shared" si="153"/>
        <v>146014.36747574012</v>
      </c>
      <c r="AB223" s="107">
        <f t="shared" si="153"/>
        <v>146014.36747574012</v>
      </c>
      <c r="AC223" s="107">
        <f t="shared" si="153"/>
        <v>146014.36747574012</v>
      </c>
      <c r="AD223" s="107">
        <f t="shared" si="153"/>
        <v>146014.36747574012</v>
      </c>
      <c r="AE223" s="107">
        <f t="shared" si="153"/>
        <v>146014.36747574012</v>
      </c>
      <c r="AF223" s="107">
        <f t="shared" si="153"/>
        <v>146014.36747574012</v>
      </c>
      <c r="AG223" s="107">
        <f t="shared" si="153"/>
        <v>146014.36747574012</v>
      </c>
      <c r="AH223" s="107">
        <f t="shared" si="153"/>
        <v>146014.36747574012</v>
      </c>
      <c r="AI223" s="107">
        <f t="shared" si="153"/>
        <v>146014.36747574012</v>
      </c>
      <c r="AJ223" s="107">
        <f t="shared" si="153"/>
        <v>146014.36747574012</v>
      </c>
      <c r="AK223" s="107">
        <f t="shared" si="153"/>
        <v>146014.36747574012</v>
      </c>
      <c r="AL223" s="107">
        <f t="shared" si="153"/>
        <v>146014.36747574012</v>
      </c>
      <c r="AM223" s="107">
        <f t="shared" si="153"/>
        <v>146014.36747574012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154">$I224</f>
        <v>0</v>
      </c>
      <c r="P224" s="107">
        <f t="shared" si="154"/>
        <v>0</v>
      </c>
      <c r="Q224" s="107">
        <f t="shared" si="154"/>
        <v>0</v>
      </c>
      <c r="R224" s="107">
        <f t="shared" si="154"/>
        <v>0</v>
      </c>
      <c r="S224" s="107">
        <f t="shared" si="154"/>
        <v>0</v>
      </c>
      <c r="T224" s="107">
        <f t="shared" si="154"/>
        <v>0</v>
      </c>
      <c r="U224" s="107">
        <f t="shared" si="154"/>
        <v>0</v>
      </c>
      <c r="V224" s="107">
        <f t="shared" si="154"/>
        <v>0</v>
      </c>
      <c r="W224" s="107">
        <f t="shared" si="154"/>
        <v>0</v>
      </c>
      <c r="X224" s="107">
        <f t="shared" si="154"/>
        <v>0</v>
      </c>
      <c r="Y224" s="107">
        <f t="shared" si="154"/>
        <v>0</v>
      </c>
      <c r="Z224" s="107">
        <f t="shared" si="154"/>
        <v>0</v>
      </c>
      <c r="AA224" s="107">
        <f t="shared" si="154"/>
        <v>0</v>
      </c>
      <c r="AB224" s="107">
        <f t="shared" si="154"/>
        <v>0</v>
      </c>
      <c r="AC224" s="107">
        <f t="shared" si="154"/>
        <v>0</v>
      </c>
      <c r="AD224" s="107">
        <f t="shared" si="154"/>
        <v>0</v>
      </c>
      <c r="AE224" s="107">
        <f t="shared" si="154"/>
        <v>0</v>
      </c>
      <c r="AF224" s="107">
        <f t="shared" si="154"/>
        <v>0</v>
      </c>
      <c r="AG224" s="107">
        <f t="shared" si="154"/>
        <v>0</v>
      </c>
      <c r="AH224" s="107">
        <f t="shared" si="154"/>
        <v>0</v>
      </c>
      <c r="AI224" s="107">
        <f t="shared" si="154"/>
        <v>0</v>
      </c>
      <c r="AJ224" s="107">
        <f t="shared" si="154"/>
        <v>0</v>
      </c>
      <c r="AK224" s="107">
        <f t="shared" si="154"/>
        <v>0</v>
      </c>
      <c r="AL224" s="107">
        <f t="shared" si="154"/>
        <v>0</v>
      </c>
      <c r="AM224" s="107">
        <f t="shared" si="154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 t="shared" ref="O226:AM226" si="155">MAX($I226*(O227-O228),0)</f>
        <v>0</v>
      </c>
      <c r="P226" s="109">
        <f t="shared" si="155"/>
        <v>0</v>
      </c>
      <c r="Q226" s="109">
        <f t="shared" si="155"/>
        <v>0</v>
      </c>
      <c r="R226" s="109">
        <f t="shared" si="155"/>
        <v>0</v>
      </c>
      <c r="S226" s="109">
        <f t="shared" si="155"/>
        <v>0</v>
      </c>
      <c r="T226" s="109">
        <f t="shared" si="155"/>
        <v>0</v>
      </c>
      <c r="U226" s="109">
        <f t="shared" si="155"/>
        <v>0</v>
      </c>
      <c r="V226" s="109">
        <f t="shared" si="155"/>
        <v>0</v>
      </c>
      <c r="W226" s="109">
        <f t="shared" si="155"/>
        <v>0</v>
      </c>
      <c r="X226" s="109">
        <f t="shared" si="155"/>
        <v>0</v>
      </c>
      <c r="Y226" s="109">
        <f t="shared" si="155"/>
        <v>0</v>
      </c>
      <c r="Z226" s="109">
        <f t="shared" si="155"/>
        <v>0</v>
      </c>
      <c r="AA226" s="109">
        <f t="shared" si="155"/>
        <v>0</v>
      </c>
      <c r="AB226" s="109">
        <f t="shared" si="155"/>
        <v>0</v>
      </c>
      <c r="AC226" s="109">
        <f t="shared" si="155"/>
        <v>0</v>
      </c>
      <c r="AD226" s="109">
        <f t="shared" si="155"/>
        <v>0</v>
      </c>
      <c r="AE226" s="109">
        <f t="shared" si="155"/>
        <v>0</v>
      </c>
      <c r="AF226" s="109">
        <f t="shared" si="155"/>
        <v>0</v>
      </c>
      <c r="AG226" s="109">
        <f t="shared" si="155"/>
        <v>0</v>
      </c>
      <c r="AH226" s="109">
        <f t="shared" si="155"/>
        <v>0</v>
      </c>
      <c r="AI226" s="109">
        <f t="shared" si="155"/>
        <v>0</v>
      </c>
      <c r="AJ226" s="109">
        <f t="shared" si="155"/>
        <v>0</v>
      </c>
      <c r="AK226" s="109">
        <f t="shared" si="155"/>
        <v>0</v>
      </c>
      <c r="AL226" s="109">
        <f t="shared" si="155"/>
        <v>0</v>
      </c>
      <c r="AM226" s="109">
        <f t="shared" si="155"/>
        <v>0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156">O220</f>
        <v>48671.45582524666</v>
      </c>
      <c r="P227" s="107">
        <f t="shared" si="156"/>
        <v>146014.36747574012</v>
      </c>
      <c r="Q227" s="107">
        <f t="shared" si="156"/>
        <v>146014.36747574012</v>
      </c>
      <c r="R227" s="107">
        <f t="shared" si="156"/>
        <v>146014.36747574012</v>
      </c>
      <c r="S227" s="107">
        <f t="shared" si="156"/>
        <v>146014.36747574012</v>
      </c>
      <c r="T227" s="107">
        <f t="shared" si="156"/>
        <v>146014.36747574012</v>
      </c>
      <c r="U227" s="107">
        <f t="shared" si="156"/>
        <v>146014.36747574012</v>
      </c>
      <c r="V227" s="107">
        <f t="shared" si="156"/>
        <v>146014.36747574012</v>
      </c>
      <c r="W227" s="107">
        <f t="shared" si="156"/>
        <v>146014.36747574012</v>
      </c>
      <c r="X227" s="107">
        <f t="shared" si="156"/>
        <v>146014.36747574012</v>
      </c>
      <c r="Y227" s="107">
        <f t="shared" si="156"/>
        <v>146014.36747574012</v>
      </c>
      <c r="Z227" s="107">
        <f t="shared" si="156"/>
        <v>146014.36747574012</v>
      </c>
      <c r="AA227" s="107">
        <f t="shared" si="156"/>
        <v>146014.36747574012</v>
      </c>
      <c r="AB227" s="107">
        <f t="shared" si="156"/>
        <v>146014.36747574012</v>
      </c>
      <c r="AC227" s="107">
        <f t="shared" si="156"/>
        <v>146014.36747574012</v>
      </c>
      <c r="AD227" s="107">
        <f t="shared" si="156"/>
        <v>146014.36747574012</v>
      </c>
      <c r="AE227" s="107">
        <f t="shared" si="156"/>
        <v>146014.36747574012</v>
      </c>
      <c r="AF227" s="107">
        <f t="shared" si="156"/>
        <v>146014.36747574012</v>
      </c>
      <c r="AG227" s="107">
        <f t="shared" si="156"/>
        <v>146014.36747574012</v>
      </c>
      <c r="AH227" s="107">
        <f t="shared" si="156"/>
        <v>146014.36747574012</v>
      </c>
      <c r="AI227" s="107">
        <f t="shared" si="156"/>
        <v>146014.36747574012</v>
      </c>
      <c r="AJ227" s="107">
        <f t="shared" si="156"/>
        <v>146014.36747574012</v>
      </c>
      <c r="AK227" s="107">
        <f t="shared" si="156"/>
        <v>146014.36747574012</v>
      </c>
      <c r="AL227" s="107">
        <f t="shared" si="156"/>
        <v>146014.36747574012</v>
      </c>
      <c r="AM227" s="107">
        <f t="shared" si="156"/>
        <v>146014.36747574012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157">$I228</f>
        <v>240000</v>
      </c>
      <c r="P228" s="107">
        <f t="shared" si="157"/>
        <v>240000</v>
      </c>
      <c r="Q228" s="107">
        <f t="shared" si="157"/>
        <v>240000</v>
      </c>
      <c r="R228" s="107">
        <f t="shared" si="157"/>
        <v>240000</v>
      </c>
      <c r="S228" s="107">
        <f t="shared" si="157"/>
        <v>240000</v>
      </c>
      <c r="T228" s="107">
        <f t="shared" si="157"/>
        <v>240000</v>
      </c>
      <c r="U228" s="107">
        <f t="shared" si="157"/>
        <v>240000</v>
      </c>
      <c r="V228" s="107">
        <f t="shared" si="157"/>
        <v>240000</v>
      </c>
      <c r="W228" s="107">
        <f t="shared" si="157"/>
        <v>240000</v>
      </c>
      <c r="X228" s="107">
        <f t="shared" si="157"/>
        <v>240000</v>
      </c>
      <c r="Y228" s="107">
        <f t="shared" si="157"/>
        <v>240000</v>
      </c>
      <c r="Z228" s="107">
        <f t="shared" si="157"/>
        <v>240000</v>
      </c>
      <c r="AA228" s="107">
        <f t="shared" si="157"/>
        <v>240000</v>
      </c>
      <c r="AB228" s="107">
        <f t="shared" si="157"/>
        <v>240000</v>
      </c>
      <c r="AC228" s="107">
        <f t="shared" si="157"/>
        <v>240000</v>
      </c>
      <c r="AD228" s="107">
        <f t="shared" si="157"/>
        <v>240000</v>
      </c>
      <c r="AE228" s="107">
        <f t="shared" si="157"/>
        <v>240000</v>
      </c>
      <c r="AF228" s="107">
        <f t="shared" si="157"/>
        <v>240000</v>
      </c>
      <c r="AG228" s="107">
        <f t="shared" si="157"/>
        <v>240000</v>
      </c>
      <c r="AH228" s="107">
        <f t="shared" si="157"/>
        <v>240000</v>
      </c>
      <c r="AI228" s="107">
        <f t="shared" si="157"/>
        <v>240000</v>
      </c>
      <c r="AJ228" s="107">
        <f t="shared" si="157"/>
        <v>240000</v>
      </c>
      <c r="AK228" s="107">
        <f t="shared" si="157"/>
        <v>240000</v>
      </c>
      <c r="AL228" s="107">
        <f t="shared" si="157"/>
        <v>240000</v>
      </c>
      <c r="AM228" s="107">
        <f t="shared" si="157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MAX($I230*(O231-O232),0)</f>
        <v>4380.4310242721995</v>
      </c>
      <c r="P230" s="109">
        <f t="shared" ref="P230:AM230" si="158">$I230*(P231-P232)</f>
        <v>13141.29307281661</v>
      </c>
      <c r="Q230" s="109">
        <f t="shared" si="158"/>
        <v>13141.29307281661</v>
      </c>
      <c r="R230" s="109">
        <f t="shared" si="158"/>
        <v>13141.29307281661</v>
      </c>
      <c r="S230" s="109">
        <f t="shared" si="158"/>
        <v>13141.29307281661</v>
      </c>
      <c r="T230" s="109">
        <f t="shared" si="158"/>
        <v>13141.29307281661</v>
      </c>
      <c r="U230" s="109">
        <f t="shared" si="158"/>
        <v>13141.29307281661</v>
      </c>
      <c r="V230" s="109">
        <f t="shared" si="158"/>
        <v>13141.29307281661</v>
      </c>
      <c r="W230" s="109">
        <f t="shared" si="158"/>
        <v>13141.29307281661</v>
      </c>
      <c r="X230" s="109">
        <f t="shared" si="158"/>
        <v>13141.29307281661</v>
      </c>
      <c r="Y230" s="109">
        <f t="shared" si="158"/>
        <v>13141.29307281661</v>
      </c>
      <c r="Z230" s="109">
        <f t="shared" si="158"/>
        <v>13141.29307281661</v>
      </c>
      <c r="AA230" s="109">
        <f t="shared" si="158"/>
        <v>13141.29307281661</v>
      </c>
      <c r="AB230" s="109">
        <f t="shared" si="158"/>
        <v>13141.29307281661</v>
      </c>
      <c r="AC230" s="109">
        <f t="shared" si="158"/>
        <v>13141.29307281661</v>
      </c>
      <c r="AD230" s="109">
        <f t="shared" si="158"/>
        <v>13141.29307281661</v>
      </c>
      <c r="AE230" s="109">
        <f t="shared" si="158"/>
        <v>13141.29307281661</v>
      </c>
      <c r="AF230" s="109">
        <f t="shared" si="158"/>
        <v>13141.29307281661</v>
      </c>
      <c r="AG230" s="109">
        <f t="shared" si="158"/>
        <v>13141.29307281661</v>
      </c>
      <c r="AH230" s="109">
        <f t="shared" si="158"/>
        <v>13141.29307281661</v>
      </c>
      <c r="AI230" s="109">
        <f t="shared" si="158"/>
        <v>13141.29307281661</v>
      </c>
      <c r="AJ230" s="109">
        <f t="shared" si="158"/>
        <v>13141.29307281661</v>
      </c>
      <c r="AK230" s="109">
        <f t="shared" si="158"/>
        <v>13141.29307281661</v>
      </c>
      <c r="AL230" s="109">
        <f t="shared" si="158"/>
        <v>13141.29307281661</v>
      </c>
      <c r="AM230" s="109">
        <f t="shared" si="158"/>
        <v>13141.29307281661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159">O220</f>
        <v>48671.45582524666</v>
      </c>
      <c r="P231" s="107">
        <f t="shared" si="159"/>
        <v>146014.36747574012</v>
      </c>
      <c r="Q231" s="107">
        <f t="shared" si="159"/>
        <v>146014.36747574012</v>
      </c>
      <c r="R231" s="107">
        <f t="shared" si="159"/>
        <v>146014.36747574012</v>
      </c>
      <c r="S231" s="107">
        <f t="shared" si="159"/>
        <v>146014.36747574012</v>
      </c>
      <c r="T231" s="107">
        <f t="shared" si="159"/>
        <v>146014.36747574012</v>
      </c>
      <c r="U231" s="107">
        <f t="shared" si="159"/>
        <v>146014.36747574012</v>
      </c>
      <c r="V231" s="107">
        <f t="shared" si="159"/>
        <v>146014.36747574012</v>
      </c>
      <c r="W231" s="107">
        <f t="shared" si="159"/>
        <v>146014.36747574012</v>
      </c>
      <c r="X231" s="107">
        <f t="shared" si="159"/>
        <v>146014.36747574012</v>
      </c>
      <c r="Y231" s="107">
        <f t="shared" si="159"/>
        <v>146014.36747574012</v>
      </c>
      <c r="Z231" s="107">
        <f t="shared" si="159"/>
        <v>146014.36747574012</v>
      </c>
      <c r="AA231" s="107">
        <f t="shared" si="159"/>
        <v>146014.36747574012</v>
      </c>
      <c r="AB231" s="107">
        <f t="shared" si="159"/>
        <v>146014.36747574012</v>
      </c>
      <c r="AC231" s="107">
        <f t="shared" si="159"/>
        <v>146014.36747574012</v>
      </c>
      <c r="AD231" s="107">
        <f t="shared" si="159"/>
        <v>146014.36747574012</v>
      </c>
      <c r="AE231" s="107">
        <f t="shared" si="159"/>
        <v>146014.36747574012</v>
      </c>
      <c r="AF231" s="107">
        <f t="shared" si="159"/>
        <v>146014.36747574012</v>
      </c>
      <c r="AG231" s="107">
        <f t="shared" si="159"/>
        <v>146014.36747574012</v>
      </c>
      <c r="AH231" s="107">
        <f t="shared" si="159"/>
        <v>146014.36747574012</v>
      </c>
      <c r="AI231" s="107">
        <f t="shared" si="159"/>
        <v>146014.36747574012</v>
      </c>
      <c r="AJ231" s="107">
        <f t="shared" si="159"/>
        <v>146014.36747574012</v>
      </c>
      <c r="AK231" s="107">
        <f t="shared" si="159"/>
        <v>146014.36747574012</v>
      </c>
      <c r="AL231" s="107">
        <f t="shared" si="159"/>
        <v>146014.36747574012</v>
      </c>
      <c r="AM231" s="107">
        <f t="shared" si="159"/>
        <v>146014.36747574012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160">$I232</f>
        <v>0</v>
      </c>
      <c r="P232" s="107">
        <f t="shared" si="160"/>
        <v>0</v>
      </c>
      <c r="Q232" s="107">
        <f t="shared" si="160"/>
        <v>0</v>
      </c>
      <c r="R232" s="107">
        <f t="shared" si="160"/>
        <v>0</v>
      </c>
      <c r="S232" s="107">
        <f t="shared" si="160"/>
        <v>0</v>
      </c>
      <c r="T232" s="107">
        <f t="shared" si="160"/>
        <v>0</v>
      </c>
      <c r="U232" s="107">
        <f t="shared" si="160"/>
        <v>0</v>
      </c>
      <c r="V232" s="107">
        <f t="shared" si="160"/>
        <v>0</v>
      </c>
      <c r="W232" s="107">
        <f t="shared" si="160"/>
        <v>0</v>
      </c>
      <c r="X232" s="107">
        <f t="shared" si="160"/>
        <v>0</v>
      </c>
      <c r="Y232" s="107">
        <f t="shared" si="160"/>
        <v>0</v>
      </c>
      <c r="Z232" s="107">
        <f t="shared" si="160"/>
        <v>0</v>
      </c>
      <c r="AA232" s="107">
        <f t="shared" si="160"/>
        <v>0</v>
      </c>
      <c r="AB232" s="107">
        <f t="shared" si="160"/>
        <v>0</v>
      </c>
      <c r="AC232" s="107">
        <f t="shared" si="160"/>
        <v>0</v>
      </c>
      <c r="AD232" s="107">
        <f t="shared" si="160"/>
        <v>0</v>
      </c>
      <c r="AE232" s="107">
        <f t="shared" si="160"/>
        <v>0</v>
      </c>
      <c r="AF232" s="107">
        <f t="shared" si="160"/>
        <v>0</v>
      </c>
      <c r="AG232" s="107">
        <f t="shared" si="160"/>
        <v>0</v>
      </c>
      <c r="AH232" s="107">
        <f t="shared" si="160"/>
        <v>0</v>
      </c>
      <c r="AI232" s="107">
        <f t="shared" si="160"/>
        <v>0</v>
      </c>
      <c r="AJ232" s="107">
        <f t="shared" si="160"/>
        <v>0</v>
      </c>
      <c r="AK232" s="107">
        <f t="shared" si="160"/>
        <v>0</v>
      </c>
      <c r="AL232" s="107">
        <f t="shared" si="160"/>
        <v>0</v>
      </c>
      <c r="AM232" s="107">
        <f t="shared" si="160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27306.125641987448</v>
      </c>
      <c r="P234" s="329">
        <f t="shared" ref="P234:AM234" si="161">P236+P247+P251+P255</f>
        <v>115760.6934676036</v>
      </c>
      <c r="Q234" s="329">
        <f t="shared" si="161"/>
        <v>113393.05567161583</v>
      </c>
      <c r="R234" s="329">
        <f t="shared" si="161"/>
        <v>115766.96124840122</v>
      </c>
      <c r="S234" s="329">
        <f t="shared" si="161"/>
        <v>115717.69800216347</v>
      </c>
      <c r="T234" s="329">
        <f t="shared" si="161"/>
        <v>113454.85447944884</v>
      </c>
      <c r="U234" s="329">
        <f t="shared" si="161"/>
        <v>115723.96578296108</v>
      </c>
      <c r="V234" s="329">
        <f t="shared" si="161"/>
        <v>113461.12226024647</v>
      </c>
      <c r="W234" s="329">
        <f t="shared" si="161"/>
        <v>115730.23356375869</v>
      </c>
      <c r="X234" s="329">
        <f t="shared" si="161"/>
        <v>115785.76459079408</v>
      </c>
      <c r="Y234" s="329">
        <f t="shared" si="161"/>
        <v>113418.1267948063</v>
      </c>
      <c r="Z234" s="329">
        <f t="shared" si="161"/>
        <v>115792.03237159172</v>
      </c>
      <c r="AA234" s="329">
        <f t="shared" si="161"/>
        <v>113424.39457560392</v>
      </c>
      <c r="AB234" s="329">
        <f t="shared" si="161"/>
        <v>115798.30015238932</v>
      </c>
      <c r="AC234" s="329">
        <f t="shared" si="161"/>
        <v>115749.03690615157</v>
      </c>
      <c r="AD234" s="329">
        <f t="shared" si="161"/>
        <v>113486.19338343696</v>
      </c>
      <c r="AE234" s="329">
        <f t="shared" si="161"/>
        <v>115755.30468694918</v>
      </c>
      <c r="AF234" s="329">
        <f t="shared" si="161"/>
        <v>113492.46116423457</v>
      </c>
      <c r="AG234" s="329">
        <f t="shared" si="161"/>
        <v>115761.57246774681</v>
      </c>
      <c r="AH234" s="329">
        <f t="shared" si="161"/>
        <v>115817.10349478218</v>
      </c>
      <c r="AI234" s="329">
        <f t="shared" si="161"/>
        <v>113449.46569879443</v>
      </c>
      <c r="AJ234" s="329">
        <f t="shared" si="161"/>
        <v>115823.37127557982</v>
      </c>
      <c r="AK234" s="329">
        <f t="shared" si="161"/>
        <v>113455.73347959203</v>
      </c>
      <c r="AL234" s="329">
        <f t="shared" si="161"/>
        <v>115829.63905637743</v>
      </c>
      <c r="AM234" s="329">
        <f t="shared" si="161"/>
        <v>118785.07462167979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f t="shared" ref="O236:AM236" si="162">$I236*(O237+O238)</f>
        <v>4790.5993262507091</v>
      </c>
      <c r="P236" s="109">
        <f t="shared" si="162"/>
        <v>27663.33734395303</v>
      </c>
      <c r="Q236" s="109">
        <f t="shared" si="162"/>
        <v>27171.789774274595</v>
      </c>
      <c r="R236" s="109">
        <f t="shared" si="162"/>
        <v>27672.833981525182</v>
      </c>
      <c r="S236" s="109">
        <f t="shared" si="162"/>
        <v>27598.192699346746</v>
      </c>
      <c r="T236" s="109">
        <f t="shared" si="162"/>
        <v>27265.42433159734</v>
      </c>
      <c r="U236" s="109">
        <f t="shared" si="162"/>
        <v>27607.689336918895</v>
      </c>
      <c r="V236" s="109">
        <f t="shared" si="162"/>
        <v>27274.920969169492</v>
      </c>
      <c r="W236" s="109">
        <f t="shared" si="162"/>
        <v>27617.185974491051</v>
      </c>
      <c r="X236" s="109">
        <f t="shared" si="162"/>
        <v>27701.323894241643</v>
      </c>
      <c r="Y236" s="109">
        <f t="shared" si="162"/>
        <v>27209.776324563205</v>
      </c>
      <c r="Z236" s="109">
        <f t="shared" si="162"/>
        <v>27710.820531813792</v>
      </c>
      <c r="AA236" s="109">
        <f t="shared" si="162"/>
        <v>27219.272962135357</v>
      </c>
      <c r="AB236" s="109">
        <f t="shared" si="162"/>
        <v>27720.317169385948</v>
      </c>
      <c r="AC236" s="109">
        <f t="shared" si="162"/>
        <v>27645.675887207504</v>
      </c>
      <c r="AD236" s="109">
        <f t="shared" si="162"/>
        <v>27312.907519458106</v>
      </c>
      <c r="AE236" s="109">
        <f t="shared" si="162"/>
        <v>27655.17252477966</v>
      </c>
      <c r="AF236" s="109">
        <f t="shared" si="162"/>
        <v>27322.404157030254</v>
      </c>
      <c r="AG236" s="109">
        <f t="shared" si="162"/>
        <v>27664.669162351816</v>
      </c>
      <c r="AH236" s="109">
        <f t="shared" si="162"/>
        <v>27748.807082102401</v>
      </c>
      <c r="AI236" s="109">
        <f t="shared" si="162"/>
        <v>27257.259512423971</v>
      </c>
      <c r="AJ236" s="109">
        <f t="shared" si="162"/>
        <v>27758.303719674557</v>
      </c>
      <c r="AK236" s="109">
        <f t="shared" si="162"/>
        <v>27266.756149996123</v>
      </c>
      <c r="AL236" s="109">
        <f t="shared" si="162"/>
        <v>27767.80035724671</v>
      </c>
      <c r="AM236" s="109">
        <f t="shared" si="162"/>
        <v>28684.184378932696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f t="shared" ref="O237:AM237" si="163">O122*$I237</f>
        <v>152098.2994538958</v>
      </c>
      <c r="P237" s="107">
        <f t="shared" si="163"/>
        <v>456294.8983616879</v>
      </c>
      <c r="Q237" s="107">
        <f t="shared" si="163"/>
        <v>456294.8983616879</v>
      </c>
      <c r="R237" s="107">
        <f t="shared" si="163"/>
        <v>456294.8983616879</v>
      </c>
      <c r="S237" s="107">
        <f t="shared" si="163"/>
        <v>456294.8983616879</v>
      </c>
      <c r="T237" s="107">
        <f t="shared" si="163"/>
        <v>456294.8983616879</v>
      </c>
      <c r="U237" s="107">
        <f t="shared" si="163"/>
        <v>456294.8983616879</v>
      </c>
      <c r="V237" s="107">
        <f t="shared" si="163"/>
        <v>456294.8983616879</v>
      </c>
      <c r="W237" s="107">
        <f t="shared" si="163"/>
        <v>456294.8983616879</v>
      </c>
      <c r="X237" s="107">
        <f t="shared" si="163"/>
        <v>456294.8983616879</v>
      </c>
      <c r="Y237" s="107">
        <f t="shared" si="163"/>
        <v>456294.8983616879</v>
      </c>
      <c r="Z237" s="107">
        <f t="shared" si="163"/>
        <v>456294.8983616879</v>
      </c>
      <c r="AA237" s="107">
        <f t="shared" si="163"/>
        <v>456294.8983616879</v>
      </c>
      <c r="AB237" s="107">
        <f t="shared" si="163"/>
        <v>456294.8983616879</v>
      </c>
      <c r="AC237" s="107">
        <f t="shared" si="163"/>
        <v>456294.8983616879</v>
      </c>
      <c r="AD237" s="107">
        <f t="shared" si="163"/>
        <v>456294.8983616879</v>
      </c>
      <c r="AE237" s="107">
        <f t="shared" si="163"/>
        <v>456294.8983616879</v>
      </c>
      <c r="AF237" s="107">
        <f t="shared" si="163"/>
        <v>456294.8983616879</v>
      </c>
      <c r="AG237" s="107">
        <f t="shared" si="163"/>
        <v>456294.8983616879</v>
      </c>
      <c r="AH237" s="107">
        <f t="shared" si="163"/>
        <v>456294.8983616879</v>
      </c>
      <c r="AI237" s="107">
        <f t="shared" si="163"/>
        <v>456294.8983616879</v>
      </c>
      <c r="AJ237" s="107">
        <f t="shared" si="163"/>
        <v>456294.8983616879</v>
      </c>
      <c r="AK237" s="107">
        <f t="shared" si="163"/>
        <v>456294.8983616879</v>
      </c>
      <c r="AL237" s="107">
        <f t="shared" si="163"/>
        <v>456294.8983616879</v>
      </c>
      <c r="AM237" s="107">
        <f t="shared" si="163"/>
        <v>456294.8983616879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f t="shared" ref="O238:AM238" si="164">$I$238*O106</f>
        <v>-100308.03646740165</v>
      </c>
      <c r="P238" s="107">
        <f t="shared" si="164"/>
        <v>-157231.79194057404</v>
      </c>
      <c r="Q238" s="107">
        <f t="shared" si="164"/>
        <v>-162545.81972088147</v>
      </c>
      <c r="R238" s="107">
        <f t="shared" si="164"/>
        <v>-157129.12558844266</v>
      </c>
      <c r="S238" s="107">
        <f t="shared" si="164"/>
        <v>-157936.05836875009</v>
      </c>
      <c r="T238" s="107">
        <f t="shared" si="164"/>
        <v>-161533.55423631123</v>
      </c>
      <c r="U238" s="107">
        <f t="shared" si="164"/>
        <v>-157833.39201661875</v>
      </c>
      <c r="V238" s="107">
        <f t="shared" si="164"/>
        <v>-161430.88788417989</v>
      </c>
      <c r="W238" s="107">
        <f t="shared" si="164"/>
        <v>-157730.72566448734</v>
      </c>
      <c r="X238" s="107">
        <f t="shared" si="164"/>
        <v>-156821.12653204851</v>
      </c>
      <c r="Y238" s="107">
        <f t="shared" si="164"/>
        <v>-162135.15431235597</v>
      </c>
      <c r="Z238" s="107">
        <f t="shared" si="164"/>
        <v>-156718.46017991714</v>
      </c>
      <c r="AA238" s="107">
        <f t="shared" si="164"/>
        <v>-162032.48796022456</v>
      </c>
      <c r="AB238" s="107">
        <f t="shared" si="164"/>
        <v>-156615.79382778576</v>
      </c>
      <c r="AC238" s="107">
        <f t="shared" si="164"/>
        <v>-157422.72660809322</v>
      </c>
      <c r="AD238" s="107">
        <f t="shared" si="164"/>
        <v>-161020.22247565436</v>
      </c>
      <c r="AE238" s="107">
        <f t="shared" si="164"/>
        <v>-157320.06025596184</v>
      </c>
      <c r="AF238" s="107">
        <f t="shared" si="164"/>
        <v>-160917.55612352298</v>
      </c>
      <c r="AG238" s="107">
        <f t="shared" si="164"/>
        <v>-157217.39390383047</v>
      </c>
      <c r="AH238" s="107">
        <f t="shared" si="164"/>
        <v>-156307.79477139164</v>
      </c>
      <c r="AI238" s="107">
        <f t="shared" si="164"/>
        <v>-161621.82255169904</v>
      </c>
      <c r="AJ238" s="107">
        <f t="shared" si="164"/>
        <v>-156205.12841926023</v>
      </c>
      <c r="AK238" s="107">
        <f t="shared" si="164"/>
        <v>-161519.15619956766</v>
      </c>
      <c r="AL238" s="107">
        <f t="shared" si="164"/>
        <v>-156102.46206712886</v>
      </c>
      <c r="AM238" s="107">
        <f t="shared" si="164"/>
        <v>-146195.60777863176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165">N243</f>
        <v>0</v>
      </c>
      <c r="P240" s="109">
        <f t="shared" si="165"/>
        <v>100308.03646740165</v>
      </c>
      <c r="Q240" s="109">
        <f t="shared" si="165"/>
        <v>200788.60955501645</v>
      </c>
      <c r="R240" s="109">
        <f t="shared" si="165"/>
        <v>306091.66285326023</v>
      </c>
      <c r="S240" s="109">
        <f t="shared" si="165"/>
        <v>406479.0662263158</v>
      </c>
      <c r="T240" s="109">
        <f t="shared" si="165"/>
        <v>507598.76109750033</v>
      </c>
      <c r="U240" s="109">
        <f t="shared" si="165"/>
        <v>611983.18346849666</v>
      </c>
      <c r="V240" s="109">
        <f t="shared" si="165"/>
        <v>713009.70862512209</v>
      </c>
      <c r="W240" s="109">
        <f t="shared" si="165"/>
        <v>817300.96128155931</v>
      </c>
      <c r="X240" s="109">
        <f t="shared" si="165"/>
        <v>918234.31672362541</v>
      </c>
      <c r="Y240" s="109">
        <f t="shared" si="165"/>
        <v>1018342.2109530033</v>
      </c>
      <c r="Z240" s="109">
        <f t="shared" si="165"/>
        <v>1123272.5853930102</v>
      </c>
      <c r="AA240" s="109">
        <f t="shared" si="165"/>
        <v>1223287.3099078287</v>
      </c>
      <c r="AB240" s="109">
        <f t="shared" si="165"/>
        <v>1328124.5146332763</v>
      </c>
      <c r="AC240" s="109">
        <f t="shared" si="165"/>
        <v>1428046.0694335359</v>
      </c>
      <c r="AD240" s="109">
        <f t="shared" si="165"/>
        <v>1528699.9157319244</v>
      </c>
      <c r="AE240" s="109">
        <f t="shared" si="165"/>
        <v>1632618.4895301247</v>
      </c>
      <c r="AF240" s="109">
        <f t="shared" si="165"/>
        <v>1733179.166113954</v>
      </c>
      <c r="AG240" s="109">
        <f t="shared" si="165"/>
        <v>1837004.5701975951</v>
      </c>
      <c r="AH240" s="109">
        <f t="shared" si="165"/>
        <v>1937472.0770668651</v>
      </c>
      <c r="AI240" s="109">
        <f t="shared" si="165"/>
        <v>2037114.1227234469</v>
      </c>
      <c r="AJ240" s="109">
        <f t="shared" si="165"/>
        <v>2141578.6485906579</v>
      </c>
      <c r="AK240" s="109">
        <f t="shared" si="165"/>
        <v>2241127.5245326804</v>
      </c>
      <c r="AL240" s="109">
        <f t="shared" si="165"/>
        <v>2345498.8806853318</v>
      </c>
      <c r="AM240" s="109">
        <f t="shared" si="165"/>
        <v>2444954.586912795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100308.03646740165</v>
      </c>
      <c r="P241" s="107">
        <f t="shared" ref="P241:AM241" si="166">MAX(-P238,0)</f>
        <v>157231.79194057404</v>
      </c>
      <c r="Q241" s="107">
        <f t="shared" si="166"/>
        <v>162545.81972088147</v>
      </c>
      <c r="R241" s="107">
        <f t="shared" si="166"/>
        <v>157129.12558844266</v>
      </c>
      <c r="S241" s="107">
        <f t="shared" si="166"/>
        <v>157936.05836875009</v>
      </c>
      <c r="T241" s="107">
        <f t="shared" si="166"/>
        <v>161533.55423631123</v>
      </c>
      <c r="U241" s="107">
        <f t="shared" si="166"/>
        <v>157833.39201661875</v>
      </c>
      <c r="V241" s="107">
        <f t="shared" si="166"/>
        <v>161430.88788417989</v>
      </c>
      <c r="W241" s="107">
        <f t="shared" si="166"/>
        <v>157730.72566448734</v>
      </c>
      <c r="X241" s="107">
        <f t="shared" si="166"/>
        <v>156821.12653204851</v>
      </c>
      <c r="Y241" s="107">
        <f t="shared" si="166"/>
        <v>162135.15431235597</v>
      </c>
      <c r="Z241" s="107">
        <f t="shared" si="166"/>
        <v>156718.46017991714</v>
      </c>
      <c r="AA241" s="107">
        <f t="shared" si="166"/>
        <v>162032.48796022456</v>
      </c>
      <c r="AB241" s="107">
        <f t="shared" si="166"/>
        <v>156615.79382778576</v>
      </c>
      <c r="AC241" s="107">
        <f t="shared" si="166"/>
        <v>157422.72660809322</v>
      </c>
      <c r="AD241" s="107">
        <f t="shared" si="166"/>
        <v>161020.22247565436</v>
      </c>
      <c r="AE241" s="107">
        <f t="shared" si="166"/>
        <v>157320.06025596184</v>
      </c>
      <c r="AF241" s="107">
        <f t="shared" si="166"/>
        <v>160917.55612352298</v>
      </c>
      <c r="AG241" s="107">
        <f t="shared" si="166"/>
        <v>157217.39390383047</v>
      </c>
      <c r="AH241" s="107">
        <f t="shared" si="166"/>
        <v>156307.79477139164</v>
      </c>
      <c r="AI241" s="107">
        <f t="shared" si="166"/>
        <v>161621.82255169904</v>
      </c>
      <c r="AJ241" s="107">
        <f t="shared" si="166"/>
        <v>156205.12841926023</v>
      </c>
      <c r="AK241" s="107">
        <f t="shared" si="166"/>
        <v>161519.15619956766</v>
      </c>
      <c r="AL241" s="107">
        <f t="shared" si="166"/>
        <v>156102.46206712886</v>
      </c>
      <c r="AM241" s="107">
        <f t="shared" si="166"/>
        <v>146195.60777863176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167">-MAX(0,MIN(P240,$I$242*(P237-P238)))</f>
        <v>-56751.218852959231</v>
      </c>
      <c r="Q242" s="107">
        <f t="shared" si="167"/>
        <v>-57242.766422637658</v>
      </c>
      <c r="R242" s="107">
        <f t="shared" si="167"/>
        <v>-56741.722215387075</v>
      </c>
      <c r="S242" s="107">
        <f t="shared" si="167"/>
        <v>-56816.363497565508</v>
      </c>
      <c r="T242" s="107">
        <f t="shared" si="167"/>
        <v>-57149.131865314921</v>
      </c>
      <c r="U242" s="107">
        <f t="shared" si="167"/>
        <v>-56806.866859993366</v>
      </c>
      <c r="V242" s="107">
        <f t="shared" si="167"/>
        <v>-57139.635227742772</v>
      </c>
      <c r="W242" s="107">
        <f t="shared" si="167"/>
        <v>-56797.37022242121</v>
      </c>
      <c r="X242" s="107">
        <f t="shared" si="167"/>
        <v>-56713.232302670622</v>
      </c>
      <c r="Y242" s="107">
        <f t="shared" si="167"/>
        <v>-57204.779872349063</v>
      </c>
      <c r="Z242" s="107">
        <f t="shared" si="167"/>
        <v>-56703.735665098466</v>
      </c>
      <c r="AA242" s="107">
        <f t="shared" si="167"/>
        <v>-57195.283234776907</v>
      </c>
      <c r="AB242" s="107">
        <f t="shared" si="167"/>
        <v>-56694.23902752631</v>
      </c>
      <c r="AC242" s="107">
        <f t="shared" si="167"/>
        <v>-56768.880309704757</v>
      </c>
      <c r="AD242" s="107">
        <f t="shared" si="167"/>
        <v>-57101.648677454155</v>
      </c>
      <c r="AE242" s="107">
        <f t="shared" si="167"/>
        <v>-56759.383672132601</v>
      </c>
      <c r="AF242" s="107">
        <f t="shared" si="167"/>
        <v>-57092.152039881999</v>
      </c>
      <c r="AG242" s="107">
        <f t="shared" si="167"/>
        <v>-56749.887034560445</v>
      </c>
      <c r="AH242" s="107">
        <f t="shared" si="167"/>
        <v>-56665.749114809856</v>
      </c>
      <c r="AI242" s="107">
        <f t="shared" si="167"/>
        <v>-57157.29668448829</v>
      </c>
      <c r="AJ242" s="107">
        <f t="shared" si="167"/>
        <v>-56656.252477237707</v>
      </c>
      <c r="AK242" s="107">
        <f t="shared" si="167"/>
        <v>-57147.800046916134</v>
      </c>
      <c r="AL242" s="107">
        <f t="shared" si="167"/>
        <v>-56646.755839665551</v>
      </c>
      <c r="AM242" s="107">
        <f t="shared" si="167"/>
        <v>-55730.371817979569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168">SUM(O240:O242)</f>
        <v>100308.03646740165</v>
      </c>
      <c r="P243" s="109">
        <f t="shared" si="168"/>
        <v>200788.60955501645</v>
      </c>
      <c r="Q243" s="109">
        <f t="shared" si="168"/>
        <v>306091.66285326023</v>
      </c>
      <c r="R243" s="109">
        <f t="shared" si="168"/>
        <v>406479.0662263158</v>
      </c>
      <c r="S243" s="109">
        <f t="shared" si="168"/>
        <v>507598.76109750033</v>
      </c>
      <c r="T243" s="109">
        <f t="shared" si="168"/>
        <v>611983.18346849666</v>
      </c>
      <c r="U243" s="109">
        <f t="shared" si="168"/>
        <v>713009.70862512209</v>
      </c>
      <c r="V243" s="109">
        <f t="shared" si="168"/>
        <v>817300.96128155931</v>
      </c>
      <c r="W243" s="109">
        <f t="shared" si="168"/>
        <v>918234.31672362541</v>
      </c>
      <c r="X243" s="109">
        <f t="shared" si="168"/>
        <v>1018342.2109530033</v>
      </c>
      <c r="Y243" s="109">
        <f t="shared" si="168"/>
        <v>1123272.5853930102</v>
      </c>
      <c r="Z243" s="109">
        <f t="shared" si="168"/>
        <v>1223287.3099078287</v>
      </c>
      <c r="AA243" s="109">
        <f t="shared" si="168"/>
        <v>1328124.5146332763</v>
      </c>
      <c r="AB243" s="109">
        <f t="shared" si="168"/>
        <v>1428046.0694335359</v>
      </c>
      <c r="AC243" s="109">
        <f t="shared" si="168"/>
        <v>1528699.9157319244</v>
      </c>
      <c r="AD243" s="109">
        <f t="shared" si="168"/>
        <v>1632618.4895301247</v>
      </c>
      <c r="AE243" s="109">
        <f t="shared" si="168"/>
        <v>1733179.166113954</v>
      </c>
      <c r="AF243" s="109">
        <f t="shared" si="168"/>
        <v>1837004.5701975951</v>
      </c>
      <c r="AG243" s="109">
        <f t="shared" si="168"/>
        <v>1937472.0770668651</v>
      </c>
      <c r="AH243" s="109">
        <f t="shared" si="168"/>
        <v>2037114.1227234469</v>
      </c>
      <c r="AI243" s="109">
        <f t="shared" si="168"/>
        <v>2141578.6485906579</v>
      </c>
      <c r="AJ243" s="109">
        <f t="shared" si="168"/>
        <v>2241127.5245326804</v>
      </c>
      <c r="AK243" s="109">
        <f t="shared" si="168"/>
        <v>2345498.8806853318</v>
      </c>
      <c r="AL243" s="109">
        <f t="shared" si="168"/>
        <v>2444954.586912795</v>
      </c>
      <c r="AM243" s="109">
        <f t="shared" si="168"/>
        <v>2535419.8228734471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169">SUM(O245:AV245)</f>
        <v>7961800.9678413235</v>
      </c>
      <c r="M245" s="1"/>
      <c r="N245" s="1"/>
      <c r="O245" s="328">
        <f t="shared" ref="O245:AM245" si="170">O75-O14-O236-O110</f>
        <v>93814.692982236404</v>
      </c>
      <c r="P245" s="328">
        <f t="shared" si="170"/>
        <v>329698.10624603112</v>
      </c>
      <c r="Q245" s="328">
        <f t="shared" si="170"/>
        <v>324180.19381570956</v>
      </c>
      <c r="R245" s="328">
        <f t="shared" si="170"/>
        <v>329688.60960845894</v>
      </c>
      <c r="S245" s="328">
        <f t="shared" si="170"/>
        <v>329763.2508906374</v>
      </c>
      <c r="T245" s="328">
        <f t="shared" si="170"/>
        <v>324086.55925838678</v>
      </c>
      <c r="U245" s="328">
        <f t="shared" si="170"/>
        <v>329753.75425306527</v>
      </c>
      <c r="V245" s="328">
        <f t="shared" si="170"/>
        <v>324077.06262081466</v>
      </c>
      <c r="W245" s="328">
        <f t="shared" si="170"/>
        <v>329744.25761549309</v>
      </c>
      <c r="X245" s="328">
        <f t="shared" si="170"/>
        <v>329660.1196957425</v>
      </c>
      <c r="Y245" s="328">
        <f t="shared" si="170"/>
        <v>324142.20726542093</v>
      </c>
      <c r="Z245" s="328">
        <f t="shared" si="170"/>
        <v>329650.62305817037</v>
      </c>
      <c r="AA245" s="328">
        <f t="shared" si="170"/>
        <v>324132.71062784875</v>
      </c>
      <c r="AB245" s="328">
        <f t="shared" si="170"/>
        <v>329641.12642059819</v>
      </c>
      <c r="AC245" s="328">
        <f t="shared" si="170"/>
        <v>329715.76770277665</v>
      </c>
      <c r="AD245" s="328">
        <f t="shared" si="170"/>
        <v>324039.07607052603</v>
      </c>
      <c r="AE245" s="328">
        <f t="shared" si="170"/>
        <v>329706.27106520446</v>
      </c>
      <c r="AF245" s="328">
        <f t="shared" si="170"/>
        <v>324029.57943295385</v>
      </c>
      <c r="AG245" s="328">
        <f t="shared" si="170"/>
        <v>329696.77442763234</v>
      </c>
      <c r="AH245" s="328">
        <f t="shared" si="170"/>
        <v>329612.63650788175</v>
      </c>
      <c r="AI245" s="328">
        <f t="shared" si="170"/>
        <v>324094.72407756018</v>
      </c>
      <c r="AJ245" s="328">
        <f t="shared" si="170"/>
        <v>329603.13987030962</v>
      </c>
      <c r="AK245" s="328">
        <f t="shared" si="170"/>
        <v>324085.227439988</v>
      </c>
      <c r="AL245" s="328">
        <f t="shared" si="170"/>
        <v>329593.64323273744</v>
      </c>
      <c r="AM245" s="328">
        <f t="shared" si="170"/>
        <v>335590.85365513852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f>$I247*(O248-O249)</f>
        <v>14072.20394733546</v>
      </c>
      <c r="P247" s="109">
        <f t="shared" ref="P247:AM247" si="171">$I247*(P248-P249)</f>
        <v>49454.715936904664</v>
      </c>
      <c r="Q247" s="109">
        <f t="shared" si="171"/>
        <v>48627.029072356432</v>
      </c>
      <c r="R247" s="109">
        <f t="shared" si="171"/>
        <v>49453.291441268841</v>
      </c>
      <c r="S247" s="109">
        <f t="shared" si="171"/>
        <v>49464.487633595607</v>
      </c>
      <c r="T247" s="109">
        <f t="shared" si="171"/>
        <v>48612.983888758019</v>
      </c>
      <c r="U247" s="109">
        <f t="shared" si="171"/>
        <v>49463.063137959791</v>
      </c>
      <c r="V247" s="109">
        <f t="shared" si="171"/>
        <v>48611.559393122196</v>
      </c>
      <c r="W247" s="109">
        <f t="shared" si="171"/>
        <v>49461.63864232396</v>
      </c>
      <c r="X247" s="109">
        <f t="shared" si="171"/>
        <v>49449.01795436137</v>
      </c>
      <c r="Y247" s="109">
        <f t="shared" si="171"/>
        <v>48621.331089813139</v>
      </c>
      <c r="Z247" s="109">
        <f t="shared" si="171"/>
        <v>49447.593458725554</v>
      </c>
      <c r="AA247" s="109">
        <f t="shared" si="171"/>
        <v>48619.906594177308</v>
      </c>
      <c r="AB247" s="109">
        <f t="shared" si="171"/>
        <v>49446.168963089724</v>
      </c>
      <c r="AC247" s="109">
        <f t="shared" si="171"/>
        <v>49457.365155416497</v>
      </c>
      <c r="AD247" s="109">
        <f t="shared" si="171"/>
        <v>48605.861410578902</v>
      </c>
      <c r="AE247" s="109">
        <f t="shared" si="171"/>
        <v>49455.940659780666</v>
      </c>
      <c r="AF247" s="109">
        <f t="shared" si="171"/>
        <v>48604.436914943079</v>
      </c>
      <c r="AG247" s="109">
        <f t="shared" si="171"/>
        <v>49454.51616414485</v>
      </c>
      <c r="AH247" s="109">
        <f t="shared" si="171"/>
        <v>49441.895476182261</v>
      </c>
      <c r="AI247" s="109">
        <f t="shared" si="171"/>
        <v>48614.208611634029</v>
      </c>
      <c r="AJ247" s="109">
        <f t="shared" si="171"/>
        <v>49440.470980546444</v>
      </c>
      <c r="AK247" s="109">
        <f t="shared" si="171"/>
        <v>48612.784115998198</v>
      </c>
      <c r="AL247" s="109">
        <f t="shared" si="171"/>
        <v>49439.046484910614</v>
      </c>
      <c r="AM247" s="109">
        <f t="shared" si="171"/>
        <v>50338.628048270773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f>O245</f>
        <v>93814.692982236404</v>
      </c>
      <c r="P248" s="107">
        <f t="shared" ref="P248:AM248" si="172">P245</f>
        <v>329698.10624603112</v>
      </c>
      <c r="Q248" s="107">
        <f t="shared" si="172"/>
        <v>324180.19381570956</v>
      </c>
      <c r="R248" s="107">
        <f t="shared" si="172"/>
        <v>329688.60960845894</v>
      </c>
      <c r="S248" s="107">
        <f t="shared" si="172"/>
        <v>329763.2508906374</v>
      </c>
      <c r="T248" s="107">
        <f t="shared" si="172"/>
        <v>324086.55925838678</v>
      </c>
      <c r="U248" s="107">
        <f t="shared" si="172"/>
        <v>329753.75425306527</v>
      </c>
      <c r="V248" s="107">
        <f t="shared" si="172"/>
        <v>324077.06262081466</v>
      </c>
      <c r="W248" s="107">
        <f t="shared" si="172"/>
        <v>329744.25761549309</v>
      </c>
      <c r="X248" s="107">
        <f t="shared" si="172"/>
        <v>329660.1196957425</v>
      </c>
      <c r="Y248" s="107">
        <f t="shared" si="172"/>
        <v>324142.20726542093</v>
      </c>
      <c r="Z248" s="107">
        <f t="shared" si="172"/>
        <v>329650.62305817037</v>
      </c>
      <c r="AA248" s="107">
        <f t="shared" si="172"/>
        <v>324132.71062784875</v>
      </c>
      <c r="AB248" s="107">
        <f t="shared" si="172"/>
        <v>329641.12642059819</v>
      </c>
      <c r="AC248" s="107">
        <f t="shared" si="172"/>
        <v>329715.76770277665</v>
      </c>
      <c r="AD248" s="107">
        <f t="shared" si="172"/>
        <v>324039.07607052603</v>
      </c>
      <c r="AE248" s="107">
        <f t="shared" si="172"/>
        <v>329706.27106520446</v>
      </c>
      <c r="AF248" s="107">
        <f t="shared" si="172"/>
        <v>324029.57943295385</v>
      </c>
      <c r="AG248" s="107">
        <f t="shared" si="172"/>
        <v>329696.77442763234</v>
      </c>
      <c r="AH248" s="107">
        <f t="shared" si="172"/>
        <v>329612.63650788175</v>
      </c>
      <c r="AI248" s="107">
        <f t="shared" si="172"/>
        <v>324094.72407756018</v>
      </c>
      <c r="AJ248" s="107">
        <f t="shared" si="172"/>
        <v>329603.13987030962</v>
      </c>
      <c r="AK248" s="107">
        <f t="shared" si="172"/>
        <v>324085.227439988</v>
      </c>
      <c r="AL248" s="107">
        <f t="shared" si="172"/>
        <v>329593.64323273744</v>
      </c>
      <c r="AM248" s="107">
        <f t="shared" si="172"/>
        <v>335590.85365513852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f t="shared" ref="O249:AM249" si="173">$I249</f>
        <v>0</v>
      </c>
      <c r="P249" s="107">
        <f t="shared" si="173"/>
        <v>0</v>
      </c>
      <c r="Q249" s="107">
        <f t="shared" si="173"/>
        <v>0</v>
      </c>
      <c r="R249" s="107">
        <f t="shared" si="173"/>
        <v>0</v>
      </c>
      <c r="S249" s="107">
        <f t="shared" si="173"/>
        <v>0</v>
      </c>
      <c r="T249" s="107">
        <f t="shared" si="173"/>
        <v>0</v>
      </c>
      <c r="U249" s="107">
        <f t="shared" si="173"/>
        <v>0</v>
      </c>
      <c r="V249" s="107">
        <f t="shared" si="173"/>
        <v>0</v>
      </c>
      <c r="W249" s="107">
        <f t="shared" si="173"/>
        <v>0</v>
      </c>
      <c r="X249" s="107">
        <f t="shared" si="173"/>
        <v>0</v>
      </c>
      <c r="Y249" s="107">
        <f t="shared" si="173"/>
        <v>0</v>
      </c>
      <c r="Z249" s="107">
        <f t="shared" si="173"/>
        <v>0</v>
      </c>
      <c r="AA249" s="107">
        <f t="shared" si="173"/>
        <v>0</v>
      </c>
      <c r="AB249" s="107">
        <f t="shared" si="173"/>
        <v>0</v>
      </c>
      <c r="AC249" s="107">
        <f t="shared" si="173"/>
        <v>0</v>
      </c>
      <c r="AD249" s="107">
        <f t="shared" si="173"/>
        <v>0</v>
      </c>
      <c r="AE249" s="107">
        <f t="shared" si="173"/>
        <v>0</v>
      </c>
      <c r="AF249" s="107">
        <f t="shared" si="173"/>
        <v>0</v>
      </c>
      <c r="AG249" s="107">
        <f t="shared" si="173"/>
        <v>0</v>
      </c>
      <c r="AH249" s="107">
        <f t="shared" si="173"/>
        <v>0</v>
      </c>
      <c r="AI249" s="107">
        <f t="shared" si="173"/>
        <v>0</v>
      </c>
      <c r="AJ249" s="107">
        <f t="shared" si="173"/>
        <v>0</v>
      </c>
      <c r="AK249" s="107">
        <f t="shared" si="173"/>
        <v>0</v>
      </c>
      <c r="AL249" s="107">
        <f t="shared" si="173"/>
        <v>0</v>
      </c>
      <c r="AM249" s="107">
        <f t="shared" si="173"/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f t="shared" ref="O251:AM251" si="174">MAX($I251*(O252-O253),0)</f>
        <v>0</v>
      </c>
      <c r="P251" s="481">
        <f t="shared" si="174"/>
        <v>8969.810624603113</v>
      </c>
      <c r="Q251" s="481">
        <f t="shared" si="174"/>
        <v>8418.0193815709554</v>
      </c>
      <c r="R251" s="481">
        <f t="shared" si="174"/>
        <v>8968.8609608458937</v>
      </c>
      <c r="S251" s="481">
        <f t="shared" si="174"/>
        <v>8976.325089063741</v>
      </c>
      <c r="T251" s="481">
        <f t="shared" si="174"/>
        <v>8408.6559258386787</v>
      </c>
      <c r="U251" s="481">
        <f t="shared" si="174"/>
        <v>8975.3754253065272</v>
      </c>
      <c r="V251" s="481">
        <f t="shared" si="174"/>
        <v>8407.7062620814668</v>
      </c>
      <c r="W251" s="481">
        <f t="shared" si="174"/>
        <v>8974.4257615493098</v>
      </c>
      <c r="X251" s="481">
        <f t="shared" si="174"/>
        <v>8966.0119695742505</v>
      </c>
      <c r="Y251" s="481">
        <f t="shared" si="174"/>
        <v>8414.220726542093</v>
      </c>
      <c r="Z251" s="481">
        <f t="shared" si="174"/>
        <v>8965.0623058170368</v>
      </c>
      <c r="AA251" s="481">
        <f t="shared" si="174"/>
        <v>8413.2710627848755</v>
      </c>
      <c r="AB251" s="481">
        <f t="shared" si="174"/>
        <v>8964.1126420598193</v>
      </c>
      <c r="AC251" s="481">
        <f t="shared" si="174"/>
        <v>8971.5767702776648</v>
      </c>
      <c r="AD251" s="481">
        <f t="shared" si="174"/>
        <v>8403.9076070526044</v>
      </c>
      <c r="AE251" s="481">
        <f t="shared" si="174"/>
        <v>8970.6271065204473</v>
      </c>
      <c r="AF251" s="481">
        <f t="shared" si="174"/>
        <v>8402.9579432953851</v>
      </c>
      <c r="AG251" s="481">
        <f t="shared" si="174"/>
        <v>8969.6774427632336</v>
      </c>
      <c r="AH251" s="481">
        <f t="shared" si="174"/>
        <v>8961.2636507881743</v>
      </c>
      <c r="AI251" s="481">
        <f t="shared" si="174"/>
        <v>8409.4724077560186</v>
      </c>
      <c r="AJ251" s="481">
        <f t="shared" si="174"/>
        <v>8960.3139870309624</v>
      </c>
      <c r="AK251" s="481">
        <f t="shared" si="174"/>
        <v>8408.5227439987993</v>
      </c>
      <c r="AL251" s="481">
        <f t="shared" si="174"/>
        <v>8959.3643232737431</v>
      </c>
      <c r="AM251" s="481">
        <f t="shared" si="174"/>
        <v>9559.0853655138526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f>O245</f>
        <v>93814.692982236404</v>
      </c>
      <c r="P252" s="107">
        <f t="shared" ref="P252:AM252" si="175">P245</f>
        <v>329698.10624603112</v>
      </c>
      <c r="Q252" s="107">
        <f t="shared" si="175"/>
        <v>324180.19381570956</v>
      </c>
      <c r="R252" s="107">
        <f t="shared" si="175"/>
        <v>329688.60960845894</v>
      </c>
      <c r="S252" s="107">
        <f t="shared" si="175"/>
        <v>329763.2508906374</v>
      </c>
      <c r="T252" s="107">
        <f t="shared" si="175"/>
        <v>324086.55925838678</v>
      </c>
      <c r="U252" s="107">
        <f t="shared" si="175"/>
        <v>329753.75425306527</v>
      </c>
      <c r="V252" s="107">
        <f t="shared" si="175"/>
        <v>324077.06262081466</v>
      </c>
      <c r="W252" s="107">
        <f t="shared" si="175"/>
        <v>329744.25761549309</v>
      </c>
      <c r="X252" s="107">
        <f t="shared" si="175"/>
        <v>329660.1196957425</v>
      </c>
      <c r="Y252" s="107">
        <f t="shared" si="175"/>
        <v>324142.20726542093</v>
      </c>
      <c r="Z252" s="107">
        <f t="shared" si="175"/>
        <v>329650.62305817037</v>
      </c>
      <c r="AA252" s="107">
        <f t="shared" si="175"/>
        <v>324132.71062784875</v>
      </c>
      <c r="AB252" s="107">
        <f t="shared" si="175"/>
        <v>329641.12642059819</v>
      </c>
      <c r="AC252" s="107">
        <f t="shared" si="175"/>
        <v>329715.76770277665</v>
      </c>
      <c r="AD252" s="107">
        <f t="shared" si="175"/>
        <v>324039.07607052603</v>
      </c>
      <c r="AE252" s="107">
        <f t="shared" si="175"/>
        <v>329706.27106520446</v>
      </c>
      <c r="AF252" s="107">
        <f t="shared" si="175"/>
        <v>324029.57943295385</v>
      </c>
      <c r="AG252" s="107">
        <f t="shared" si="175"/>
        <v>329696.77442763234</v>
      </c>
      <c r="AH252" s="107">
        <f t="shared" si="175"/>
        <v>329612.63650788175</v>
      </c>
      <c r="AI252" s="107">
        <f t="shared" si="175"/>
        <v>324094.72407756018</v>
      </c>
      <c r="AJ252" s="107">
        <f t="shared" si="175"/>
        <v>329603.13987030962</v>
      </c>
      <c r="AK252" s="107">
        <f t="shared" si="175"/>
        <v>324085.227439988</v>
      </c>
      <c r="AL252" s="107">
        <f t="shared" si="175"/>
        <v>329593.64323273744</v>
      </c>
      <c r="AM252" s="107">
        <f t="shared" si="175"/>
        <v>335590.85365513852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f t="shared" ref="O253:AM253" si="176">$I253</f>
        <v>240000</v>
      </c>
      <c r="P253" s="107">
        <f t="shared" si="176"/>
        <v>240000</v>
      </c>
      <c r="Q253" s="107">
        <f t="shared" si="176"/>
        <v>240000</v>
      </c>
      <c r="R253" s="107">
        <f t="shared" si="176"/>
        <v>240000</v>
      </c>
      <c r="S253" s="107">
        <f t="shared" si="176"/>
        <v>240000</v>
      </c>
      <c r="T253" s="107">
        <f t="shared" si="176"/>
        <v>240000</v>
      </c>
      <c r="U253" s="107">
        <f t="shared" si="176"/>
        <v>240000</v>
      </c>
      <c r="V253" s="107">
        <f t="shared" si="176"/>
        <v>240000</v>
      </c>
      <c r="W253" s="107">
        <f t="shared" si="176"/>
        <v>240000</v>
      </c>
      <c r="X253" s="107">
        <f t="shared" si="176"/>
        <v>240000</v>
      </c>
      <c r="Y253" s="107">
        <f t="shared" si="176"/>
        <v>240000</v>
      </c>
      <c r="Z253" s="107">
        <f t="shared" si="176"/>
        <v>240000</v>
      </c>
      <c r="AA253" s="107">
        <f t="shared" si="176"/>
        <v>240000</v>
      </c>
      <c r="AB253" s="107">
        <f t="shared" si="176"/>
        <v>240000</v>
      </c>
      <c r="AC253" s="107">
        <f t="shared" si="176"/>
        <v>240000</v>
      </c>
      <c r="AD253" s="107">
        <f t="shared" si="176"/>
        <v>240000</v>
      </c>
      <c r="AE253" s="107">
        <f t="shared" si="176"/>
        <v>240000</v>
      </c>
      <c r="AF253" s="107">
        <f t="shared" si="176"/>
        <v>240000</v>
      </c>
      <c r="AG253" s="107">
        <f t="shared" si="176"/>
        <v>240000</v>
      </c>
      <c r="AH253" s="107">
        <f t="shared" si="176"/>
        <v>240000</v>
      </c>
      <c r="AI253" s="107">
        <f t="shared" si="176"/>
        <v>240000</v>
      </c>
      <c r="AJ253" s="107">
        <f t="shared" si="176"/>
        <v>240000</v>
      </c>
      <c r="AK253" s="107">
        <f t="shared" si="176"/>
        <v>240000</v>
      </c>
      <c r="AL253" s="107">
        <f t="shared" si="176"/>
        <v>240000</v>
      </c>
      <c r="AM253" s="107">
        <f t="shared" si="176"/>
        <v>240000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f>MAX($I255*(O256-O257),0)</f>
        <v>8443.3223684012755</v>
      </c>
      <c r="P255" s="109">
        <f t="shared" ref="P255:AM255" si="177">$I255*(P256-P257)</f>
        <v>29672.829562142801</v>
      </c>
      <c r="Q255" s="109">
        <f t="shared" si="177"/>
        <v>29176.217443413858</v>
      </c>
      <c r="R255" s="109">
        <f t="shared" si="177"/>
        <v>29671.974864761301</v>
      </c>
      <c r="S255" s="109">
        <f t="shared" si="177"/>
        <v>29678.692580157363</v>
      </c>
      <c r="T255" s="109">
        <f t="shared" si="177"/>
        <v>29167.790333254809</v>
      </c>
      <c r="U255" s="109">
        <f t="shared" si="177"/>
        <v>29677.837882775872</v>
      </c>
      <c r="V255" s="109">
        <f t="shared" si="177"/>
        <v>29166.935635873317</v>
      </c>
      <c r="W255" s="109">
        <f t="shared" si="177"/>
        <v>29676.983185394376</v>
      </c>
      <c r="X255" s="109">
        <f t="shared" si="177"/>
        <v>29669.410772616822</v>
      </c>
      <c r="Y255" s="109">
        <f t="shared" si="177"/>
        <v>29172.798653887883</v>
      </c>
      <c r="Z255" s="109">
        <f t="shared" si="177"/>
        <v>29668.556075235334</v>
      </c>
      <c r="AA255" s="109">
        <f t="shared" si="177"/>
        <v>29171.943956506388</v>
      </c>
      <c r="AB255" s="109">
        <f t="shared" si="177"/>
        <v>29667.701377853835</v>
      </c>
      <c r="AC255" s="109">
        <f t="shared" si="177"/>
        <v>29674.419093249897</v>
      </c>
      <c r="AD255" s="109">
        <f t="shared" si="177"/>
        <v>29163.516846347342</v>
      </c>
      <c r="AE255" s="109">
        <f t="shared" si="177"/>
        <v>29673.564395868401</v>
      </c>
      <c r="AF255" s="109">
        <f t="shared" si="177"/>
        <v>29162.662148965846</v>
      </c>
      <c r="AG255" s="109">
        <f t="shared" si="177"/>
        <v>29672.709698486909</v>
      </c>
      <c r="AH255" s="109">
        <f t="shared" si="177"/>
        <v>29665.137285709356</v>
      </c>
      <c r="AI255" s="109">
        <f t="shared" si="177"/>
        <v>29168.525166980417</v>
      </c>
      <c r="AJ255" s="109">
        <f t="shared" si="177"/>
        <v>29664.282588327864</v>
      </c>
      <c r="AK255" s="109">
        <f t="shared" si="177"/>
        <v>29167.670469598917</v>
      </c>
      <c r="AL255" s="109">
        <f t="shared" si="177"/>
        <v>29663.427890946368</v>
      </c>
      <c r="AM255" s="109">
        <f t="shared" si="177"/>
        <v>30203.176828962467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f>O245</f>
        <v>93814.692982236404</v>
      </c>
      <c r="P256" s="107">
        <f t="shared" ref="P256:AM256" si="178">P245</f>
        <v>329698.10624603112</v>
      </c>
      <c r="Q256" s="107">
        <f t="shared" si="178"/>
        <v>324180.19381570956</v>
      </c>
      <c r="R256" s="107">
        <f t="shared" si="178"/>
        <v>329688.60960845894</v>
      </c>
      <c r="S256" s="107">
        <f t="shared" si="178"/>
        <v>329763.2508906374</v>
      </c>
      <c r="T256" s="107">
        <f t="shared" si="178"/>
        <v>324086.55925838678</v>
      </c>
      <c r="U256" s="107">
        <f t="shared" si="178"/>
        <v>329753.75425306527</v>
      </c>
      <c r="V256" s="107">
        <f t="shared" si="178"/>
        <v>324077.06262081466</v>
      </c>
      <c r="W256" s="107">
        <f t="shared" si="178"/>
        <v>329744.25761549309</v>
      </c>
      <c r="X256" s="107">
        <f t="shared" si="178"/>
        <v>329660.1196957425</v>
      </c>
      <c r="Y256" s="107">
        <f t="shared" si="178"/>
        <v>324142.20726542093</v>
      </c>
      <c r="Z256" s="107">
        <f t="shared" si="178"/>
        <v>329650.62305817037</v>
      </c>
      <c r="AA256" s="107">
        <f t="shared" si="178"/>
        <v>324132.71062784875</v>
      </c>
      <c r="AB256" s="107">
        <f t="shared" si="178"/>
        <v>329641.12642059819</v>
      </c>
      <c r="AC256" s="107">
        <f t="shared" si="178"/>
        <v>329715.76770277665</v>
      </c>
      <c r="AD256" s="107">
        <f t="shared" si="178"/>
        <v>324039.07607052603</v>
      </c>
      <c r="AE256" s="107">
        <f t="shared" si="178"/>
        <v>329706.27106520446</v>
      </c>
      <c r="AF256" s="107">
        <f t="shared" si="178"/>
        <v>324029.57943295385</v>
      </c>
      <c r="AG256" s="107">
        <f t="shared" si="178"/>
        <v>329696.77442763234</v>
      </c>
      <c r="AH256" s="107">
        <f t="shared" si="178"/>
        <v>329612.63650788175</v>
      </c>
      <c r="AI256" s="107">
        <f t="shared" si="178"/>
        <v>324094.72407756018</v>
      </c>
      <c r="AJ256" s="107">
        <f t="shared" si="178"/>
        <v>329603.13987030962</v>
      </c>
      <c r="AK256" s="107">
        <f t="shared" si="178"/>
        <v>324085.227439988</v>
      </c>
      <c r="AL256" s="107">
        <f t="shared" si="178"/>
        <v>329593.64323273744</v>
      </c>
      <c r="AM256" s="107">
        <f t="shared" si="178"/>
        <v>335590.85365513852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f t="shared" ref="O257:AM257" si="179">$I257</f>
        <v>0</v>
      </c>
      <c r="P257" s="107">
        <f t="shared" si="179"/>
        <v>0</v>
      </c>
      <c r="Q257" s="107">
        <f t="shared" si="179"/>
        <v>0</v>
      </c>
      <c r="R257" s="107">
        <f t="shared" si="179"/>
        <v>0</v>
      </c>
      <c r="S257" s="107">
        <f t="shared" si="179"/>
        <v>0</v>
      </c>
      <c r="T257" s="107">
        <f t="shared" si="179"/>
        <v>0</v>
      </c>
      <c r="U257" s="107">
        <f t="shared" si="179"/>
        <v>0</v>
      </c>
      <c r="V257" s="107">
        <f t="shared" si="179"/>
        <v>0</v>
      </c>
      <c r="W257" s="107">
        <f t="shared" si="179"/>
        <v>0</v>
      </c>
      <c r="X257" s="107">
        <f t="shared" si="179"/>
        <v>0</v>
      </c>
      <c r="Y257" s="107">
        <f t="shared" si="179"/>
        <v>0</v>
      </c>
      <c r="Z257" s="107">
        <f t="shared" si="179"/>
        <v>0</v>
      </c>
      <c r="AA257" s="107">
        <f t="shared" si="179"/>
        <v>0</v>
      </c>
      <c r="AB257" s="107">
        <f t="shared" si="179"/>
        <v>0</v>
      </c>
      <c r="AC257" s="107">
        <f t="shared" si="179"/>
        <v>0</v>
      </c>
      <c r="AD257" s="107">
        <f t="shared" si="179"/>
        <v>0</v>
      </c>
      <c r="AE257" s="107">
        <f t="shared" si="179"/>
        <v>0</v>
      </c>
      <c r="AF257" s="107">
        <f t="shared" si="179"/>
        <v>0</v>
      </c>
      <c r="AG257" s="107">
        <f t="shared" si="179"/>
        <v>0</v>
      </c>
      <c r="AH257" s="107">
        <f t="shared" si="179"/>
        <v>0</v>
      </c>
      <c r="AI257" s="107">
        <f t="shared" si="179"/>
        <v>0</v>
      </c>
      <c r="AJ257" s="107">
        <f t="shared" si="179"/>
        <v>0</v>
      </c>
      <c r="AK257" s="107">
        <f t="shared" si="179"/>
        <v>0</v>
      </c>
      <c r="AL257" s="107">
        <f t="shared" si="179"/>
        <v>0</v>
      </c>
      <c r="AM257" s="107">
        <f t="shared" si="179"/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'Fluxo Rateio'!$H$34</f>
        <v>0.02</v>
      </c>
      <c r="J260" s="60"/>
      <c r="K260" s="60"/>
      <c r="L260" s="60"/>
      <c r="M260" s="1"/>
      <c r="N260" s="1"/>
      <c r="O260" s="109">
        <f t="shared" ref="O260:AM260" si="180">$I260*(O261-O262)</f>
        <v>3041.9659890779162</v>
      </c>
      <c r="P260" s="109">
        <f t="shared" si="180"/>
        <v>9125.8979672337573</v>
      </c>
      <c r="Q260" s="109">
        <f t="shared" si="180"/>
        <v>9125.8979672337573</v>
      </c>
      <c r="R260" s="109">
        <f t="shared" si="180"/>
        <v>9125.8979672337573</v>
      </c>
      <c r="S260" s="109">
        <f t="shared" si="180"/>
        <v>9125.8979672337573</v>
      </c>
      <c r="T260" s="109">
        <f t="shared" si="180"/>
        <v>9125.8979672337573</v>
      </c>
      <c r="U260" s="109">
        <f t="shared" si="180"/>
        <v>9125.8979672337573</v>
      </c>
      <c r="V260" s="109">
        <f t="shared" si="180"/>
        <v>9125.8979672337573</v>
      </c>
      <c r="W260" s="109">
        <f t="shared" si="180"/>
        <v>9125.8979672337573</v>
      </c>
      <c r="X260" s="109">
        <f t="shared" si="180"/>
        <v>9125.8979672337573</v>
      </c>
      <c r="Y260" s="109">
        <f t="shared" si="180"/>
        <v>9125.8979672337573</v>
      </c>
      <c r="Z260" s="109">
        <f t="shared" si="180"/>
        <v>9125.8979672337573</v>
      </c>
      <c r="AA260" s="109">
        <f t="shared" si="180"/>
        <v>9125.8979672337573</v>
      </c>
      <c r="AB260" s="109">
        <f t="shared" si="180"/>
        <v>9125.8979672337573</v>
      </c>
      <c r="AC260" s="109">
        <f t="shared" si="180"/>
        <v>9125.8979672337573</v>
      </c>
      <c r="AD260" s="109">
        <f t="shared" si="180"/>
        <v>9125.8979672337573</v>
      </c>
      <c r="AE260" s="109">
        <f t="shared" si="180"/>
        <v>9125.8979672337573</v>
      </c>
      <c r="AF260" s="109">
        <f t="shared" si="180"/>
        <v>9125.8979672337573</v>
      </c>
      <c r="AG260" s="109">
        <f t="shared" si="180"/>
        <v>9125.8979672337573</v>
      </c>
      <c r="AH260" s="109">
        <f t="shared" si="180"/>
        <v>9125.8979672337573</v>
      </c>
      <c r="AI260" s="109">
        <f t="shared" si="180"/>
        <v>9125.8979672337573</v>
      </c>
      <c r="AJ260" s="109">
        <f t="shared" si="180"/>
        <v>9125.8979672337573</v>
      </c>
      <c r="AK260" s="109">
        <f t="shared" si="180"/>
        <v>9125.8979672337573</v>
      </c>
      <c r="AL260" s="109">
        <f t="shared" si="180"/>
        <v>9125.8979672337573</v>
      </c>
      <c r="AM260" s="109">
        <f t="shared" si="180"/>
        <v>9125.8979672337573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f t="shared" ref="O261:AM261" si="181">O122*$I213</f>
        <v>152098.2994538958</v>
      </c>
      <c r="P261" s="107">
        <f t="shared" si="181"/>
        <v>456294.8983616879</v>
      </c>
      <c r="Q261" s="107">
        <f t="shared" si="181"/>
        <v>456294.8983616879</v>
      </c>
      <c r="R261" s="107">
        <f t="shared" si="181"/>
        <v>456294.8983616879</v>
      </c>
      <c r="S261" s="107">
        <f t="shared" si="181"/>
        <v>456294.8983616879</v>
      </c>
      <c r="T261" s="107">
        <f t="shared" si="181"/>
        <v>456294.8983616879</v>
      </c>
      <c r="U261" s="107">
        <f t="shared" si="181"/>
        <v>456294.8983616879</v>
      </c>
      <c r="V261" s="107">
        <f t="shared" si="181"/>
        <v>456294.8983616879</v>
      </c>
      <c r="W261" s="107">
        <f t="shared" si="181"/>
        <v>456294.8983616879</v>
      </c>
      <c r="X261" s="107">
        <f t="shared" si="181"/>
        <v>456294.8983616879</v>
      </c>
      <c r="Y261" s="107">
        <f t="shared" si="181"/>
        <v>456294.8983616879</v>
      </c>
      <c r="Z261" s="107">
        <f t="shared" si="181"/>
        <v>456294.8983616879</v>
      </c>
      <c r="AA261" s="107">
        <f t="shared" si="181"/>
        <v>456294.8983616879</v>
      </c>
      <c r="AB261" s="107">
        <f t="shared" si="181"/>
        <v>456294.8983616879</v>
      </c>
      <c r="AC261" s="107">
        <f t="shared" si="181"/>
        <v>456294.8983616879</v>
      </c>
      <c r="AD261" s="107">
        <f t="shared" si="181"/>
        <v>456294.8983616879</v>
      </c>
      <c r="AE261" s="107">
        <f t="shared" si="181"/>
        <v>456294.8983616879</v>
      </c>
      <c r="AF261" s="107">
        <f t="shared" si="181"/>
        <v>456294.8983616879</v>
      </c>
      <c r="AG261" s="107">
        <f t="shared" si="181"/>
        <v>456294.8983616879</v>
      </c>
      <c r="AH261" s="107">
        <f t="shared" si="181"/>
        <v>456294.8983616879</v>
      </c>
      <c r="AI261" s="107">
        <f t="shared" si="181"/>
        <v>456294.8983616879</v>
      </c>
      <c r="AJ261" s="107">
        <f t="shared" si="181"/>
        <v>456294.8983616879</v>
      </c>
      <c r="AK261" s="107">
        <f t="shared" si="181"/>
        <v>456294.8983616879</v>
      </c>
      <c r="AL261" s="107">
        <f t="shared" si="181"/>
        <v>456294.8983616879</v>
      </c>
      <c r="AM261" s="107">
        <f t="shared" si="181"/>
        <v>456294.8983616879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f t="shared" ref="O262:AM262" si="182">$I262</f>
        <v>0</v>
      </c>
      <c r="P262" s="107">
        <f t="shared" si="182"/>
        <v>0</v>
      </c>
      <c r="Q262" s="107">
        <f t="shared" si="182"/>
        <v>0</v>
      </c>
      <c r="R262" s="107">
        <f t="shared" si="182"/>
        <v>0</v>
      </c>
      <c r="S262" s="107">
        <f t="shared" si="182"/>
        <v>0</v>
      </c>
      <c r="T262" s="107">
        <f t="shared" si="182"/>
        <v>0</v>
      </c>
      <c r="U262" s="107">
        <f t="shared" si="182"/>
        <v>0</v>
      </c>
      <c r="V262" s="107">
        <f t="shared" si="182"/>
        <v>0</v>
      </c>
      <c r="W262" s="107">
        <f t="shared" si="182"/>
        <v>0</v>
      </c>
      <c r="X262" s="107">
        <f t="shared" si="182"/>
        <v>0</v>
      </c>
      <c r="Y262" s="107">
        <f t="shared" si="182"/>
        <v>0</v>
      </c>
      <c r="Z262" s="107">
        <f t="shared" si="182"/>
        <v>0</v>
      </c>
      <c r="AA262" s="107">
        <f t="shared" si="182"/>
        <v>0</v>
      </c>
      <c r="AB262" s="107">
        <f t="shared" si="182"/>
        <v>0</v>
      </c>
      <c r="AC262" s="107">
        <f t="shared" si="182"/>
        <v>0</v>
      </c>
      <c r="AD262" s="107">
        <f t="shared" si="182"/>
        <v>0</v>
      </c>
      <c r="AE262" s="107">
        <f t="shared" si="182"/>
        <v>0</v>
      </c>
      <c r="AF262" s="107">
        <f t="shared" si="182"/>
        <v>0</v>
      </c>
      <c r="AG262" s="107">
        <f t="shared" si="182"/>
        <v>0</v>
      </c>
      <c r="AH262" s="107">
        <f t="shared" si="182"/>
        <v>0</v>
      </c>
      <c r="AI262" s="107">
        <f t="shared" si="182"/>
        <v>0</v>
      </c>
      <c r="AJ262" s="107">
        <f t="shared" si="182"/>
        <v>0</v>
      </c>
      <c r="AK262" s="107">
        <f t="shared" si="182"/>
        <v>0</v>
      </c>
      <c r="AL262" s="107">
        <f t="shared" si="182"/>
        <v>0</v>
      </c>
      <c r="AM262" s="107">
        <f t="shared" si="182"/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75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21275.126839896351</v>
      </c>
      <c r="M266" s="183"/>
      <c r="N266" s="183"/>
      <c r="O266" s="445">
        <f t="shared" ref="O266:AM266" si="183">SUM(O267:O268)</f>
        <v>2384.5180477224653</v>
      </c>
      <c r="P266" s="445">
        <f t="shared" si="183"/>
        <v>1574.2173993478232</v>
      </c>
      <c r="Q266" s="445">
        <f t="shared" si="183"/>
        <v>1505.7731645935703</v>
      </c>
      <c r="R266" s="445">
        <f t="shared" si="183"/>
        <v>1437.328929839317</v>
      </c>
      <c r="S266" s="445">
        <f t="shared" si="183"/>
        <v>1368.8846950850639</v>
      </c>
      <c r="T266" s="445">
        <f t="shared" si="183"/>
        <v>1300.4404603308103</v>
      </c>
      <c r="U266" s="445">
        <f t="shared" si="183"/>
        <v>1231.9962255765574</v>
      </c>
      <c r="V266" s="445">
        <f t="shared" si="183"/>
        <v>1163.5519908223043</v>
      </c>
      <c r="W266" s="445">
        <f t="shared" si="183"/>
        <v>1095.1077560680508</v>
      </c>
      <c r="X266" s="445">
        <f t="shared" si="183"/>
        <v>1026.6635213137979</v>
      </c>
      <c r="Y266" s="445">
        <f t="shared" si="183"/>
        <v>958.21928655954468</v>
      </c>
      <c r="Z266" s="445">
        <f t="shared" si="183"/>
        <v>889.77505180529158</v>
      </c>
      <c r="AA266" s="445">
        <f t="shared" si="183"/>
        <v>821.33081705103837</v>
      </c>
      <c r="AB266" s="445">
        <f t="shared" si="183"/>
        <v>752.88658229678526</v>
      </c>
      <c r="AC266" s="445">
        <f t="shared" si="183"/>
        <v>684.44234754253216</v>
      </c>
      <c r="AD266" s="445">
        <f t="shared" si="183"/>
        <v>615.99811278827906</v>
      </c>
      <c r="AE266" s="445">
        <f t="shared" si="183"/>
        <v>547.55387803402584</v>
      </c>
      <c r="AF266" s="445">
        <f t="shared" si="183"/>
        <v>479.1096432797728</v>
      </c>
      <c r="AG266" s="445">
        <f t="shared" si="183"/>
        <v>410.66540852551964</v>
      </c>
      <c r="AH266" s="445">
        <f t="shared" si="183"/>
        <v>342.22117377126631</v>
      </c>
      <c r="AI266" s="445">
        <f t="shared" si="183"/>
        <v>273.77693901701309</v>
      </c>
      <c r="AJ266" s="445">
        <f t="shared" si="183"/>
        <v>205.33270426275982</v>
      </c>
      <c r="AK266" s="445">
        <f t="shared" si="183"/>
        <v>136.88846950850655</v>
      </c>
      <c r="AL266" s="445">
        <f t="shared" si="183"/>
        <v>68.444234754253273</v>
      </c>
      <c r="AM266" s="445">
        <f t="shared" si="183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357677.70715836977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20678.997327965735</v>
      </c>
      <c r="M267" s="183"/>
      <c r="N267" s="183"/>
      <c r="O267" s="450">
        <f>$G$267*$H$267</f>
        <v>1788.3885357918489</v>
      </c>
      <c r="P267" s="450">
        <f>$H$267*($L$75-SUM($O75:P$75))*$F$267</f>
        <v>1574.2173993478232</v>
      </c>
      <c r="Q267" s="450">
        <f>$H$267*($L$75-SUM($O75:Q$75))*$F$267</f>
        <v>1505.7731645935703</v>
      </c>
      <c r="R267" s="450">
        <f>$H$267*($L$75-SUM($O75:R$75))*$F$267</f>
        <v>1437.328929839317</v>
      </c>
      <c r="S267" s="450">
        <f>$H$267*($L$75-SUM($O75:S$75))*$F$267</f>
        <v>1368.8846950850639</v>
      </c>
      <c r="T267" s="450">
        <f>$H$267*($L$75-SUM($O75:T$75))*$F$267</f>
        <v>1300.4404603308103</v>
      </c>
      <c r="U267" s="450">
        <f>$H$267*($L$75-SUM($O75:U$75))*$F$267</f>
        <v>1231.9962255765574</v>
      </c>
      <c r="V267" s="450">
        <f>$H$267*($L$75-SUM($O75:V$75))*$F$267</f>
        <v>1163.5519908223043</v>
      </c>
      <c r="W267" s="450">
        <f>$H$267*($L$75-SUM($O75:W$75))*$F$267</f>
        <v>1095.1077560680508</v>
      </c>
      <c r="X267" s="450">
        <f>$H$267*($L$75-SUM($O75:X$75))*$F$267</f>
        <v>1026.6635213137979</v>
      </c>
      <c r="Y267" s="450">
        <f>$H$267*($L$75-SUM($O75:Y$75))*$F$267</f>
        <v>958.21928655954468</v>
      </c>
      <c r="Z267" s="450">
        <f>$H$267*($L$75-SUM($O75:Z$75))*$F$267</f>
        <v>889.77505180529158</v>
      </c>
      <c r="AA267" s="450">
        <f>$H$267*($L$75-SUM($O75:AA$75))*$F$267</f>
        <v>821.33081705103837</v>
      </c>
      <c r="AB267" s="450">
        <f>$H$267*($L$75-SUM($O75:AB$75))*$F$267</f>
        <v>752.88658229678526</v>
      </c>
      <c r="AC267" s="450">
        <f>$H$267*($L$75-SUM($O75:AC$75))*$F$267</f>
        <v>684.44234754253216</v>
      </c>
      <c r="AD267" s="450">
        <f>$H$267*($L$75-SUM($O75:AD$75))*$F$267</f>
        <v>615.99811278827906</v>
      </c>
      <c r="AE267" s="450">
        <f>$H$267*($L$75-SUM($O75:AE$75))*$F$267</f>
        <v>547.55387803402584</v>
      </c>
      <c r="AF267" s="450">
        <f>$H$267*($L$75-SUM($O75:AF$75))*$F$267</f>
        <v>479.1096432797728</v>
      </c>
      <c r="AG267" s="450">
        <f>$H$267*($L$75-SUM($O75:AG$75))*$F$267</f>
        <v>410.66540852551964</v>
      </c>
      <c r="AH267" s="450">
        <f>$H$267*($L$75-SUM($O75:AH$75))*$F$267</f>
        <v>342.22117377126631</v>
      </c>
      <c r="AI267" s="450">
        <f>$H$267*($L$75-SUM($O75:AI$75))*$F$267</f>
        <v>273.77693901701309</v>
      </c>
      <c r="AJ267" s="450">
        <f>$H$267*($L$75-SUM($O75:AJ$75))*$F$267</f>
        <v>205.33270426275982</v>
      </c>
      <c r="AK267" s="450">
        <f>$H$267*($L$75-SUM($O75:AK$75))*$F$267</f>
        <v>136.88846950850655</v>
      </c>
      <c r="AL267" s="450">
        <f>$H$267*($L$75-SUM($O75:AL$75))*$F$267</f>
        <v>68.444234754253273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119225.90238612326</v>
      </c>
      <c r="H268" s="452">
        <v>5.0000000000000001E-3</v>
      </c>
      <c r="I268" s="451"/>
      <c r="J268" s="451"/>
      <c r="K268" s="451"/>
      <c r="L268" s="453">
        <f>SUM(O268:AM268)</f>
        <v>596.12951193061633</v>
      </c>
      <c r="M268" s="183"/>
      <c r="N268" s="183"/>
      <c r="O268" s="454">
        <f>$H$268*$G$268</f>
        <v>596.12951193061633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1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 t="shared" ref="O272:AM272" si="184">O273+O275</f>
        <v>946074.70236035262</v>
      </c>
      <c r="P272" s="348">
        <f t="shared" si="184"/>
        <v>946074.70236035262</v>
      </c>
      <c r="Q272" s="348">
        <f t="shared" si="184"/>
        <v>946074.70236035262</v>
      </c>
      <c r="R272" s="348">
        <f t="shared" si="184"/>
        <v>946074.70236035262</v>
      </c>
      <c r="S272" s="348">
        <f t="shared" si="184"/>
        <v>1347911.6219847454</v>
      </c>
      <c r="T272" s="348">
        <f t="shared" si="184"/>
        <v>1347911.6219847454</v>
      </c>
      <c r="U272" s="348">
        <f t="shared" si="184"/>
        <v>1347911.6219847454</v>
      </c>
      <c r="V272" s="348">
        <f t="shared" si="184"/>
        <v>1383939.0563293819</v>
      </c>
      <c r="W272" s="348">
        <f t="shared" si="184"/>
        <v>1436958.3690538541</v>
      </c>
      <c r="X272" s="348">
        <f t="shared" si="184"/>
        <v>1436958.3690538541</v>
      </c>
      <c r="Y272" s="348">
        <f t="shared" si="184"/>
        <v>1836063.342167391</v>
      </c>
      <c r="Z272" s="348">
        <f t="shared" si="184"/>
        <v>1836063.342167391</v>
      </c>
      <c r="AA272" s="348">
        <f t="shared" si="184"/>
        <v>2011683.8011395824</v>
      </c>
      <c r="AB272" s="348">
        <f t="shared" si="184"/>
        <v>2011683.8011395824</v>
      </c>
      <c r="AC272" s="348">
        <f t="shared" si="184"/>
        <v>2011683.8011395824</v>
      </c>
      <c r="AD272" s="348">
        <f t="shared" si="184"/>
        <v>2446776.991683905</v>
      </c>
      <c r="AE272" s="348">
        <f t="shared" si="184"/>
        <v>2455104.0512809101</v>
      </c>
      <c r="AF272" s="348">
        <f t="shared" si="184"/>
        <v>2499835.521322228</v>
      </c>
      <c r="AG272" s="348">
        <f t="shared" si="184"/>
        <v>2499835.521322228</v>
      </c>
      <c r="AH272" s="348">
        <f t="shared" si="184"/>
        <v>2499835.521322228</v>
      </c>
      <c r="AI272" s="348">
        <f t="shared" si="184"/>
        <v>2901633.2240327699</v>
      </c>
      <c r="AJ272" s="348">
        <f t="shared" si="184"/>
        <v>2901633.2240327699</v>
      </c>
      <c r="AK272" s="348">
        <f t="shared" si="184"/>
        <v>2937660.6583774067</v>
      </c>
      <c r="AL272" s="348">
        <f t="shared" si="184"/>
        <v>2937660.6583774067</v>
      </c>
      <c r="AM272" s="348">
        <f t="shared" si="184"/>
        <v>2940353.3879744117</v>
      </c>
    </row>
    <row r="273" spans="1:39" ht="15" customHeight="1" x14ac:dyDescent="0.3">
      <c r="B273" s="100" t="s">
        <v>5184</v>
      </c>
      <c r="L273" s="303"/>
      <c r="O273" s="303">
        <f>SUM(O274)</f>
        <v>0</v>
      </c>
      <c r="P273" s="303">
        <f t="shared" ref="P273:AM273" si="185">SUM(P274)</f>
        <v>0</v>
      </c>
      <c r="Q273" s="303">
        <f t="shared" si="185"/>
        <v>0</v>
      </c>
      <c r="R273" s="303">
        <f t="shared" si="185"/>
        <v>0</v>
      </c>
      <c r="S273" s="303">
        <f t="shared" si="185"/>
        <v>0</v>
      </c>
      <c r="T273" s="303">
        <f t="shared" si="185"/>
        <v>0</v>
      </c>
      <c r="U273" s="303">
        <f t="shared" si="185"/>
        <v>0</v>
      </c>
      <c r="V273" s="303">
        <f t="shared" si="185"/>
        <v>0</v>
      </c>
      <c r="W273" s="303">
        <f t="shared" si="185"/>
        <v>0</v>
      </c>
      <c r="X273" s="303">
        <f t="shared" si="185"/>
        <v>0</v>
      </c>
      <c r="Y273" s="303">
        <f t="shared" si="185"/>
        <v>0</v>
      </c>
      <c r="Z273" s="303">
        <f t="shared" si="185"/>
        <v>0</v>
      </c>
      <c r="AA273" s="303">
        <f t="shared" si="185"/>
        <v>0</v>
      </c>
      <c r="AB273" s="303">
        <f t="shared" si="185"/>
        <v>0</v>
      </c>
      <c r="AC273" s="303">
        <f t="shared" si="185"/>
        <v>0</v>
      </c>
      <c r="AD273" s="303">
        <f t="shared" si="185"/>
        <v>0</v>
      </c>
      <c r="AE273" s="303">
        <f t="shared" si="185"/>
        <v>0</v>
      </c>
      <c r="AF273" s="303">
        <f t="shared" si="185"/>
        <v>0</v>
      </c>
      <c r="AG273" s="303">
        <f t="shared" si="185"/>
        <v>0</v>
      </c>
      <c r="AH273" s="303">
        <f t="shared" si="185"/>
        <v>0</v>
      </c>
      <c r="AI273" s="303">
        <f t="shared" si="185"/>
        <v>0</v>
      </c>
      <c r="AJ273" s="303">
        <f t="shared" si="185"/>
        <v>0</v>
      </c>
      <c r="AK273" s="303">
        <f t="shared" si="185"/>
        <v>0</v>
      </c>
      <c r="AL273" s="303">
        <f t="shared" si="185"/>
        <v>0</v>
      </c>
      <c r="AM273" s="303">
        <f t="shared" si="185"/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1">
        <v>0</v>
      </c>
      <c r="U274" s="361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1">
        <v>0</v>
      </c>
      <c r="AD274" s="361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1">
        <v>0</v>
      </c>
      <c r="AM274" s="361"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O276</f>
        <v>946074.70236035262</v>
      </c>
      <c r="P275" s="347">
        <f t="shared" ref="P275:AM275" si="186">P276</f>
        <v>946074.70236035262</v>
      </c>
      <c r="Q275" s="347">
        <f t="shared" si="186"/>
        <v>946074.70236035262</v>
      </c>
      <c r="R275" s="347">
        <f t="shared" si="186"/>
        <v>946074.70236035262</v>
      </c>
      <c r="S275" s="347">
        <f t="shared" si="186"/>
        <v>1347911.6219847454</v>
      </c>
      <c r="T275" s="347">
        <f t="shared" si="186"/>
        <v>1347911.6219847454</v>
      </c>
      <c r="U275" s="347">
        <f t="shared" si="186"/>
        <v>1347911.6219847454</v>
      </c>
      <c r="V275" s="347">
        <f t="shared" si="186"/>
        <v>1383939.0563293819</v>
      </c>
      <c r="W275" s="347">
        <f t="shared" si="186"/>
        <v>1436958.3690538541</v>
      </c>
      <c r="X275" s="347">
        <f t="shared" si="186"/>
        <v>1436958.3690538541</v>
      </c>
      <c r="Y275" s="347">
        <f t="shared" si="186"/>
        <v>1836063.342167391</v>
      </c>
      <c r="Z275" s="347">
        <f t="shared" si="186"/>
        <v>1836063.342167391</v>
      </c>
      <c r="AA275" s="347">
        <f t="shared" si="186"/>
        <v>2011683.8011395824</v>
      </c>
      <c r="AB275" s="347">
        <f t="shared" si="186"/>
        <v>2011683.8011395824</v>
      </c>
      <c r="AC275" s="347">
        <f t="shared" si="186"/>
        <v>2011683.8011395824</v>
      </c>
      <c r="AD275" s="347">
        <f t="shared" si="186"/>
        <v>2446776.991683905</v>
      </c>
      <c r="AE275" s="347">
        <f t="shared" si="186"/>
        <v>2455104.0512809101</v>
      </c>
      <c r="AF275" s="347">
        <f t="shared" si="186"/>
        <v>2499835.521322228</v>
      </c>
      <c r="AG275" s="347">
        <f t="shared" si="186"/>
        <v>2499835.521322228</v>
      </c>
      <c r="AH275" s="347">
        <f t="shared" si="186"/>
        <v>2499835.521322228</v>
      </c>
      <c r="AI275" s="347">
        <f t="shared" si="186"/>
        <v>2901633.2240327699</v>
      </c>
      <c r="AJ275" s="347">
        <f t="shared" si="186"/>
        <v>2901633.2240327699</v>
      </c>
      <c r="AK275" s="347">
        <f t="shared" si="186"/>
        <v>2937660.6583774067</v>
      </c>
      <c r="AL275" s="347">
        <f t="shared" si="186"/>
        <v>2937660.6583774067</v>
      </c>
      <c r="AM275" s="347">
        <f t="shared" si="186"/>
        <v>2940353.3879744117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-SUM($O150:O150)</f>
        <v>946074.70236035262</v>
      </c>
      <c r="P276" s="366">
        <f>-SUM($O150:P150)</f>
        <v>946074.70236035262</v>
      </c>
      <c r="Q276" s="366">
        <f>-SUM($O150:Q150)</f>
        <v>946074.70236035262</v>
      </c>
      <c r="R276" s="366">
        <f>-SUM($O150:R150)</f>
        <v>946074.70236035262</v>
      </c>
      <c r="S276" s="366">
        <f>-SUM($O150:S150)</f>
        <v>1347911.6219847454</v>
      </c>
      <c r="T276" s="366">
        <f>-SUM($O150:T150)</f>
        <v>1347911.6219847454</v>
      </c>
      <c r="U276" s="366">
        <f>-SUM($O150:U150)</f>
        <v>1347911.6219847454</v>
      </c>
      <c r="V276" s="366">
        <f>-SUM($O150:V150)</f>
        <v>1383939.0563293819</v>
      </c>
      <c r="W276" s="366">
        <f>-SUM($O150:W150)</f>
        <v>1436958.3690538541</v>
      </c>
      <c r="X276" s="366">
        <f>-SUM($O150:X150)</f>
        <v>1436958.3690538541</v>
      </c>
      <c r="Y276" s="366">
        <f>-SUM($O150:Y150)</f>
        <v>1836063.342167391</v>
      </c>
      <c r="Z276" s="366">
        <f>-SUM($O150:Z150)</f>
        <v>1836063.342167391</v>
      </c>
      <c r="AA276" s="366">
        <f>-SUM($O150:AA150)</f>
        <v>2011683.8011395824</v>
      </c>
      <c r="AB276" s="366">
        <f>-SUM($O150:AB150)</f>
        <v>2011683.8011395824</v>
      </c>
      <c r="AC276" s="366">
        <f>-SUM($O150:AC150)</f>
        <v>2011683.8011395824</v>
      </c>
      <c r="AD276" s="366">
        <f>-SUM($O150:AD150)</f>
        <v>2446776.991683905</v>
      </c>
      <c r="AE276" s="366">
        <f>-SUM($O150:AE150)</f>
        <v>2455104.0512809101</v>
      </c>
      <c r="AF276" s="366">
        <f>-SUM($O150:AF150)</f>
        <v>2499835.521322228</v>
      </c>
      <c r="AG276" s="366">
        <f>-SUM($O150:AG150)</f>
        <v>2499835.521322228</v>
      </c>
      <c r="AH276" s="366">
        <f>-SUM($O150:AH150)</f>
        <v>2499835.521322228</v>
      </c>
      <c r="AI276" s="366">
        <f>-SUM($O150:AI150)</f>
        <v>2901633.2240327699</v>
      </c>
      <c r="AJ276" s="366">
        <f>-SUM($O150:AJ150)</f>
        <v>2901633.2240327699</v>
      </c>
      <c r="AK276" s="366">
        <f>-SUM($O150:AK150)</f>
        <v>2937660.6583774067</v>
      </c>
      <c r="AL276" s="366">
        <f>-SUM($O150:AL150)</f>
        <v>2937660.6583774067</v>
      </c>
      <c r="AM276" s="366">
        <f>-SUM($O150:AM150)</f>
        <v>2940353.3879744117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SUM(O279:O280)</f>
        <v>946074.70236035262</v>
      </c>
      <c r="P278" s="348">
        <f t="shared" ref="P278:AM278" si="187">SUM(P279:P280)</f>
        <v>946074.70236035262</v>
      </c>
      <c r="Q278" s="348">
        <f t="shared" si="187"/>
        <v>946074.70236035262</v>
      </c>
      <c r="R278" s="348">
        <f t="shared" si="187"/>
        <v>946074.7023603525</v>
      </c>
      <c r="S278" s="348">
        <f t="shared" si="187"/>
        <v>1347911.6219847454</v>
      </c>
      <c r="T278" s="348">
        <f t="shared" si="187"/>
        <v>1347911.6219847454</v>
      </c>
      <c r="U278" s="348">
        <f t="shared" si="187"/>
        <v>1347911.6219847454</v>
      </c>
      <c r="V278" s="348">
        <f t="shared" si="187"/>
        <v>1383939.0563293819</v>
      </c>
      <c r="W278" s="348">
        <f t="shared" si="187"/>
        <v>1436958.3690538541</v>
      </c>
      <c r="X278" s="348">
        <f t="shared" si="187"/>
        <v>1436958.3690538541</v>
      </c>
      <c r="Y278" s="348">
        <f t="shared" si="187"/>
        <v>1836063.342167391</v>
      </c>
      <c r="Z278" s="348">
        <f t="shared" si="187"/>
        <v>1836063.342167391</v>
      </c>
      <c r="AA278" s="348">
        <f t="shared" si="187"/>
        <v>2011683.8011395824</v>
      </c>
      <c r="AB278" s="348">
        <f t="shared" si="187"/>
        <v>2011683.8011395824</v>
      </c>
      <c r="AC278" s="348">
        <f t="shared" si="187"/>
        <v>2011683.8011395824</v>
      </c>
      <c r="AD278" s="348">
        <f t="shared" si="187"/>
        <v>2446776.991683905</v>
      </c>
      <c r="AE278" s="348">
        <f t="shared" si="187"/>
        <v>2455104.0512809101</v>
      </c>
      <c r="AF278" s="348">
        <f t="shared" si="187"/>
        <v>2499835.521322228</v>
      </c>
      <c r="AG278" s="348">
        <f t="shared" si="187"/>
        <v>2499835.521322228</v>
      </c>
      <c r="AH278" s="348">
        <f t="shared" si="187"/>
        <v>2499835.521322228</v>
      </c>
      <c r="AI278" s="348">
        <f t="shared" si="187"/>
        <v>2901633.2240327699</v>
      </c>
      <c r="AJ278" s="348">
        <f t="shared" si="187"/>
        <v>2901633.2240327699</v>
      </c>
      <c r="AK278" s="348">
        <f t="shared" si="187"/>
        <v>2937660.6583774067</v>
      </c>
      <c r="AL278" s="348">
        <f t="shared" si="187"/>
        <v>2937660.6583774067</v>
      </c>
      <c r="AM278" s="348">
        <f t="shared" si="187"/>
        <v>2940353.3879744117</v>
      </c>
    </row>
    <row r="279" spans="1:39" ht="15" customHeight="1" x14ac:dyDescent="0.3">
      <c r="B279" s="100" t="s">
        <v>5188</v>
      </c>
      <c r="O279" s="303">
        <f>SUM($O163:O163,$O164:O164)</f>
        <v>547497.48095582984</v>
      </c>
      <c r="P279" s="303">
        <f>SUM($O163:P163,$O164:P164)</f>
        <v>456247.90079652489</v>
      </c>
      <c r="Q279" s="303">
        <f>SUM($O163:Q163,$O164:Q164)</f>
        <v>364998.32063721993</v>
      </c>
      <c r="R279" s="303">
        <f>SUM($O163:R163,$O164:R164)</f>
        <v>273748.74047791498</v>
      </c>
      <c r="S279" s="303">
        <f>SUM($O163:S163,$O164:S164)</f>
        <v>182499.16031861003</v>
      </c>
      <c r="T279" s="303">
        <f>SUM($O163:T163,$O164:T164)</f>
        <v>91249.580159305056</v>
      </c>
      <c r="U279" s="303">
        <f>SUM($O163:U163,$O164:U164)</f>
        <v>0</v>
      </c>
      <c r="V279" s="303">
        <f>SUM($O163:V163,$O164:V164)</f>
        <v>8.7311491370201111E-11</v>
      </c>
      <c r="W279" s="303">
        <f>SUM($O163:W163,$O164:W164)</f>
        <v>8.7311491370201111E-11</v>
      </c>
      <c r="X279" s="303">
        <f>SUM($O163:X163,$O164:X164)</f>
        <v>8.7311491370201111E-11</v>
      </c>
      <c r="Y279" s="303">
        <f>SUM($O163:Y163,$O164:Y164)</f>
        <v>8.7311491370201111E-11</v>
      </c>
      <c r="Z279" s="303">
        <f>SUM($O163:Z163,$O164:Z164)</f>
        <v>8.7311491370201111E-11</v>
      </c>
      <c r="AA279" s="303">
        <f>SUM($O163:AA163,$O164:AA164)</f>
        <v>8.7311491370201111E-11</v>
      </c>
      <c r="AB279" s="303">
        <f>SUM($O163:AB163,$O164:AB164)</f>
        <v>8.7311491370201111E-11</v>
      </c>
      <c r="AC279" s="303">
        <f>SUM($O163:AC163,$O164:AC164)</f>
        <v>8.7311491370201111E-11</v>
      </c>
      <c r="AD279" s="303">
        <f>SUM($O163:AD163,$O164:AD164)</f>
        <v>8.7311491370201111E-11</v>
      </c>
      <c r="AE279" s="303">
        <f>SUM($O163:AE163,$O164:AE164)</f>
        <v>8.7311491370201111E-11</v>
      </c>
      <c r="AF279" s="303">
        <f>SUM($O163:AF163,$O164:AF164)</f>
        <v>8.7311491370201111E-11</v>
      </c>
      <c r="AG279" s="303">
        <f>SUM($O163:AG163,$O164:AG164)</f>
        <v>8.7311491370201111E-11</v>
      </c>
      <c r="AH279" s="303">
        <f>SUM($O163:AH163,$O164:AH164)</f>
        <v>8.7311491370201111E-11</v>
      </c>
      <c r="AI279" s="303">
        <f>SUM($O163:AI163,$O164:AI164)</f>
        <v>8.7311491370201111E-11</v>
      </c>
      <c r="AJ279" s="303">
        <f>SUM($O163:AJ163,$O164:AJ164)</f>
        <v>8.7311491370201111E-11</v>
      </c>
      <c r="AK279" s="303">
        <f>SUM($O163:AK163,$O164:AK164)</f>
        <v>8.7311491370201111E-11</v>
      </c>
      <c r="AL279" s="303">
        <f>SUM($O163:AL163,$O164:AL164)</f>
        <v>8.7311491370201111E-11</v>
      </c>
      <c r="AM279" s="303">
        <f>SUM($O163:AM163,$O164:AM164)</f>
        <v>8.7311491370201111E-11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O272-O279</f>
        <v>398577.22140452277</v>
      </c>
      <c r="P280" s="361">
        <f t="shared" ref="P280:AM280" si="188">P272-P279</f>
        <v>489826.80156382773</v>
      </c>
      <c r="Q280" s="361">
        <f t="shared" si="188"/>
        <v>581076.38172313268</v>
      </c>
      <c r="R280" s="361">
        <f t="shared" si="188"/>
        <v>672325.96188243758</v>
      </c>
      <c r="S280" s="361">
        <f t="shared" si="188"/>
        <v>1165412.4616661354</v>
      </c>
      <c r="T280" s="361">
        <f t="shared" si="188"/>
        <v>1256662.0418254402</v>
      </c>
      <c r="U280" s="361">
        <f t="shared" si="188"/>
        <v>1347911.6219847454</v>
      </c>
      <c r="V280" s="361">
        <f t="shared" si="188"/>
        <v>1383939.0563293819</v>
      </c>
      <c r="W280" s="361">
        <f t="shared" si="188"/>
        <v>1436958.3690538541</v>
      </c>
      <c r="X280" s="361">
        <f t="shared" si="188"/>
        <v>1436958.3690538541</v>
      </c>
      <c r="Y280" s="361">
        <f t="shared" si="188"/>
        <v>1836063.342167391</v>
      </c>
      <c r="Z280" s="361">
        <f t="shared" si="188"/>
        <v>1836063.342167391</v>
      </c>
      <c r="AA280" s="361">
        <f t="shared" si="188"/>
        <v>2011683.8011395824</v>
      </c>
      <c r="AB280" s="361">
        <f t="shared" si="188"/>
        <v>2011683.8011395824</v>
      </c>
      <c r="AC280" s="361">
        <f t="shared" si="188"/>
        <v>2011683.8011395824</v>
      </c>
      <c r="AD280" s="361">
        <f t="shared" si="188"/>
        <v>2446776.991683905</v>
      </c>
      <c r="AE280" s="361">
        <f t="shared" si="188"/>
        <v>2455104.0512809101</v>
      </c>
      <c r="AF280" s="361">
        <f t="shared" si="188"/>
        <v>2499835.521322228</v>
      </c>
      <c r="AG280" s="361">
        <f t="shared" si="188"/>
        <v>2499835.521322228</v>
      </c>
      <c r="AH280" s="361">
        <f t="shared" si="188"/>
        <v>2499835.521322228</v>
      </c>
      <c r="AI280" s="361">
        <f t="shared" si="188"/>
        <v>2901633.2240327699</v>
      </c>
      <c r="AJ280" s="361">
        <f t="shared" si="188"/>
        <v>2901633.2240327699</v>
      </c>
      <c r="AK280" s="361">
        <f t="shared" si="188"/>
        <v>2937660.6583774067</v>
      </c>
      <c r="AL280" s="361">
        <f t="shared" si="188"/>
        <v>2937660.6583774067</v>
      </c>
      <c r="AM280" s="361">
        <f t="shared" si="188"/>
        <v>2940353.3879744117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v>0</v>
      </c>
      <c r="P286" s="367">
        <f>O288</f>
        <v>-1920.4524865107305</v>
      </c>
      <c r="Q286" s="367">
        <f t="shared" ref="Q286:AM286" si="189">P288</f>
        <v>640202.84503115341</v>
      </c>
      <c r="R286" s="367">
        <f t="shared" si="189"/>
        <v>793196.04255671613</v>
      </c>
      <c r="S286" s="367">
        <f t="shared" si="189"/>
        <v>965618.65324898052</v>
      </c>
      <c r="T286" s="367">
        <f t="shared" si="189"/>
        <v>1150384.9332495145</v>
      </c>
      <c r="U286" s="367">
        <f t="shared" si="189"/>
        <v>1305196.1782102392</v>
      </c>
      <c r="V286" s="367">
        <f t="shared" si="189"/>
        <v>1477194.6450620592</v>
      </c>
      <c r="W286" s="367">
        <f t="shared" si="189"/>
        <v>1657867.1685835933</v>
      </c>
      <c r="X286" s="367">
        <f t="shared" si="189"/>
        <v>1854703.6065330619</v>
      </c>
      <c r="Y286" s="367">
        <f t="shared" si="189"/>
        <v>2063410.9695056835</v>
      </c>
      <c r="Z286" s="367">
        <f t="shared" si="189"/>
        <v>2282015.587807477</v>
      </c>
      <c r="AA286" s="367">
        <f t="shared" si="189"/>
        <v>2486872.3613134073</v>
      </c>
      <c r="AB286" s="367">
        <f t="shared" si="189"/>
        <v>2701230.350314945</v>
      </c>
      <c r="AC286" s="367">
        <f t="shared" si="189"/>
        <v>2923601.7991661285</v>
      </c>
      <c r="AD286" s="367">
        <f t="shared" si="189"/>
        <v>3163209.9006674294</v>
      </c>
      <c r="AE286" s="367">
        <f t="shared" si="189"/>
        <v>3418152.7239837283</v>
      </c>
      <c r="AF286" s="367">
        <f t="shared" si="189"/>
        <v>3656946.1063425425</v>
      </c>
      <c r="AG286" s="367">
        <f t="shared" si="189"/>
        <v>3910152.6450867895</v>
      </c>
      <c r="AH286" s="367">
        <f t="shared" si="189"/>
        <v>4185794.7688323674</v>
      </c>
      <c r="AI286" s="367">
        <f t="shared" si="189"/>
        <v>4486332.8135688165</v>
      </c>
      <c r="AJ286" s="367">
        <f t="shared" si="189"/>
        <v>4805820.8387067895</v>
      </c>
      <c r="AK286" s="367">
        <f t="shared" si="189"/>
        <v>5121245.4244941166</v>
      </c>
      <c r="AL286" s="367">
        <f t="shared" si="189"/>
        <v>5457084.939216082</v>
      </c>
      <c r="AM286" s="367">
        <f t="shared" si="189"/>
        <v>5826800.0894998694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 t="shared" ref="O287:AM287" si="190">O138</f>
        <v>-1920.4524865107305</v>
      </c>
      <c r="P287" s="367">
        <f t="shared" si="190"/>
        <v>642123.29751766415</v>
      </c>
      <c r="Q287" s="367">
        <f t="shared" si="190"/>
        <v>152993.19752556266</v>
      </c>
      <c r="R287" s="367">
        <f t="shared" si="190"/>
        <v>172422.6106922644</v>
      </c>
      <c r="S287" s="367">
        <f t="shared" si="190"/>
        <v>184766.28000053414</v>
      </c>
      <c r="T287" s="367">
        <f t="shared" si="190"/>
        <v>154811.24496072467</v>
      </c>
      <c r="U287" s="367">
        <f t="shared" si="190"/>
        <v>171998.46685181995</v>
      </c>
      <c r="V287" s="367">
        <f t="shared" si="190"/>
        <v>180672.52352153411</v>
      </c>
      <c r="W287" s="367">
        <f t="shared" si="190"/>
        <v>196836.43794946861</v>
      </c>
      <c r="X287" s="367">
        <f t="shared" si="190"/>
        <v>208707.36297262169</v>
      </c>
      <c r="Y287" s="367">
        <f t="shared" si="190"/>
        <v>218604.61830179335</v>
      </c>
      <c r="Z287" s="367">
        <f t="shared" si="190"/>
        <v>204856.77350593056</v>
      </c>
      <c r="AA287" s="367">
        <f t="shared" si="190"/>
        <v>214357.98900153744</v>
      </c>
      <c r="AB287" s="367">
        <f t="shared" si="190"/>
        <v>222371.44885118364</v>
      </c>
      <c r="AC287" s="367">
        <f t="shared" si="190"/>
        <v>239608.10150130076</v>
      </c>
      <c r="AD287" s="367">
        <f t="shared" si="190"/>
        <v>254942.82331629883</v>
      </c>
      <c r="AE287" s="367">
        <f t="shared" si="190"/>
        <v>238793.38235881407</v>
      </c>
      <c r="AF287" s="367">
        <f t="shared" si="190"/>
        <v>253206.53874424699</v>
      </c>
      <c r="AG287" s="367">
        <f t="shared" si="190"/>
        <v>275642.1237455777</v>
      </c>
      <c r="AH287" s="367">
        <f t="shared" si="190"/>
        <v>300538.04473644943</v>
      </c>
      <c r="AI287" s="367">
        <f t="shared" si="190"/>
        <v>319488.02513797302</v>
      </c>
      <c r="AJ287" s="367">
        <f t="shared" si="190"/>
        <v>315424.58578732697</v>
      </c>
      <c r="AK287" s="367">
        <f t="shared" si="190"/>
        <v>335839.51472196559</v>
      </c>
      <c r="AL287" s="367">
        <f t="shared" si="190"/>
        <v>369715.15028378746</v>
      </c>
      <c r="AM287" s="367">
        <f t="shared" si="190"/>
        <v>415803.17961849429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-1920.4524865107305</v>
      </c>
      <c r="P288" s="367">
        <f t="shared" ref="P288:AM288" si="191">P287+P286</f>
        <v>640202.84503115341</v>
      </c>
      <c r="Q288" s="367">
        <f t="shared" si="191"/>
        <v>793196.04255671613</v>
      </c>
      <c r="R288" s="367">
        <f t="shared" si="191"/>
        <v>965618.65324898052</v>
      </c>
      <c r="S288" s="367">
        <f t="shared" si="191"/>
        <v>1150384.9332495145</v>
      </c>
      <c r="T288" s="367">
        <f t="shared" si="191"/>
        <v>1305196.1782102392</v>
      </c>
      <c r="U288" s="367">
        <f t="shared" si="191"/>
        <v>1477194.6450620592</v>
      </c>
      <c r="V288" s="367">
        <f t="shared" si="191"/>
        <v>1657867.1685835933</v>
      </c>
      <c r="W288" s="367">
        <f t="shared" si="191"/>
        <v>1854703.6065330619</v>
      </c>
      <c r="X288" s="367">
        <f t="shared" si="191"/>
        <v>2063410.9695056835</v>
      </c>
      <c r="Y288" s="367">
        <f t="shared" si="191"/>
        <v>2282015.587807477</v>
      </c>
      <c r="Z288" s="367">
        <f t="shared" si="191"/>
        <v>2486872.3613134073</v>
      </c>
      <c r="AA288" s="367">
        <f t="shared" si="191"/>
        <v>2701230.350314945</v>
      </c>
      <c r="AB288" s="367">
        <f t="shared" si="191"/>
        <v>2923601.7991661285</v>
      </c>
      <c r="AC288" s="367">
        <f t="shared" si="191"/>
        <v>3163209.9006674294</v>
      </c>
      <c r="AD288" s="367">
        <f t="shared" si="191"/>
        <v>3418152.7239837283</v>
      </c>
      <c r="AE288" s="367">
        <f t="shared" si="191"/>
        <v>3656946.1063425425</v>
      </c>
      <c r="AF288" s="367">
        <f t="shared" si="191"/>
        <v>3910152.6450867895</v>
      </c>
      <c r="AG288" s="367">
        <f t="shared" si="191"/>
        <v>4185794.7688323674</v>
      </c>
      <c r="AH288" s="367">
        <f t="shared" si="191"/>
        <v>4486332.8135688165</v>
      </c>
      <c r="AI288" s="367">
        <f t="shared" si="191"/>
        <v>4805820.8387067895</v>
      </c>
      <c r="AJ288" s="367">
        <f t="shared" si="191"/>
        <v>5121245.4244941166</v>
      </c>
      <c r="AK288" s="367">
        <f t="shared" si="191"/>
        <v>5457084.939216082</v>
      </c>
      <c r="AL288" s="367">
        <f t="shared" si="191"/>
        <v>5826800.0894998694</v>
      </c>
      <c r="AM288" s="367">
        <f t="shared" si="191"/>
        <v>6242603.269118364</v>
      </c>
    </row>
    <row r="289" spans="2:50" ht="14.25" customHeight="1" x14ac:dyDescent="0.3"/>
    <row r="290" spans="2:50" ht="15" customHeight="1" x14ac:dyDescent="0.3">
      <c r="B290" s="326" t="s">
        <v>5161</v>
      </c>
    </row>
    <row r="291" spans="2:50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v>0</v>
      </c>
      <c r="P291" s="367">
        <f t="shared" ref="P291:AM291" si="192">O294</f>
        <v>0</v>
      </c>
      <c r="Q291" s="367">
        <f t="shared" si="192"/>
        <v>0</v>
      </c>
      <c r="R291" s="367">
        <f t="shared" si="192"/>
        <v>0</v>
      </c>
      <c r="S291" s="367">
        <f t="shared" si="192"/>
        <v>0</v>
      </c>
      <c r="T291" s="367">
        <f t="shared" si="192"/>
        <v>0</v>
      </c>
      <c r="U291" s="367">
        <f t="shared" si="192"/>
        <v>0</v>
      </c>
      <c r="V291" s="367">
        <f t="shared" si="192"/>
        <v>0</v>
      </c>
      <c r="W291" s="367">
        <f t="shared" si="192"/>
        <v>0</v>
      </c>
      <c r="X291" s="367">
        <f t="shared" si="192"/>
        <v>0</v>
      </c>
      <c r="Y291" s="367">
        <f t="shared" si="192"/>
        <v>0</v>
      </c>
      <c r="Z291" s="367">
        <f t="shared" si="192"/>
        <v>0</v>
      </c>
      <c r="AA291" s="367">
        <f t="shared" si="192"/>
        <v>0</v>
      </c>
      <c r="AB291" s="367">
        <f t="shared" si="192"/>
        <v>0</v>
      </c>
      <c r="AC291" s="367">
        <f t="shared" si="192"/>
        <v>0</v>
      </c>
      <c r="AD291" s="367">
        <f t="shared" si="192"/>
        <v>0</v>
      </c>
      <c r="AE291" s="367">
        <f t="shared" si="192"/>
        <v>0</v>
      </c>
      <c r="AF291" s="367">
        <f t="shared" si="192"/>
        <v>0</v>
      </c>
      <c r="AG291" s="367">
        <f t="shared" si="192"/>
        <v>0</v>
      </c>
      <c r="AH291" s="367">
        <f t="shared" si="192"/>
        <v>0</v>
      </c>
      <c r="AI291" s="367">
        <f t="shared" si="192"/>
        <v>0</v>
      </c>
      <c r="AJ291" s="367">
        <f t="shared" si="192"/>
        <v>0</v>
      </c>
      <c r="AK291" s="367">
        <f t="shared" si="192"/>
        <v>0</v>
      </c>
      <c r="AL291" s="367">
        <f t="shared" si="192"/>
        <v>0</v>
      </c>
      <c r="AM291" s="367">
        <f t="shared" si="192"/>
        <v>0</v>
      </c>
    </row>
    <row r="292" spans="2:50" ht="3.75" customHeight="1" x14ac:dyDescent="0.3"/>
    <row r="293" spans="2:50" ht="15" customHeight="1" x14ac:dyDescent="0.3">
      <c r="B293" s="359" t="s">
        <v>5163</v>
      </c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O293" s="368">
        <f t="shared" ref="O293:AM293" si="193">-O288</f>
        <v>1920.4524865107305</v>
      </c>
      <c r="P293" s="368">
        <f t="shared" si="193"/>
        <v>-640202.84503115341</v>
      </c>
      <c r="Q293" s="368">
        <f t="shared" si="193"/>
        <v>-793196.04255671613</v>
      </c>
      <c r="R293" s="368">
        <f t="shared" si="193"/>
        <v>-965618.65324898052</v>
      </c>
      <c r="S293" s="368">
        <f t="shared" si="193"/>
        <v>-1150384.9332495145</v>
      </c>
      <c r="T293" s="368">
        <f t="shared" si="193"/>
        <v>-1305196.1782102392</v>
      </c>
      <c r="U293" s="368">
        <f t="shared" si="193"/>
        <v>-1477194.6450620592</v>
      </c>
      <c r="V293" s="368">
        <f t="shared" si="193"/>
        <v>-1657867.1685835933</v>
      </c>
      <c r="W293" s="368">
        <f t="shared" si="193"/>
        <v>-1854703.6065330619</v>
      </c>
      <c r="X293" s="368">
        <f t="shared" si="193"/>
        <v>-2063410.9695056835</v>
      </c>
      <c r="Y293" s="368">
        <f t="shared" si="193"/>
        <v>-2282015.587807477</v>
      </c>
      <c r="Z293" s="368">
        <f t="shared" si="193"/>
        <v>-2486872.3613134073</v>
      </c>
      <c r="AA293" s="368">
        <f t="shared" si="193"/>
        <v>-2701230.350314945</v>
      </c>
      <c r="AB293" s="368">
        <f t="shared" si="193"/>
        <v>-2923601.7991661285</v>
      </c>
      <c r="AC293" s="368">
        <f t="shared" si="193"/>
        <v>-3163209.9006674294</v>
      </c>
      <c r="AD293" s="368">
        <f t="shared" si="193"/>
        <v>-3418152.7239837283</v>
      </c>
      <c r="AE293" s="368">
        <f t="shared" si="193"/>
        <v>-3656946.1063425425</v>
      </c>
      <c r="AF293" s="368">
        <f t="shared" si="193"/>
        <v>-3910152.6450867895</v>
      </c>
      <c r="AG293" s="368">
        <f t="shared" si="193"/>
        <v>-4185794.7688323674</v>
      </c>
      <c r="AH293" s="368">
        <f t="shared" si="193"/>
        <v>-4486332.8135688165</v>
      </c>
      <c r="AI293" s="368">
        <f t="shared" si="193"/>
        <v>-4805820.8387067895</v>
      </c>
      <c r="AJ293" s="368">
        <f t="shared" si="193"/>
        <v>-5121245.4244941166</v>
      </c>
      <c r="AK293" s="368">
        <f t="shared" si="193"/>
        <v>-5457084.939216082</v>
      </c>
      <c r="AL293" s="368">
        <f t="shared" si="193"/>
        <v>-5826800.0894998694</v>
      </c>
      <c r="AM293" s="368">
        <f t="shared" si="193"/>
        <v>-6242603.269118364</v>
      </c>
    </row>
    <row r="294" spans="2:50" ht="15" customHeight="1" x14ac:dyDescent="0.3">
      <c r="B294" s="364" t="s">
        <v>5164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O294" s="367">
        <f t="shared" ref="O294:AM294" si="194">O288+O293</f>
        <v>0</v>
      </c>
      <c r="P294" s="367">
        <f t="shared" si="194"/>
        <v>0</v>
      </c>
      <c r="Q294" s="367">
        <f t="shared" si="194"/>
        <v>0</v>
      </c>
      <c r="R294" s="367">
        <f t="shared" si="194"/>
        <v>0</v>
      </c>
      <c r="S294" s="367">
        <f t="shared" si="194"/>
        <v>0</v>
      </c>
      <c r="T294" s="367">
        <f t="shared" si="194"/>
        <v>0</v>
      </c>
      <c r="U294" s="367">
        <f t="shared" si="194"/>
        <v>0</v>
      </c>
      <c r="V294" s="367">
        <f t="shared" si="194"/>
        <v>0</v>
      </c>
      <c r="W294" s="367">
        <f t="shared" si="194"/>
        <v>0</v>
      </c>
      <c r="X294" s="367">
        <f t="shared" si="194"/>
        <v>0</v>
      </c>
      <c r="Y294" s="367">
        <f t="shared" si="194"/>
        <v>0</v>
      </c>
      <c r="Z294" s="367">
        <f t="shared" si="194"/>
        <v>0</v>
      </c>
      <c r="AA294" s="367">
        <f t="shared" si="194"/>
        <v>0</v>
      </c>
      <c r="AB294" s="367">
        <f t="shared" si="194"/>
        <v>0</v>
      </c>
      <c r="AC294" s="367">
        <f t="shared" si="194"/>
        <v>0</v>
      </c>
      <c r="AD294" s="367">
        <f t="shared" si="194"/>
        <v>0</v>
      </c>
      <c r="AE294" s="367">
        <f t="shared" si="194"/>
        <v>0</v>
      </c>
      <c r="AF294" s="367">
        <f t="shared" si="194"/>
        <v>0</v>
      </c>
      <c r="AG294" s="367">
        <f t="shared" si="194"/>
        <v>0</v>
      </c>
      <c r="AH294" s="367">
        <f t="shared" si="194"/>
        <v>0</v>
      </c>
      <c r="AI294" s="367">
        <f t="shared" si="194"/>
        <v>0</v>
      </c>
      <c r="AJ294" s="367">
        <f t="shared" si="194"/>
        <v>0</v>
      </c>
      <c r="AK294" s="367">
        <f t="shared" si="194"/>
        <v>0</v>
      </c>
      <c r="AL294" s="367">
        <f t="shared" si="194"/>
        <v>0</v>
      </c>
      <c r="AM294" s="367">
        <f t="shared" si="194"/>
        <v>0</v>
      </c>
    </row>
    <row r="295" spans="2:50" ht="4.5" customHeight="1" x14ac:dyDescent="0.3"/>
    <row r="296" spans="2:50" ht="15" customHeight="1" x14ac:dyDescent="0.3">
      <c r="B296" s="324"/>
      <c r="C296" s="323" t="s">
        <v>5165</v>
      </c>
      <c r="D296" s="324"/>
      <c r="E296" s="324"/>
      <c r="F296" s="324"/>
      <c r="G296" s="324"/>
      <c r="H296" s="324"/>
      <c r="I296" s="324"/>
      <c r="J296" s="324"/>
      <c r="K296" s="324"/>
      <c r="L296" s="324"/>
      <c r="O296" s="369">
        <f>-O293</f>
        <v>-1920.4524865107305</v>
      </c>
      <c r="P296" s="369">
        <f t="shared" ref="P296:AM296" si="195">-P293</f>
        <v>640202.84503115341</v>
      </c>
      <c r="Q296" s="369">
        <f t="shared" si="195"/>
        <v>793196.04255671613</v>
      </c>
      <c r="R296" s="369">
        <f t="shared" si="195"/>
        <v>965618.65324898052</v>
      </c>
      <c r="S296" s="369">
        <f t="shared" si="195"/>
        <v>1150384.9332495145</v>
      </c>
      <c r="T296" s="369">
        <f t="shared" si="195"/>
        <v>1305196.1782102392</v>
      </c>
      <c r="U296" s="369">
        <f t="shared" si="195"/>
        <v>1477194.6450620592</v>
      </c>
      <c r="V296" s="369">
        <f t="shared" si="195"/>
        <v>1657867.1685835933</v>
      </c>
      <c r="W296" s="369">
        <f t="shared" si="195"/>
        <v>1854703.6065330619</v>
      </c>
      <c r="X296" s="369">
        <f t="shared" si="195"/>
        <v>2063410.9695056835</v>
      </c>
      <c r="Y296" s="369">
        <f t="shared" si="195"/>
        <v>2282015.587807477</v>
      </c>
      <c r="Z296" s="369">
        <f t="shared" si="195"/>
        <v>2486872.3613134073</v>
      </c>
      <c r="AA296" s="369">
        <f t="shared" si="195"/>
        <v>2701230.350314945</v>
      </c>
      <c r="AB296" s="369">
        <f t="shared" si="195"/>
        <v>2923601.7991661285</v>
      </c>
      <c r="AC296" s="369">
        <f t="shared" si="195"/>
        <v>3163209.9006674294</v>
      </c>
      <c r="AD296" s="369">
        <f t="shared" si="195"/>
        <v>3418152.7239837283</v>
      </c>
      <c r="AE296" s="369">
        <f t="shared" si="195"/>
        <v>3656946.1063425425</v>
      </c>
      <c r="AF296" s="369">
        <f t="shared" si="195"/>
        <v>3910152.6450867895</v>
      </c>
      <c r="AG296" s="369">
        <f t="shared" si="195"/>
        <v>4185794.7688323674</v>
      </c>
      <c r="AH296" s="369">
        <f t="shared" si="195"/>
        <v>4486332.8135688165</v>
      </c>
      <c r="AI296" s="369">
        <f t="shared" si="195"/>
        <v>4805820.8387067895</v>
      </c>
      <c r="AJ296" s="369">
        <f t="shared" si="195"/>
        <v>5121245.4244941166</v>
      </c>
      <c r="AK296" s="369">
        <f t="shared" si="195"/>
        <v>5457084.939216082</v>
      </c>
      <c r="AL296" s="369">
        <f t="shared" si="195"/>
        <v>5826800.0894998694</v>
      </c>
      <c r="AM296" s="369">
        <f t="shared" si="195"/>
        <v>6242603.269118364</v>
      </c>
    </row>
    <row r="297" spans="2:50" ht="12.75" customHeight="1" x14ac:dyDescent="0.3"/>
    <row r="298" spans="2:50" ht="15" customHeight="1" x14ac:dyDescent="0.3">
      <c r="B298" s="321" t="s">
        <v>126</v>
      </c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2"/>
      <c r="N298" s="322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5"/>
      <c r="AO298" s="9"/>
      <c r="AP298" s="9"/>
      <c r="AQ298" s="9"/>
      <c r="AR298" s="9"/>
      <c r="AS298" s="9"/>
      <c r="AT298" s="9"/>
      <c r="AU298" s="9"/>
      <c r="AV298" s="9"/>
      <c r="AW298" s="9"/>
      <c r="AX298" s="221"/>
    </row>
    <row r="299" spans="2:50" ht="15" customHeight="1" thickBo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  <c r="AX299" s="221"/>
    </row>
    <row r="300" spans="2:50" ht="15" customHeight="1" x14ac:dyDescent="0.3">
      <c r="B300" s="1"/>
      <c r="C300" s="636" t="s">
        <v>5274</v>
      </c>
      <c r="D300" s="637"/>
      <c r="E300" s="637"/>
      <c r="F300" s="638"/>
      <c r="G300" s="165"/>
      <c r="H300" s="165"/>
      <c r="I300" s="205"/>
      <c r="J300" s="205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  <c r="AX300" s="221"/>
    </row>
    <row r="301" spans="2:50" ht="15" customHeight="1" x14ac:dyDescent="0.3">
      <c r="B301" s="1"/>
      <c r="C301" s="634" t="s">
        <v>127</v>
      </c>
      <c r="D301" s="627"/>
      <c r="E301" s="635" t="s">
        <v>128</v>
      </c>
      <c r="F301" s="629"/>
      <c r="G301" s="165"/>
      <c r="H301" s="295"/>
      <c r="I301" s="295"/>
      <c r="J301" s="296"/>
      <c r="K301" s="144"/>
      <c r="L301" s="14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  <c r="AX301" s="221"/>
    </row>
    <row r="302" spans="2:50" ht="15" customHeight="1" x14ac:dyDescent="0.3">
      <c r="B302" s="1"/>
      <c r="C302" s="626" t="s">
        <v>5158</v>
      </c>
      <c r="D302" s="627"/>
      <c r="E302" s="639">
        <f>Painel!J17</f>
        <v>22768.444166666668</v>
      </c>
      <c r="F302" s="640"/>
      <c r="G302" s="297"/>
      <c r="H302" s="298"/>
      <c r="I302" s="296"/>
      <c r="J302" s="16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  <c r="AX302" s="221"/>
    </row>
    <row r="303" spans="2:50" ht="15" customHeight="1" x14ac:dyDescent="0.3">
      <c r="B303" s="1"/>
      <c r="C303" s="626" t="s">
        <v>5171</v>
      </c>
      <c r="D303" s="641"/>
      <c r="E303" s="639">
        <f>Painel!J18</f>
        <v>11462.786666666667</v>
      </c>
      <c r="F303" s="640"/>
      <c r="G303" s="297"/>
      <c r="H303" s="298"/>
      <c r="I303" s="296"/>
      <c r="J303" s="16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75"/>
      <c r="AO303" s="1"/>
      <c r="AP303" s="1"/>
      <c r="AQ303" s="1"/>
      <c r="AR303" s="1"/>
      <c r="AS303" s="1"/>
      <c r="AT303" s="1"/>
      <c r="AU303" s="1"/>
      <c r="AV303" s="1"/>
      <c r="AW303" s="1"/>
      <c r="AX303" s="221"/>
    </row>
    <row r="304" spans="2:50" ht="15" customHeight="1" x14ac:dyDescent="0.3">
      <c r="B304" s="1"/>
      <c r="C304" s="626" t="s">
        <v>5173</v>
      </c>
      <c r="D304" s="627"/>
      <c r="E304" s="642">
        <f>SUM(E302:F303)</f>
        <v>34231.230833333335</v>
      </c>
      <c r="F304" s="643"/>
      <c r="G304" s="297"/>
      <c r="H304" s="298"/>
      <c r="I304" s="296"/>
      <c r="J304" s="16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75"/>
      <c r="AO304" s="1"/>
      <c r="AP304" s="1"/>
      <c r="AQ304" s="1"/>
      <c r="AR304" s="1"/>
      <c r="AS304" s="1"/>
      <c r="AT304" s="1"/>
      <c r="AU304" s="1"/>
      <c r="AV304" s="1"/>
      <c r="AW304" s="1"/>
      <c r="AX304" s="221"/>
    </row>
    <row r="305" spans="2:50" ht="15" customHeight="1" x14ac:dyDescent="0.3">
      <c r="B305" s="1"/>
      <c r="C305" s="626" t="s">
        <v>5172</v>
      </c>
      <c r="D305" s="627"/>
      <c r="E305" s="642">
        <f>E304*12</f>
        <v>410774.77</v>
      </c>
      <c r="F305" s="643"/>
      <c r="G305" s="165"/>
      <c r="H305" s="165"/>
      <c r="I305" s="165"/>
      <c r="J305" s="299"/>
      <c r="K305" s="17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  <c r="AX305" s="221"/>
    </row>
    <row r="306" spans="2:50" ht="15" customHeight="1" x14ac:dyDescent="0.3">
      <c r="B306" s="1"/>
      <c r="C306" s="178"/>
      <c r="D306" s="179"/>
      <c r="E306" s="179"/>
      <c r="F306" s="176"/>
      <c r="G306" s="180"/>
      <c r="H306" s="181"/>
      <c r="I306" s="146"/>
      <c r="J306" s="145"/>
      <c r="K306" s="145"/>
      <c r="L306" s="147"/>
      <c r="M306" s="148"/>
      <c r="N306" s="148"/>
      <c r="O306" s="148"/>
      <c r="P306" s="149"/>
      <c r="Q306" s="149"/>
      <c r="R306" s="149"/>
      <c r="S306" s="149"/>
      <c r="T306" s="149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7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50" ht="15" customHeight="1" x14ac:dyDescent="0.3">
      <c r="B307" s="321" t="s">
        <v>209</v>
      </c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1"/>
      <c r="N307" s="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  <c r="AE307" s="321"/>
      <c r="AF307" s="321"/>
      <c r="AG307" s="321"/>
      <c r="AH307" s="321"/>
      <c r="AI307" s="321"/>
      <c r="AJ307" s="321"/>
      <c r="AK307" s="321"/>
      <c r="AL307" s="321"/>
      <c r="AM307" s="321"/>
      <c r="AN307" s="5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2:50" ht="15" customHeight="1" x14ac:dyDescent="0.3">
      <c r="B308" s="94" t="s">
        <v>5169</v>
      </c>
      <c r="C308" s="94"/>
      <c r="D308" s="94"/>
      <c r="E308" s="94"/>
      <c r="F308" s="94"/>
      <c r="G308" s="94"/>
      <c r="H308" s="94"/>
      <c r="I308" s="94"/>
      <c r="J308" s="94"/>
      <c r="K308" s="97">
        <f>NPV(WACC!$D$35,O308:AV308)</f>
        <v>3886816.493076764</v>
      </c>
      <c r="L308" s="97">
        <f t="shared" ref="L308:L310" si="196">SUM(O308:AV308)</f>
        <v>11103175.860134406</v>
      </c>
      <c r="M308" s="1"/>
      <c r="N308" s="1"/>
      <c r="O308" s="97">
        <f t="shared" ref="O308:AM308" si="197">O75</f>
        <v>152098.2994538958</v>
      </c>
      <c r="P308" s="97">
        <f t="shared" si="197"/>
        <v>456294.8983616879</v>
      </c>
      <c r="Q308" s="97">
        <f t="shared" si="197"/>
        <v>456294.8983616879</v>
      </c>
      <c r="R308" s="97">
        <f t="shared" si="197"/>
        <v>456294.8983616879</v>
      </c>
      <c r="S308" s="97">
        <f t="shared" si="197"/>
        <v>456294.8983616879</v>
      </c>
      <c r="T308" s="97">
        <f t="shared" si="197"/>
        <v>456294.8983616879</v>
      </c>
      <c r="U308" s="97">
        <f t="shared" si="197"/>
        <v>456294.8983616879</v>
      </c>
      <c r="V308" s="97">
        <f t="shared" si="197"/>
        <v>456294.8983616879</v>
      </c>
      <c r="W308" s="97">
        <f t="shared" si="197"/>
        <v>456294.8983616879</v>
      </c>
      <c r="X308" s="97">
        <f t="shared" si="197"/>
        <v>456294.8983616879</v>
      </c>
      <c r="Y308" s="97">
        <f t="shared" si="197"/>
        <v>456294.8983616879</v>
      </c>
      <c r="Z308" s="97">
        <f t="shared" si="197"/>
        <v>456294.8983616879</v>
      </c>
      <c r="AA308" s="97">
        <f t="shared" si="197"/>
        <v>456294.8983616879</v>
      </c>
      <c r="AB308" s="97">
        <f t="shared" si="197"/>
        <v>456294.8983616879</v>
      </c>
      <c r="AC308" s="97">
        <f t="shared" si="197"/>
        <v>456294.8983616879</v>
      </c>
      <c r="AD308" s="97">
        <f t="shared" si="197"/>
        <v>456294.8983616879</v>
      </c>
      <c r="AE308" s="97">
        <f t="shared" si="197"/>
        <v>456294.8983616879</v>
      </c>
      <c r="AF308" s="97">
        <f t="shared" si="197"/>
        <v>456294.8983616879</v>
      </c>
      <c r="AG308" s="97">
        <f t="shared" si="197"/>
        <v>456294.8983616879</v>
      </c>
      <c r="AH308" s="97">
        <f t="shared" si="197"/>
        <v>456294.8983616879</v>
      </c>
      <c r="AI308" s="97">
        <f t="shared" si="197"/>
        <v>456294.8983616879</v>
      </c>
      <c r="AJ308" s="97">
        <f t="shared" si="197"/>
        <v>456294.8983616879</v>
      </c>
      <c r="AK308" s="97">
        <f t="shared" si="197"/>
        <v>456294.8983616879</v>
      </c>
      <c r="AL308" s="97">
        <f t="shared" si="197"/>
        <v>456294.8983616879</v>
      </c>
      <c r="AM308" s="97">
        <f t="shared" si="197"/>
        <v>456294.8983616879</v>
      </c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50" ht="15" customHeight="1" x14ac:dyDescent="0.3">
      <c r="B309" s="94" t="s">
        <v>5170</v>
      </c>
      <c r="C309" s="94"/>
      <c r="D309" s="94"/>
      <c r="E309" s="94"/>
      <c r="F309" s="94"/>
      <c r="G309" s="94"/>
      <c r="H309" s="94"/>
      <c r="I309" s="94"/>
      <c r="J309" s="94"/>
      <c r="K309" s="97">
        <f>NPV(WACC!$D$35,O309:AV309)</f>
        <v>3748174.6079764366</v>
      </c>
      <c r="L309" s="177">
        <f t="shared" si="196"/>
        <v>10269369.249999994</v>
      </c>
      <c r="M309" s="1"/>
      <c r="N309" s="1"/>
      <c r="O309" s="97">
        <f t="shared" ref="O309:AM309" si="198">$E$305</f>
        <v>410774.77</v>
      </c>
      <c r="P309" s="97">
        <f t="shared" si="198"/>
        <v>410774.77</v>
      </c>
      <c r="Q309" s="97">
        <f t="shared" si="198"/>
        <v>410774.77</v>
      </c>
      <c r="R309" s="97">
        <f t="shared" si="198"/>
        <v>410774.77</v>
      </c>
      <c r="S309" s="97">
        <f t="shared" si="198"/>
        <v>410774.77</v>
      </c>
      <c r="T309" s="97">
        <f t="shared" si="198"/>
        <v>410774.77</v>
      </c>
      <c r="U309" s="97">
        <f t="shared" si="198"/>
        <v>410774.77</v>
      </c>
      <c r="V309" s="97">
        <f t="shared" si="198"/>
        <v>410774.77</v>
      </c>
      <c r="W309" s="97">
        <f t="shared" si="198"/>
        <v>410774.77</v>
      </c>
      <c r="X309" s="97">
        <f t="shared" si="198"/>
        <v>410774.77</v>
      </c>
      <c r="Y309" s="97">
        <f t="shared" si="198"/>
        <v>410774.77</v>
      </c>
      <c r="Z309" s="97">
        <f t="shared" si="198"/>
        <v>410774.77</v>
      </c>
      <c r="AA309" s="97">
        <f t="shared" si="198"/>
        <v>410774.77</v>
      </c>
      <c r="AB309" s="97">
        <f t="shared" si="198"/>
        <v>410774.77</v>
      </c>
      <c r="AC309" s="97">
        <f t="shared" si="198"/>
        <v>410774.77</v>
      </c>
      <c r="AD309" s="97">
        <f t="shared" si="198"/>
        <v>410774.77</v>
      </c>
      <c r="AE309" s="97">
        <f t="shared" si="198"/>
        <v>410774.77</v>
      </c>
      <c r="AF309" s="97">
        <f t="shared" si="198"/>
        <v>410774.77</v>
      </c>
      <c r="AG309" s="97">
        <f t="shared" si="198"/>
        <v>410774.77</v>
      </c>
      <c r="AH309" s="97">
        <f t="shared" si="198"/>
        <v>410774.77</v>
      </c>
      <c r="AI309" s="97">
        <f t="shared" si="198"/>
        <v>410774.77</v>
      </c>
      <c r="AJ309" s="97">
        <f t="shared" si="198"/>
        <v>410774.77</v>
      </c>
      <c r="AK309" s="97">
        <f t="shared" si="198"/>
        <v>410774.77</v>
      </c>
      <c r="AL309" s="97">
        <f t="shared" si="198"/>
        <v>410774.77</v>
      </c>
      <c r="AM309" s="97">
        <f t="shared" si="198"/>
        <v>410774.77</v>
      </c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50" ht="15" customHeight="1" x14ac:dyDescent="0.3">
      <c r="B310" s="53" t="s">
        <v>210</v>
      </c>
      <c r="C310" s="53"/>
      <c r="D310" s="53"/>
      <c r="E310" s="53"/>
      <c r="F310" s="53"/>
      <c r="G310" s="53"/>
      <c r="H310" s="53"/>
      <c r="I310" s="53"/>
      <c r="J310" s="53"/>
      <c r="K310" s="97">
        <f>NPV(WACC!$D$35,O310:AV310)</f>
        <v>-138641.88510032732</v>
      </c>
      <c r="L310" s="177">
        <f t="shared" si="196"/>
        <v>-833806.61013440485</v>
      </c>
      <c r="M310" s="1"/>
      <c r="N310" s="1"/>
      <c r="O310" s="54">
        <f>O309-O308</f>
        <v>258676.47054610422</v>
      </c>
      <c r="P310" s="54">
        <f t="shared" ref="P310:AM310" si="199">P309-P308</f>
        <v>-45520.128361687879</v>
      </c>
      <c r="Q310" s="54">
        <f t="shared" si="199"/>
        <v>-45520.128361687879</v>
      </c>
      <c r="R310" s="54">
        <f t="shared" si="199"/>
        <v>-45520.128361687879</v>
      </c>
      <c r="S310" s="54">
        <f t="shared" si="199"/>
        <v>-45520.128361687879</v>
      </c>
      <c r="T310" s="54">
        <f t="shared" si="199"/>
        <v>-45520.128361687879</v>
      </c>
      <c r="U310" s="54">
        <f t="shared" si="199"/>
        <v>-45520.128361687879</v>
      </c>
      <c r="V310" s="54">
        <f t="shared" si="199"/>
        <v>-45520.128361687879</v>
      </c>
      <c r="W310" s="54">
        <f t="shared" si="199"/>
        <v>-45520.128361687879</v>
      </c>
      <c r="X310" s="54">
        <f t="shared" si="199"/>
        <v>-45520.128361687879</v>
      </c>
      <c r="Y310" s="54">
        <f t="shared" si="199"/>
        <v>-45520.128361687879</v>
      </c>
      <c r="Z310" s="54">
        <f t="shared" si="199"/>
        <v>-45520.128361687879</v>
      </c>
      <c r="AA310" s="54">
        <f t="shared" si="199"/>
        <v>-45520.128361687879</v>
      </c>
      <c r="AB310" s="54">
        <f t="shared" si="199"/>
        <v>-45520.128361687879</v>
      </c>
      <c r="AC310" s="54">
        <f t="shared" si="199"/>
        <v>-45520.128361687879</v>
      </c>
      <c r="AD310" s="54">
        <f t="shared" si="199"/>
        <v>-45520.128361687879</v>
      </c>
      <c r="AE310" s="54">
        <f t="shared" si="199"/>
        <v>-45520.128361687879</v>
      </c>
      <c r="AF310" s="54">
        <f t="shared" si="199"/>
        <v>-45520.128361687879</v>
      </c>
      <c r="AG310" s="54">
        <f t="shared" si="199"/>
        <v>-45520.128361687879</v>
      </c>
      <c r="AH310" s="54">
        <f t="shared" si="199"/>
        <v>-45520.128361687879</v>
      </c>
      <c r="AI310" s="54">
        <f t="shared" si="199"/>
        <v>-45520.128361687879</v>
      </c>
      <c r="AJ310" s="54">
        <f t="shared" si="199"/>
        <v>-45520.128361687879</v>
      </c>
      <c r="AK310" s="54">
        <f t="shared" si="199"/>
        <v>-45520.128361687879</v>
      </c>
      <c r="AL310" s="54">
        <f t="shared" si="199"/>
        <v>-45520.128361687879</v>
      </c>
      <c r="AM310" s="54">
        <f t="shared" si="199"/>
        <v>-45520.128361687879</v>
      </c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50" ht="15" customHeight="1" x14ac:dyDescent="0.3">
      <c r="B311" s="53" t="s">
        <v>211</v>
      </c>
      <c r="C311" s="53"/>
      <c r="D311" s="53"/>
      <c r="E311" s="53"/>
      <c r="F311" s="53"/>
      <c r="G311" s="53"/>
      <c r="H311" s="53"/>
      <c r="I311" s="53"/>
      <c r="J311" s="53"/>
      <c r="K311" s="177"/>
      <c r="L311" s="191">
        <f>AVERAGE(O311:AM311)</f>
        <v>-8.1193556277509876E-2</v>
      </c>
      <c r="M311" s="1"/>
      <c r="N311" s="1"/>
      <c r="O311" s="182">
        <f>1-(O308/O309)</f>
        <v>0.62972823415153811</v>
      </c>
      <c r="P311" s="182">
        <f t="shared" ref="P311:AM311" si="200">1-(P308/P309)</f>
        <v>-0.11081529754538688</v>
      </c>
      <c r="Q311" s="182">
        <f t="shared" si="200"/>
        <v>-0.11081529754538688</v>
      </c>
      <c r="R311" s="182">
        <f t="shared" si="200"/>
        <v>-0.11081529754538688</v>
      </c>
      <c r="S311" s="182">
        <f t="shared" si="200"/>
        <v>-0.11081529754538688</v>
      </c>
      <c r="T311" s="182">
        <f t="shared" si="200"/>
        <v>-0.11081529754538688</v>
      </c>
      <c r="U311" s="182">
        <f t="shared" si="200"/>
        <v>-0.11081529754538688</v>
      </c>
      <c r="V311" s="182">
        <f t="shared" si="200"/>
        <v>-0.11081529754538688</v>
      </c>
      <c r="W311" s="182">
        <f t="shared" si="200"/>
        <v>-0.11081529754538688</v>
      </c>
      <c r="X311" s="182">
        <f t="shared" si="200"/>
        <v>-0.11081529754538688</v>
      </c>
      <c r="Y311" s="182">
        <f t="shared" si="200"/>
        <v>-0.11081529754538688</v>
      </c>
      <c r="Z311" s="182">
        <f t="shared" si="200"/>
        <v>-0.11081529754538688</v>
      </c>
      <c r="AA311" s="182">
        <f t="shared" si="200"/>
        <v>-0.11081529754538688</v>
      </c>
      <c r="AB311" s="182">
        <f t="shared" si="200"/>
        <v>-0.11081529754538688</v>
      </c>
      <c r="AC311" s="182">
        <f t="shared" si="200"/>
        <v>-0.11081529754538688</v>
      </c>
      <c r="AD311" s="182">
        <f t="shared" si="200"/>
        <v>-0.11081529754538688</v>
      </c>
      <c r="AE311" s="182">
        <f t="shared" si="200"/>
        <v>-0.11081529754538688</v>
      </c>
      <c r="AF311" s="182">
        <f t="shared" si="200"/>
        <v>-0.11081529754538688</v>
      </c>
      <c r="AG311" s="182">
        <f t="shared" si="200"/>
        <v>-0.11081529754538688</v>
      </c>
      <c r="AH311" s="182">
        <f t="shared" si="200"/>
        <v>-0.11081529754538688</v>
      </c>
      <c r="AI311" s="182">
        <f t="shared" si="200"/>
        <v>-0.11081529754538688</v>
      </c>
      <c r="AJ311" s="182">
        <f t="shared" si="200"/>
        <v>-0.11081529754538688</v>
      </c>
      <c r="AK311" s="182">
        <f t="shared" si="200"/>
        <v>-0.11081529754538688</v>
      </c>
      <c r="AL311" s="182">
        <f t="shared" si="200"/>
        <v>-0.11081529754538688</v>
      </c>
      <c r="AM311" s="182">
        <f t="shared" si="200"/>
        <v>-0.11081529754538688</v>
      </c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50" ht="15" customHeight="1" thickBot="1" x14ac:dyDescent="0.35"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50" ht="15" customHeight="1" x14ac:dyDescent="0.3">
      <c r="C313" s="636" t="s">
        <v>5157</v>
      </c>
      <c r="D313" s="637"/>
      <c r="E313" s="637"/>
      <c r="F313" s="638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50" ht="15" customHeight="1" x14ac:dyDescent="0.3">
      <c r="C314" s="634" t="s">
        <v>163</v>
      </c>
      <c r="D314" s="627"/>
      <c r="E314" s="635" t="s">
        <v>128</v>
      </c>
      <c r="F314" s="629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50" ht="15" customHeight="1" x14ac:dyDescent="0.3">
      <c r="C315" s="626" t="s">
        <v>212</v>
      </c>
      <c r="D315" s="627"/>
      <c r="E315" s="628">
        <f>K308</f>
        <v>3886816.493076764</v>
      </c>
      <c r="F315" s="629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50" ht="15" customHeight="1" x14ac:dyDescent="0.3">
      <c r="C316" s="626" t="s">
        <v>213</v>
      </c>
      <c r="D316" s="627"/>
      <c r="E316" s="628">
        <f>K309</f>
        <v>3748174.6079764366</v>
      </c>
      <c r="F316" s="629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50" ht="15" customHeight="1" x14ac:dyDescent="0.3">
      <c r="C317" s="626" t="s">
        <v>214</v>
      </c>
      <c r="D317" s="627"/>
      <c r="E317" s="632">
        <f>E316-E315</f>
        <v>-138641.88510032743</v>
      </c>
      <c r="F317" s="633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50" ht="15" customHeight="1" x14ac:dyDescent="0.3">
      <c r="C318" s="626" t="s">
        <v>164</v>
      </c>
      <c r="D318" s="627"/>
      <c r="E318" s="628">
        <f>L308</f>
        <v>11103175.860134406</v>
      </c>
      <c r="F318" s="629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50" ht="15" customHeight="1" x14ac:dyDescent="0.3">
      <c r="B319" s="1"/>
      <c r="C319" s="626" t="s">
        <v>165</v>
      </c>
      <c r="D319" s="627"/>
      <c r="E319" s="628">
        <f>L309</f>
        <v>10269369.249999994</v>
      </c>
      <c r="F319" s="629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5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50" ht="15" customHeight="1" x14ac:dyDescent="0.3">
      <c r="B320" s="1"/>
      <c r="C320" s="626" t="s">
        <v>5174</v>
      </c>
      <c r="D320" s="627"/>
      <c r="E320" s="630">
        <f>1-(E318/E319)</f>
        <v>-8.119355627751057E-2</v>
      </c>
      <c r="F320" s="63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321" t="s">
        <v>5189</v>
      </c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1"/>
      <c r="N322" s="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5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376" t="s">
        <v>5190</v>
      </c>
      <c r="D324" s="377" t="s">
        <v>5191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3.8" x14ac:dyDescent="0.3">
      <c r="B325" s="1"/>
      <c r="C325" s="110">
        <v>0</v>
      </c>
      <c r="D325" s="110">
        <v>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8.25" customHeight="1" x14ac:dyDescent="0.3">
      <c r="B326" s="1"/>
      <c r="C326" s="370"/>
      <c r="D326" s="370"/>
      <c r="E326" s="6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376" t="s">
        <v>5192</v>
      </c>
      <c r="D327" s="376" t="s">
        <v>5193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371">
        <f>L29</f>
        <v>2908040.6328103491</v>
      </c>
      <c r="D328" s="371">
        <f>L11</f>
        <v>5199803.1278062956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9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376" t="s">
        <v>5194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379">
        <f>$L$157</f>
        <v>9.9320884002751519E-2</v>
      </c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3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234"/>
      <c r="C333" s="378"/>
      <c r="D333" s="624" t="s">
        <v>104</v>
      </c>
      <c r="E333" s="624"/>
      <c r="F333" s="624"/>
      <c r="G333" s="624"/>
      <c r="H333" s="624"/>
      <c r="I333" s="624"/>
      <c r="J333" s="62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625" t="s">
        <v>5195</v>
      </c>
      <c r="C334" s="375">
        <f>$C$331</f>
        <v>9.9320884002751519E-2</v>
      </c>
      <c r="D334" s="372">
        <v>-15</v>
      </c>
      <c r="E334" s="372">
        <v>-10</v>
      </c>
      <c r="F334" s="372">
        <v>-5</v>
      </c>
      <c r="G334" s="372">
        <v>0</v>
      </c>
      <c r="H334" s="372">
        <v>5</v>
      </c>
      <c r="I334" s="372">
        <v>10</v>
      </c>
      <c r="J334" s="372">
        <v>15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625"/>
      <c r="C335" s="373">
        <v>-15</v>
      </c>
      <c r="D335" s="374">
        <f t="dataTable" ref="D335:J341" dt2D="1" dtr="1" r1="C325" r2="D325"/>
        <v>0.24319633278376473</v>
      </c>
      <c r="E335" s="374">
        <v>0.21399242386061235</v>
      </c>
      <c r="F335" s="374">
        <v>0.18790579349583547</v>
      </c>
      <c r="G335" s="374">
        <v>0.16439701968122389</v>
      </c>
      <c r="H335" s="374">
        <v>0.14302944443572341</v>
      </c>
      <c r="I335" s="374">
        <v>0.12344664616336676</v>
      </c>
      <c r="J335" s="374">
        <v>0.10535546081312153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625"/>
      <c r="C336" s="373">
        <v>-10</v>
      </c>
      <c r="D336" s="374">
        <v>0.21734496621206589</v>
      </c>
      <c r="E336" s="374">
        <v>0.19016296238337316</v>
      </c>
      <c r="F336" s="374">
        <v>0.16575727882952607</v>
      </c>
      <c r="G336" s="374">
        <v>0.14364486725934245</v>
      </c>
      <c r="H336" s="374">
        <v>0.12343371795816416</v>
      </c>
      <c r="I336" s="374">
        <v>0.10480313260176688</v>
      </c>
      <c r="J336" s="374">
        <v>8.748873758270781E-2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625"/>
      <c r="C337" s="373">
        <v>-5</v>
      </c>
      <c r="D337" s="374">
        <v>0.19087105484624844</v>
      </c>
      <c r="E337" s="374">
        <v>0.16562364852777778</v>
      </c>
      <c r="F337" s="374">
        <v>0.14281588222789088</v>
      </c>
      <c r="G337" s="374">
        <v>0.12201893961309018</v>
      </c>
      <c r="H337" s="374">
        <v>0.10288392568675842</v>
      </c>
      <c r="I337" s="374">
        <v>8.5124678545549282E-2</v>
      </c>
      <c r="J337" s="374">
        <v>6.8504643492358186E-2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625"/>
      <c r="C338" s="373">
        <v>0</v>
      </c>
      <c r="D338" s="374">
        <v>0.1636577419414007</v>
      </c>
      <c r="E338" s="374">
        <v>0.14023055458431521</v>
      </c>
      <c r="F338" s="374">
        <v>0.11891056133754807</v>
      </c>
      <c r="G338" s="374">
        <v>9.9320884002751519E-2</v>
      </c>
      <c r="H338" s="374">
        <v>8.1153965648488091E-2</v>
      </c>
      <c r="I338" s="374">
        <v>6.415673183865378E-2</v>
      </c>
      <c r="J338" s="374">
        <v>4.8119258844854684E-2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625"/>
      <c r="C339" s="373">
        <v>5</v>
      </c>
      <c r="D339" s="374">
        <v>0.1355063367141649</v>
      </c>
      <c r="E339" s="374">
        <v>0.11374886711833576</v>
      </c>
      <c r="F339" s="374">
        <v>9.376986003663057E-2</v>
      </c>
      <c r="G339" s="374">
        <v>7.5241753478834994E-2</v>
      </c>
      <c r="H339" s="374">
        <v>5.789619668890178E-2</v>
      </c>
      <c r="I339" s="374">
        <v>4.1511480225035369E-2</v>
      </c>
      <c r="J339" s="374">
        <v>2.5903032946345439E-2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625"/>
      <c r="C340" s="373">
        <v>10</v>
      </c>
      <c r="D340" s="374">
        <v>0.10608314178613631</v>
      </c>
      <c r="E340" s="374">
        <v>8.5794116573555845E-2</v>
      </c>
      <c r="F340" s="374">
        <v>6.6956923574752691E-2</v>
      </c>
      <c r="G340" s="374">
        <v>4.9290206685509874E-2</v>
      </c>
      <c r="H340" s="374">
        <v>3.2562372170838794E-2</v>
      </c>
      <c r="I340" s="374">
        <v>1.6581385322633091E-2</v>
      </c>
      <c r="J340" s="374">
        <v>1.1873175935235292E-3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625"/>
      <c r="C341" s="373">
        <v>15</v>
      </c>
      <c r="D341" s="374">
        <v>7.4820827769993326E-2</v>
      </c>
      <c r="E341" s="374">
        <v>5.5722578389710398E-2</v>
      </c>
      <c r="F341" s="374">
        <v>3.7747889681774449E-2</v>
      </c>
      <c r="G341" s="374">
        <v>2.0658253409914673E-2</v>
      </c>
      <c r="H341" s="374">
        <v>4.2568772357440832E-3</v>
      </c>
      <c r="I341" s="374">
        <v>-1.1618695131696777E-2</v>
      </c>
      <c r="J341" s="374">
        <v>-2.7101385581410398E-2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321" t="s">
        <v>5196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1"/>
      <c r="N344" s="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5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 t="s">
        <v>5224</v>
      </c>
      <c r="D346" s="435">
        <f>NPV(WACC!$D$35,PR!O355:AM355)</f>
        <v>4318227.9191287532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7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 t="s">
        <v>5225</v>
      </c>
      <c r="D347" s="435">
        <f>NPV(WACC!$D$35,O358:AM358)</f>
        <v>3886816.493076764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7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7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436" t="s">
        <v>5226</v>
      </c>
      <c r="D349" s="437">
        <f>1-(D347/D346)</f>
        <v>9.9904737343977645E-2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7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7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438"/>
      <c r="C351" s="439" t="s">
        <v>5227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1"/>
      <c r="N351" s="1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  <c r="AH351" s="438"/>
      <c r="AI351" s="438"/>
      <c r="AJ351" s="438"/>
      <c r="AK351" s="438"/>
      <c r="AL351" s="438"/>
      <c r="AM351" s="438"/>
      <c r="AN351" s="17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234" t="s">
        <v>5228</v>
      </c>
      <c r="D352" s="1"/>
      <c r="E352" s="441">
        <v>0.25840000000000002</v>
      </c>
      <c r="F352" s="1"/>
      <c r="G352" s="1"/>
      <c r="H352" s="1"/>
      <c r="I352" s="1"/>
      <c r="J352" s="1"/>
      <c r="K352" s="1"/>
      <c r="L352" s="1"/>
      <c r="M352" s="1"/>
      <c r="N352" s="1"/>
      <c r="O352" s="195">
        <f t="shared" ref="O352:AM352" si="201">(O29)*(1+$E$352)</f>
        <v>1149878.0343518113</v>
      </c>
      <c r="P352" s="195">
        <f t="shared" si="201"/>
        <v>0</v>
      </c>
      <c r="Q352" s="195">
        <f t="shared" si="201"/>
        <v>0</v>
      </c>
      <c r="R352" s="195">
        <f t="shared" si="201"/>
        <v>0</v>
      </c>
      <c r="S352" s="195">
        <f t="shared" si="201"/>
        <v>505671.57965533593</v>
      </c>
      <c r="T352" s="195">
        <f t="shared" si="201"/>
        <v>0</v>
      </c>
      <c r="U352" s="195">
        <f t="shared" si="201"/>
        <v>0</v>
      </c>
      <c r="V352" s="195">
        <f t="shared" si="201"/>
        <v>45336.923379290674</v>
      </c>
      <c r="W352" s="195">
        <f t="shared" si="201"/>
        <v>66719.50313247586</v>
      </c>
      <c r="X352" s="195">
        <f t="shared" si="201"/>
        <v>0</v>
      </c>
      <c r="Y352" s="195">
        <f t="shared" si="201"/>
        <v>502233.69816607476</v>
      </c>
      <c r="Z352" s="195">
        <f t="shared" si="201"/>
        <v>0</v>
      </c>
      <c r="AA352" s="195">
        <f t="shared" si="201"/>
        <v>221000.78557060583</v>
      </c>
      <c r="AB352" s="195">
        <f t="shared" si="201"/>
        <v>0</v>
      </c>
      <c r="AC352" s="195">
        <f t="shared" si="201"/>
        <v>0</v>
      </c>
      <c r="AD352" s="195">
        <f t="shared" si="201"/>
        <v>547521.27098097547</v>
      </c>
      <c r="AE352" s="195">
        <f t="shared" si="201"/>
        <v>10478.771796871371</v>
      </c>
      <c r="AF352" s="195">
        <f t="shared" si="201"/>
        <v>56290.081899994315</v>
      </c>
      <c r="AG352" s="195">
        <f t="shared" si="201"/>
        <v>0</v>
      </c>
      <c r="AH352" s="195">
        <f t="shared" si="201"/>
        <v>0</v>
      </c>
      <c r="AI352" s="195">
        <f t="shared" si="201"/>
        <v>505622.22909094603</v>
      </c>
      <c r="AJ352" s="195">
        <f t="shared" si="201"/>
        <v>0</v>
      </c>
      <c r="AK352" s="195">
        <f t="shared" si="201"/>
        <v>45336.923379290674</v>
      </c>
      <c r="AL352" s="195">
        <f t="shared" si="201"/>
        <v>0</v>
      </c>
      <c r="AM352" s="195">
        <f t="shared" si="201"/>
        <v>3388.5309248713716</v>
      </c>
      <c r="AN352" s="17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234" t="s">
        <v>161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95">
        <f t="shared" ref="O353:AM353" si="202">(O11)*(1+$E$352)</f>
        <v>168303.51078743764</v>
      </c>
      <c r="P353" s="195">
        <f t="shared" si="202"/>
        <v>263813.98263735784</v>
      </c>
      <c r="Q353" s="195">
        <f t="shared" si="202"/>
        <v>272730.21271567629</v>
      </c>
      <c r="R353" s="195">
        <f t="shared" si="202"/>
        <v>263641.72218732833</v>
      </c>
      <c r="S353" s="195">
        <f t="shared" si="202"/>
        <v>264995.64780164685</v>
      </c>
      <c r="T353" s="195">
        <f t="shared" si="202"/>
        <v>271031.76620129874</v>
      </c>
      <c r="U353" s="195">
        <f t="shared" si="202"/>
        <v>264823.38735161733</v>
      </c>
      <c r="V353" s="195">
        <f t="shared" si="202"/>
        <v>270859.50575126929</v>
      </c>
      <c r="W353" s="195">
        <f t="shared" si="202"/>
        <v>264651.12690158782</v>
      </c>
      <c r="X353" s="195">
        <f t="shared" si="202"/>
        <v>263124.94083723979</v>
      </c>
      <c r="Y353" s="195">
        <f t="shared" si="202"/>
        <v>272041.17091555829</v>
      </c>
      <c r="Z353" s="195">
        <f t="shared" si="202"/>
        <v>262952.68038721028</v>
      </c>
      <c r="AA353" s="195">
        <f t="shared" si="202"/>
        <v>271868.91046552878</v>
      </c>
      <c r="AB353" s="195">
        <f t="shared" si="202"/>
        <v>262780.41993718076</v>
      </c>
      <c r="AC353" s="195">
        <f t="shared" si="202"/>
        <v>264134.34555149934</v>
      </c>
      <c r="AD353" s="195">
        <f t="shared" si="202"/>
        <v>270170.46395115124</v>
      </c>
      <c r="AE353" s="195">
        <f t="shared" si="202"/>
        <v>263962.08510146983</v>
      </c>
      <c r="AF353" s="195">
        <f t="shared" si="202"/>
        <v>269998.20350112172</v>
      </c>
      <c r="AG353" s="195">
        <f t="shared" si="202"/>
        <v>263789.82465144031</v>
      </c>
      <c r="AH353" s="195">
        <f t="shared" si="202"/>
        <v>262263.63858709228</v>
      </c>
      <c r="AI353" s="195">
        <f t="shared" si="202"/>
        <v>271179.86866541073</v>
      </c>
      <c r="AJ353" s="195">
        <f t="shared" si="202"/>
        <v>262091.37813706277</v>
      </c>
      <c r="AK353" s="195">
        <f t="shared" si="202"/>
        <v>271007.60821538127</v>
      </c>
      <c r="AL353" s="195">
        <f t="shared" si="202"/>
        <v>261919.11768703326</v>
      </c>
      <c r="AM353" s="195">
        <f t="shared" si="202"/>
        <v>245296.73710484029</v>
      </c>
      <c r="AN353" s="17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256" t="s">
        <v>5154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95">
        <f>-O165</f>
        <v>42266.805529790065</v>
      </c>
      <c r="P354" s="195">
        <f t="shared" ref="P354:AM354" si="203">-P165</f>
        <v>35222.337941491722</v>
      </c>
      <c r="Q354" s="195">
        <f t="shared" si="203"/>
        <v>28177.870353193382</v>
      </c>
      <c r="R354" s="195">
        <f t="shared" si="203"/>
        <v>21133.402764895036</v>
      </c>
      <c r="S354" s="195">
        <f t="shared" si="203"/>
        <v>14088.935176596695</v>
      </c>
      <c r="T354" s="195">
        <f t="shared" si="203"/>
        <v>7044.4675882983511</v>
      </c>
      <c r="U354" s="195">
        <f t="shared" si="203"/>
        <v>0</v>
      </c>
      <c r="V354" s="195">
        <f t="shared" si="203"/>
        <v>6.7404471337795266E-12</v>
      </c>
      <c r="W354" s="195">
        <f t="shared" si="203"/>
        <v>6.7404471337795266E-12</v>
      </c>
      <c r="X354" s="195">
        <f t="shared" si="203"/>
        <v>6.7404471337795266E-12</v>
      </c>
      <c r="Y354" s="195">
        <f t="shared" si="203"/>
        <v>6.7404471337795266E-12</v>
      </c>
      <c r="Z354" s="195">
        <f t="shared" si="203"/>
        <v>6.7404471337795266E-12</v>
      </c>
      <c r="AA354" s="195">
        <f t="shared" si="203"/>
        <v>6.7404471337795266E-12</v>
      </c>
      <c r="AB354" s="195">
        <f t="shared" si="203"/>
        <v>6.7404471337795266E-12</v>
      </c>
      <c r="AC354" s="195">
        <f t="shared" si="203"/>
        <v>6.7404471337795266E-12</v>
      </c>
      <c r="AD354" s="195">
        <f t="shared" si="203"/>
        <v>6.7404471337795266E-12</v>
      </c>
      <c r="AE354" s="195">
        <f t="shared" si="203"/>
        <v>6.7404471337795266E-12</v>
      </c>
      <c r="AF354" s="195">
        <f t="shared" si="203"/>
        <v>6.7404471337795266E-12</v>
      </c>
      <c r="AG354" s="195">
        <f t="shared" si="203"/>
        <v>6.7404471337795266E-12</v>
      </c>
      <c r="AH354" s="195">
        <f t="shared" si="203"/>
        <v>6.7404471337795266E-12</v>
      </c>
      <c r="AI354" s="195">
        <f t="shared" si="203"/>
        <v>6.7404471337795266E-12</v>
      </c>
      <c r="AJ354" s="195">
        <f t="shared" si="203"/>
        <v>6.7404471337795266E-12</v>
      </c>
      <c r="AK354" s="195">
        <f t="shared" si="203"/>
        <v>6.7404471337795266E-12</v>
      </c>
      <c r="AL354" s="195">
        <f t="shared" si="203"/>
        <v>6.7404471337795266E-12</v>
      </c>
      <c r="AM354" s="195">
        <f t="shared" si="203"/>
        <v>6.7404471337795266E-12</v>
      </c>
      <c r="AN354" s="17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234" t="s">
        <v>129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95">
        <f t="shared" ref="O355:AM355" si="204">SUM(O352:O354)</f>
        <v>1360448.3506690389</v>
      </c>
      <c r="P355" s="195">
        <f t="shared" si="204"/>
        <v>299036.32057884958</v>
      </c>
      <c r="Q355" s="195">
        <f t="shared" si="204"/>
        <v>300908.08306886966</v>
      </c>
      <c r="R355" s="195">
        <f t="shared" si="204"/>
        <v>284775.12495222338</v>
      </c>
      <c r="S355" s="195">
        <f t="shared" si="204"/>
        <v>784756.16263357946</v>
      </c>
      <c r="T355" s="195">
        <f t="shared" si="204"/>
        <v>278076.23378959711</v>
      </c>
      <c r="U355" s="195">
        <f t="shared" si="204"/>
        <v>264823.38735161733</v>
      </c>
      <c r="V355" s="195">
        <f t="shared" si="204"/>
        <v>316196.42913055996</v>
      </c>
      <c r="W355" s="195">
        <f t="shared" si="204"/>
        <v>331370.63003406371</v>
      </c>
      <c r="X355" s="195">
        <f t="shared" si="204"/>
        <v>263124.94083723979</v>
      </c>
      <c r="Y355" s="195">
        <f t="shared" si="204"/>
        <v>774274.86908163305</v>
      </c>
      <c r="Z355" s="195">
        <f t="shared" si="204"/>
        <v>262952.68038721028</v>
      </c>
      <c r="AA355" s="195">
        <f t="shared" si="204"/>
        <v>492869.69603613461</v>
      </c>
      <c r="AB355" s="195">
        <f t="shared" si="204"/>
        <v>262780.41993718076</v>
      </c>
      <c r="AC355" s="195">
        <f t="shared" si="204"/>
        <v>264134.34555149934</v>
      </c>
      <c r="AD355" s="195">
        <f t="shared" si="204"/>
        <v>817691.73493212671</v>
      </c>
      <c r="AE355" s="195">
        <f t="shared" si="204"/>
        <v>274440.85689834121</v>
      </c>
      <c r="AF355" s="195">
        <f t="shared" si="204"/>
        <v>326288.28540111601</v>
      </c>
      <c r="AG355" s="195">
        <f t="shared" si="204"/>
        <v>263789.82465144031</v>
      </c>
      <c r="AH355" s="195">
        <f t="shared" si="204"/>
        <v>262263.63858709228</v>
      </c>
      <c r="AI355" s="195">
        <f t="shared" si="204"/>
        <v>776802.0977563567</v>
      </c>
      <c r="AJ355" s="195">
        <f t="shared" si="204"/>
        <v>262091.37813706277</v>
      </c>
      <c r="AK355" s="195">
        <f t="shared" si="204"/>
        <v>316344.53159467195</v>
      </c>
      <c r="AL355" s="195">
        <f t="shared" si="204"/>
        <v>261919.11768703326</v>
      </c>
      <c r="AM355" s="195">
        <f t="shared" si="204"/>
        <v>248685.26802971165</v>
      </c>
      <c r="AN355" s="17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60"/>
      <c r="D356" s="60"/>
      <c r="E356" s="6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7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438"/>
      <c r="C357" s="440" t="s">
        <v>5229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1"/>
      <c r="N357" s="1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  <c r="AH357" s="438"/>
      <c r="AI357" s="438"/>
      <c r="AJ357" s="438"/>
      <c r="AK357" s="438"/>
      <c r="AL357" s="438"/>
      <c r="AM357" s="438"/>
      <c r="AN357" s="17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 t="s">
        <v>5230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95">
        <f>O75</f>
        <v>152098.2994538958</v>
      </c>
      <c r="P358" s="195">
        <f t="shared" ref="P358:AM358" si="205">P75</f>
        <v>456294.8983616879</v>
      </c>
      <c r="Q358" s="195">
        <f t="shared" si="205"/>
        <v>456294.8983616879</v>
      </c>
      <c r="R358" s="195">
        <f t="shared" si="205"/>
        <v>456294.8983616879</v>
      </c>
      <c r="S358" s="195">
        <f t="shared" si="205"/>
        <v>456294.8983616879</v>
      </c>
      <c r="T358" s="195">
        <f t="shared" si="205"/>
        <v>456294.8983616879</v>
      </c>
      <c r="U358" s="195">
        <f t="shared" si="205"/>
        <v>456294.8983616879</v>
      </c>
      <c r="V358" s="195">
        <f t="shared" si="205"/>
        <v>456294.8983616879</v>
      </c>
      <c r="W358" s="195">
        <f t="shared" si="205"/>
        <v>456294.8983616879</v>
      </c>
      <c r="X358" s="195">
        <f t="shared" si="205"/>
        <v>456294.8983616879</v>
      </c>
      <c r="Y358" s="195">
        <f t="shared" si="205"/>
        <v>456294.8983616879</v>
      </c>
      <c r="Z358" s="195">
        <f t="shared" si="205"/>
        <v>456294.8983616879</v>
      </c>
      <c r="AA358" s="195">
        <f t="shared" si="205"/>
        <v>456294.8983616879</v>
      </c>
      <c r="AB358" s="195">
        <f t="shared" si="205"/>
        <v>456294.8983616879</v>
      </c>
      <c r="AC358" s="195">
        <f t="shared" si="205"/>
        <v>456294.8983616879</v>
      </c>
      <c r="AD358" s="195">
        <f t="shared" si="205"/>
        <v>456294.8983616879</v>
      </c>
      <c r="AE358" s="195">
        <f t="shared" si="205"/>
        <v>456294.8983616879</v>
      </c>
      <c r="AF358" s="195">
        <f t="shared" si="205"/>
        <v>456294.8983616879</v>
      </c>
      <c r="AG358" s="195">
        <f t="shared" si="205"/>
        <v>456294.8983616879</v>
      </c>
      <c r="AH358" s="195">
        <f t="shared" si="205"/>
        <v>456294.8983616879</v>
      </c>
      <c r="AI358" s="195">
        <f t="shared" si="205"/>
        <v>456294.8983616879</v>
      </c>
      <c r="AJ358" s="195">
        <f t="shared" si="205"/>
        <v>456294.8983616879</v>
      </c>
      <c r="AK358" s="195">
        <f t="shared" si="205"/>
        <v>456294.8983616879</v>
      </c>
      <c r="AL358" s="195">
        <f t="shared" si="205"/>
        <v>456294.8983616879</v>
      </c>
      <c r="AM358" s="195">
        <f t="shared" si="205"/>
        <v>456294.8983616879</v>
      </c>
      <c r="AN358" s="17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5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5" customHeight="1" x14ac:dyDescent="0.3">
      <c r="B465" s="1"/>
      <c r="C465" s="60"/>
      <c r="D465" s="60"/>
      <c r="E465" s="6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5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5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5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5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5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5" customHeight="1" x14ac:dyDescent="0.3">
      <c r="B470" s="1"/>
      <c r="C470" s="60"/>
      <c r="D470" s="60"/>
      <c r="E470" s="6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5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5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5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5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5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5" customHeight="1" x14ac:dyDescent="0.3">
      <c r="B475" s="1"/>
      <c r="C475" s="60"/>
      <c r="D475" s="60"/>
      <c r="E475" s="6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5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5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5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5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5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5" customHeight="1" x14ac:dyDescent="0.3">
      <c r="B480" s="1"/>
      <c r="C480" s="60"/>
      <c r="D480" s="60"/>
      <c r="E480" s="6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5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5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5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5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5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5" customHeight="1" x14ac:dyDescent="0.3">
      <c r="B485" s="1"/>
      <c r="C485" s="60"/>
      <c r="D485" s="60"/>
      <c r="E485" s="6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5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5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5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5"/>
      <c r="AO488" s="1"/>
      <c r="AP488" s="1"/>
      <c r="AQ488" s="1"/>
      <c r="AR488" s="1"/>
      <c r="AS488" s="1"/>
      <c r="AT488" s="1"/>
      <c r="AU488" s="1"/>
      <c r="AV488" s="1"/>
      <c r="AW488" s="1"/>
    </row>
  </sheetData>
  <mergeCells count="28">
    <mergeCell ref="C314:D314"/>
    <mergeCell ref="E314:F314"/>
    <mergeCell ref="C300:F300"/>
    <mergeCell ref="C301:D301"/>
    <mergeCell ref="E301:F301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13:F313"/>
    <mergeCell ref="C315:D315"/>
    <mergeCell ref="E315:F315"/>
    <mergeCell ref="C316:D316"/>
    <mergeCell ref="E316:F316"/>
    <mergeCell ref="C317:D317"/>
    <mergeCell ref="E317:F317"/>
    <mergeCell ref="D333:J333"/>
    <mergeCell ref="B334:B341"/>
    <mergeCell ref="C318:D318"/>
    <mergeCell ref="E318:F318"/>
    <mergeCell ref="C319:D319"/>
    <mergeCell ref="E319:F319"/>
    <mergeCell ref="C320:D320"/>
    <mergeCell ref="E320:F320"/>
  </mergeCells>
  <conditionalFormatting sqref="D335:J341 L3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disablePrompts="1" count="3">
    <dataValidation type="list" allowBlank="1" showErrorMessage="1" sqref="F83" xr:uid="{3D040898-5D57-4607-80ED-EFD4F2E2A1DB}">
      <formula1>"Real,Nominal"</formula1>
    </dataValidation>
    <dataValidation type="list" allowBlank="1" showErrorMessage="1" sqref="G114" xr:uid="{9F3F4D3F-C88D-4981-801B-3F869913312A}">
      <formula1>"Regulatório,Gerencial"</formula1>
    </dataValidation>
    <dataValidation type="list" allowBlank="1" showInputMessage="1" showErrorMessage="1" sqref="C325:D325" xr:uid="{FB7AB312-2E5A-4EE2-B37C-476625A0B935}">
      <formula1>"-15,-10,-5,0,5,10,15"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L67:AM69 P82:AM92 K101:L105 K124:L127 O76:AM76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E10B6-F779-46C0-BB38-A1851AFBC695}">
  <dimension ref="A1:XFD488"/>
  <sheetViews>
    <sheetView showGridLines="0" zoomScale="85" zoomScaleNormal="100" workbookViewId="0">
      <pane xSplit="13" ySplit="5" topLeftCell="N6" activePane="bottomRight" state="frozen"/>
      <selection pane="topRight" activeCell="N1" sqref="N1"/>
      <selection pane="bottomLeft" activeCell="A6" sqref="A6"/>
      <selection pane="bottomRight" activeCell="A7" sqref="A7"/>
    </sheetView>
  </sheetViews>
  <sheetFormatPr defaultColWidth="14.44140625" defaultRowHeight="15" customHeight="1" x14ac:dyDescent="0.3"/>
  <cols>
    <col min="1" max="1" width="2" customWidth="1"/>
    <col min="2" max="2" width="4.44140625" customWidth="1"/>
    <col min="3" max="3" width="16" customWidth="1"/>
    <col min="4" max="4" width="19.5546875" customWidth="1"/>
    <col min="5" max="5" width="19.33203125" customWidth="1"/>
    <col min="6" max="6" width="18.44140625" customWidth="1"/>
    <col min="7" max="8" width="17.44140625" customWidth="1"/>
    <col min="9" max="10" width="17" customWidth="1"/>
    <col min="11" max="11" width="17.6640625" bestFit="1" customWidth="1"/>
    <col min="12" max="12" width="20.5546875" customWidth="1"/>
    <col min="13" max="13" width="2.5546875" customWidth="1"/>
    <col min="14" max="14" width="1.88671875" customWidth="1"/>
    <col min="15" max="15" width="13.88671875" customWidth="1"/>
    <col min="16" max="38" width="13" customWidth="1"/>
    <col min="39" max="39" width="13.88671875" customWidth="1"/>
    <col min="40" max="40" width="5.33203125" customWidth="1"/>
    <col min="41" max="48" width="13" hidden="1" customWidth="1"/>
    <col min="49" max="49" width="2" hidden="1" customWidth="1"/>
    <col min="50" max="50" width="15.88671875" bestFit="1" customWidth="1"/>
    <col min="54" max="54" width="14.6640625" bestFit="1" customWidth="1"/>
  </cols>
  <sheetData>
    <row r="1" spans="1:51" ht="15.75" customHeight="1" x14ac:dyDescent="0.3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4" t="s">
        <v>1</v>
      </c>
      <c r="M1" s="3"/>
      <c r="N1" s="3"/>
      <c r="O1" s="2">
        <v>12</v>
      </c>
      <c r="P1" s="3">
        <f t="shared" ref="P1:AM1" si="0">O1+12</f>
        <v>24</v>
      </c>
      <c r="Q1" s="3">
        <f t="shared" si="0"/>
        <v>36</v>
      </c>
      <c r="R1" s="3">
        <f t="shared" si="0"/>
        <v>48</v>
      </c>
      <c r="S1" s="3">
        <f t="shared" si="0"/>
        <v>60</v>
      </c>
      <c r="T1" s="3">
        <f t="shared" si="0"/>
        <v>72</v>
      </c>
      <c r="U1" s="3">
        <f t="shared" si="0"/>
        <v>84</v>
      </c>
      <c r="V1" s="3">
        <f t="shared" si="0"/>
        <v>96</v>
      </c>
      <c r="W1" s="3">
        <f t="shared" si="0"/>
        <v>108</v>
      </c>
      <c r="X1" s="3">
        <f t="shared" si="0"/>
        <v>120</v>
      </c>
      <c r="Y1" s="3">
        <f t="shared" si="0"/>
        <v>132</v>
      </c>
      <c r="Z1" s="3">
        <f t="shared" si="0"/>
        <v>144</v>
      </c>
      <c r="AA1" s="3">
        <f t="shared" si="0"/>
        <v>156</v>
      </c>
      <c r="AB1" s="3">
        <f t="shared" si="0"/>
        <v>168</v>
      </c>
      <c r="AC1" s="3">
        <f t="shared" si="0"/>
        <v>180</v>
      </c>
      <c r="AD1" s="3">
        <f t="shared" si="0"/>
        <v>192</v>
      </c>
      <c r="AE1" s="3">
        <f t="shared" si="0"/>
        <v>204</v>
      </c>
      <c r="AF1" s="3">
        <f t="shared" si="0"/>
        <v>216</v>
      </c>
      <c r="AG1" s="3">
        <f t="shared" si="0"/>
        <v>228</v>
      </c>
      <c r="AH1" s="3">
        <f t="shared" si="0"/>
        <v>240</v>
      </c>
      <c r="AI1" s="3">
        <f t="shared" si="0"/>
        <v>252</v>
      </c>
      <c r="AJ1" s="3">
        <f t="shared" si="0"/>
        <v>264</v>
      </c>
      <c r="AK1" s="3">
        <f t="shared" si="0"/>
        <v>276</v>
      </c>
      <c r="AL1" s="3">
        <f t="shared" si="0"/>
        <v>288</v>
      </c>
      <c r="AM1" s="3">
        <f t="shared" si="0"/>
        <v>300</v>
      </c>
      <c r="AN1" s="5"/>
      <c r="AO1" s="3"/>
      <c r="AP1" s="3"/>
      <c r="AQ1" s="3"/>
      <c r="AR1" s="3"/>
      <c r="AS1" s="3"/>
      <c r="AT1" s="3"/>
      <c r="AU1" s="3"/>
      <c r="AV1" s="3"/>
      <c r="AW1" s="1"/>
    </row>
    <row r="2" spans="1:51" ht="15.75" customHeight="1" x14ac:dyDescent="0.3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4" t="s">
        <v>2</v>
      </c>
      <c r="M2" s="3"/>
      <c r="N2" s="3"/>
      <c r="O2" s="6">
        <v>46023</v>
      </c>
      <c r="P2" s="7">
        <f t="shared" ref="P2:AM2" si="1">EDATE(O2,12)</f>
        <v>46388</v>
      </c>
      <c r="Q2" s="7">
        <f t="shared" si="1"/>
        <v>46753</v>
      </c>
      <c r="R2" s="7">
        <f t="shared" si="1"/>
        <v>47119</v>
      </c>
      <c r="S2" s="7">
        <f t="shared" si="1"/>
        <v>47484</v>
      </c>
      <c r="T2" s="7">
        <f t="shared" si="1"/>
        <v>47849</v>
      </c>
      <c r="U2" s="7">
        <f t="shared" si="1"/>
        <v>48214</v>
      </c>
      <c r="V2" s="7">
        <f t="shared" si="1"/>
        <v>48580</v>
      </c>
      <c r="W2" s="7">
        <f t="shared" si="1"/>
        <v>48945</v>
      </c>
      <c r="X2" s="7">
        <f t="shared" si="1"/>
        <v>49310</v>
      </c>
      <c r="Y2" s="7">
        <f t="shared" si="1"/>
        <v>49675</v>
      </c>
      <c r="Z2" s="7">
        <f t="shared" si="1"/>
        <v>50041</v>
      </c>
      <c r="AA2" s="7">
        <f t="shared" si="1"/>
        <v>50406</v>
      </c>
      <c r="AB2" s="7">
        <f t="shared" si="1"/>
        <v>50771</v>
      </c>
      <c r="AC2" s="7">
        <f t="shared" si="1"/>
        <v>51136</v>
      </c>
      <c r="AD2" s="7">
        <f t="shared" si="1"/>
        <v>51502</v>
      </c>
      <c r="AE2" s="7">
        <f t="shared" si="1"/>
        <v>51867</v>
      </c>
      <c r="AF2" s="7">
        <f t="shared" si="1"/>
        <v>52232</v>
      </c>
      <c r="AG2" s="7">
        <f t="shared" si="1"/>
        <v>52597</v>
      </c>
      <c r="AH2" s="7">
        <f t="shared" si="1"/>
        <v>52963</v>
      </c>
      <c r="AI2" s="7">
        <f t="shared" si="1"/>
        <v>53328</v>
      </c>
      <c r="AJ2" s="7">
        <f t="shared" si="1"/>
        <v>53693</v>
      </c>
      <c r="AK2" s="7">
        <f t="shared" si="1"/>
        <v>54058</v>
      </c>
      <c r="AL2" s="7">
        <f t="shared" si="1"/>
        <v>54424</v>
      </c>
      <c r="AM2" s="7">
        <f t="shared" si="1"/>
        <v>54789</v>
      </c>
      <c r="AN2" s="5"/>
      <c r="AO2" s="7"/>
      <c r="AP2" s="7"/>
      <c r="AQ2" s="7"/>
      <c r="AR2" s="7"/>
      <c r="AS2" s="7"/>
      <c r="AT2" s="7"/>
      <c r="AU2" s="7"/>
      <c r="AV2" s="7"/>
      <c r="AW2" s="1"/>
    </row>
    <row r="3" spans="1:51" ht="15.75" customHeight="1" x14ac:dyDescent="0.3">
      <c r="A3" s="1"/>
      <c r="B3" s="3"/>
      <c r="C3" s="3"/>
      <c r="D3" s="3"/>
      <c r="E3" s="8"/>
      <c r="F3" s="3"/>
      <c r="G3" s="3"/>
      <c r="H3" s="3"/>
      <c r="I3" s="3"/>
      <c r="J3" s="3"/>
      <c r="K3" s="3"/>
      <c r="L3" s="4" t="s">
        <v>3</v>
      </c>
      <c r="M3" s="3"/>
      <c r="N3" s="3"/>
      <c r="O3" s="3">
        <f t="shared" ref="O3:AM3" si="2">QUOTIENT(O1-1,12)+1</f>
        <v>1</v>
      </c>
      <c r="P3" s="3">
        <f t="shared" si="2"/>
        <v>2</v>
      </c>
      <c r="Q3" s="3">
        <f t="shared" si="2"/>
        <v>3</v>
      </c>
      <c r="R3" s="3">
        <f t="shared" si="2"/>
        <v>4</v>
      </c>
      <c r="S3" s="3">
        <f t="shared" si="2"/>
        <v>5</v>
      </c>
      <c r="T3" s="3">
        <f t="shared" si="2"/>
        <v>6</v>
      </c>
      <c r="U3" s="3">
        <f t="shared" si="2"/>
        <v>7</v>
      </c>
      <c r="V3" s="3">
        <f t="shared" si="2"/>
        <v>8</v>
      </c>
      <c r="W3" s="3">
        <f t="shared" si="2"/>
        <v>9</v>
      </c>
      <c r="X3" s="3">
        <f t="shared" si="2"/>
        <v>10</v>
      </c>
      <c r="Y3" s="3">
        <f t="shared" si="2"/>
        <v>11</v>
      </c>
      <c r="Z3" s="3">
        <f t="shared" si="2"/>
        <v>12</v>
      </c>
      <c r="AA3" s="3">
        <f t="shared" si="2"/>
        <v>13</v>
      </c>
      <c r="AB3" s="3">
        <f t="shared" si="2"/>
        <v>14</v>
      </c>
      <c r="AC3" s="3">
        <f t="shared" si="2"/>
        <v>15</v>
      </c>
      <c r="AD3" s="3">
        <f t="shared" si="2"/>
        <v>16</v>
      </c>
      <c r="AE3" s="3">
        <f t="shared" si="2"/>
        <v>17</v>
      </c>
      <c r="AF3" s="3">
        <f t="shared" si="2"/>
        <v>18</v>
      </c>
      <c r="AG3" s="3">
        <f t="shared" si="2"/>
        <v>19</v>
      </c>
      <c r="AH3" s="3">
        <f t="shared" si="2"/>
        <v>20</v>
      </c>
      <c r="AI3" s="3">
        <f t="shared" si="2"/>
        <v>21</v>
      </c>
      <c r="AJ3" s="3">
        <f t="shared" si="2"/>
        <v>22</v>
      </c>
      <c r="AK3" s="3">
        <f t="shared" si="2"/>
        <v>23</v>
      </c>
      <c r="AL3" s="3">
        <f t="shared" si="2"/>
        <v>24</v>
      </c>
      <c r="AM3" s="3">
        <f t="shared" si="2"/>
        <v>25</v>
      </c>
      <c r="AN3" s="5"/>
      <c r="AO3" s="3"/>
      <c r="AP3" s="3"/>
      <c r="AQ3" s="3"/>
      <c r="AR3" s="3"/>
      <c r="AS3" s="3"/>
      <c r="AT3" s="3"/>
      <c r="AU3" s="3"/>
      <c r="AV3" s="3"/>
      <c r="AW3" s="1"/>
    </row>
    <row r="4" spans="1:51" ht="15.75" customHeight="1" x14ac:dyDescent="0.3">
      <c r="A4" s="1"/>
      <c r="B4" s="3"/>
      <c r="C4" s="3"/>
      <c r="D4" s="3"/>
      <c r="E4" s="3"/>
      <c r="F4" s="3"/>
      <c r="G4" s="3"/>
      <c r="H4" s="3"/>
      <c r="I4" s="3"/>
      <c r="J4" s="3"/>
      <c r="K4" s="3"/>
      <c r="L4" s="4" t="s">
        <v>4</v>
      </c>
      <c r="M4" s="3"/>
      <c r="N4" s="3"/>
      <c r="O4" s="3">
        <f t="shared" ref="O4:AM4" si="3">YEAR(O2)</f>
        <v>2026</v>
      </c>
      <c r="P4" s="3">
        <f t="shared" si="3"/>
        <v>2027</v>
      </c>
      <c r="Q4" s="3">
        <f t="shared" si="3"/>
        <v>2028</v>
      </c>
      <c r="R4" s="3">
        <f t="shared" si="3"/>
        <v>2029</v>
      </c>
      <c r="S4" s="3">
        <f t="shared" si="3"/>
        <v>2030</v>
      </c>
      <c r="T4" s="3">
        <f t="shared" si="3"/>
        <v>2031</v>
      </c>
      <c r="U4" s="3">
        <f t="shared" si="3"/>
        <v>2032</v>
      </c>
      <c r="V4" s="3">
        <f t="shared" si="3"/>
        <v>2033</v>
      </c>
      <c r="W4" s="3">
        <f t="shared" si="3"/>
        <v>2034</v>
      </c>
      <c r="X4" s="3">
        <f t="shared" si="3"/>
        <v>2035</v>
      </c>
      <c r="Y4" s="3">
        <f t="shared" si="3"/>
        <v>2036</v>
      </c>
      <c r="Z4" s="3">
        <f t="shared" si="3"/>
        <v>2037</v>
      </c>
      <c r="AA4" s="3">
        <f t="shared" si="3"/>
        <v>2038</v>
      </c>
      <c r="AB4" s="3">
        <f t="shared" si="3"/>
        <v>2039</v>
      </c>
      <c r="AC4" s="3">
        <f t="shared" si="3"/>
        <v>2040</v>
      </c>
      <c r="AD4" s="3">
        <f t="shared" si="3"/>
        <v>2041</v>
      </c>
      <c r="AE4" s="3">
        <f t="shared" si="3"/>
        <v>2042</v>
      </c>
      <c r="AF4" s="3">
        <f t="shared" si="3"/>
        <v>2043</v>
      </c>
      <c r="AG4" s="3">
        <f t="shared" si="3"/>
        <v>2044</v>
      </c>
      <c r="AH4" s="3">
        <f t="shared" si="3"/>
        <v>2045</v>
      </c>
      <c r="AI4" s="3">
        <f t="shared" si="3"/>
        <v>2046</v>
      </c>
      <c r="AJ4" s="3">
        <f t="shared" si="3"/>
        <v>2047</v>
      </c>
      <c r="AK4" s="3">
        <f t="shared" si="3"/>
        <v>2048</v>
      </c>
      <c r="AL4" s="3">
        <f t="shared" si="3"/>
        <v>2049</v>
      </c>
      <c r="AM4" s="3">
        <f t="shared" si="3"/>
        <v>2050</v>
      </c>
      <c r="AN4" s="5"/>
      <c r="AO4" s="3"/>
      <c r="AP4" s="3"/>
      <c r="AQ4" s="3"/>
      <c r="AR4" s="3"/>
      <c r="AS4" s="3"/>
      <c r="AT4" s="3"/>
      <c r="AU4" s="3"/>
      <c r="AV4" s="3"/>
      <c r="AW4" s="1"/>
    </row>
    <row r="5" spans="1:51" ht="4.5" customHeigh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  <c r="AO5" s="1"/>
      <c r="AP5" s="1"/>
      <c r="AQ5" s="1"/>
      <c r="AR5" s="1"/>
      <c r="AS5" s="1"/>
      <c r="AT5" s="1"/>
      <c r="AU5" s="1"/>
      <c r="AV5" s="1"/>
      <c r="AW5" s="1"/>
    </row>
    <row r="6" spans="1:51" ht="4.5" customHeigh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  <c r="AO6" s="1"/>
      <c r="AP6" s="1"/>
      <c r="AQ6" s="1"/>
      <c r="AR6" s="1"/>
      <c r="AS6" s="1"/>
      <c r="AT6" s="1"/>
      <c r="AU6" s="1"/>
      <c r="AV6" s="1"/>
      <c r="AW6" s="1"/>
    </row>
    <row r="7" spans="1:51" ht="15.75" customHeight="1" x14ac:dyDescent="0.3">
      <c r="A7" s="1"/>
      <c r="B7" s="9" t="s">
        <v>5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"/>
      <c r="N7" s="1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5"/>
      <c r="AO7" s="10"/>
      <c r="AP7" s="10"/>
      <c r="AQ7" s="10"/>
      <c r="AR7" s="10"/>
      <c r="AS7" s="10"/>
      <c r="AT7" s="10"/>
      <c r="AU7" s="10"/>
      <c r="AV7" s="10"/>
      <c r="AW7" s="1"/>
    </row>
    <row r="8" spans="1:51" ht="15.75" customHeigh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  <c r="AO8" s="1"/>
      <c r="AP8" s="1"/>
      <c r="AQ8" s="1"/>
      <c r="AR8" s="1"/>
      <c r="AS8" s="1"/>
      <c r="AT8" s="1"/>
      <c r="AU8" s="1"/>
      <c r="AV8" s="1"/>
      <c r="AW8" s="1"/>
    </row>
    <row r="9" spans="1:51" ht="15.75" customHeight="1" x14ac:dyDescent="0.3">
      <c r="A9" s="1"/>
      <c r="B9" s="9" t="s">
        <v>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"/>
      <c r="N9" s="1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5"/>
      <c r="AO9" s="10"/>
      <c r="AP9" s="10"/>
      <c r="AQ9" s="10"/>
      <c r="AR9" s="10"/>
      <c r="AS9" s="10"/>
      <c r="AT9" s="10"/>
      <c r="AU9" s="10"/>
      <c r="AV9" s="10"/>
      <c r="AW9" s="1"/>
    </row>
    <row r="10" spans="1:51" ht="15.75" customHeight="1" x14ac:dyDescent="0.3">
      <c r="A10" s="1"/>
      <c r="B10" s="1"/>
      <c r="C10" s="1"/>
      <c r="D10" s="1"/>
      <c r="E10" s="1"/>
      <c r="F10" s="1"/>
      <c r="G10" s="1"/>
      <c r="H10" s="1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  <c r="AO10" s="1"/>
      <c r="AP10" s="1"/>
      <c r="AQ10" s="1"/>
      <c r="AR10" s="1"/>
      <c r="AS10" s="1"/>
      <c r="AT10" s="1"/>
      <c r="AU10" s="1"/>
      <c r="AV10" s="1"/>
      <c r="AW10" s="1"/>
    </row>
    <row r="11" spans="1:51" ht="15.75" customHeight="1" x14ac:dyDescent="0.3">
      <c r="A11" s="1"/>
      <c r="B11" s="12" t="s">
        <v>7</v>
      </c>
      <c r="C11" s="12"/>
      <c r="D11" s="12"/>
      <c r="E11" s="12"/>
      <c r="F11" s="12"/>
      <c r="G11" s="12"/>
      <c r="H11" s="12"/>
      <c r="I11" s="300"/>
      <c r="J11" s="12"/>
      <c r="K11" s="12"/>
      <c r="L11" s="300">
        <f>(SUM(O11:AM11))*(1+$D$325/100)</f>
        <v>18747995.265310675</v>
      </c>
      <c r="M11" s="1"/>
      <c r="N11" s="1"/>
      <c r="O11" s="13">
        <f>(O12+O13+O266)*(1+$D$325/100)</f>
        <v>484307.14391802822</v>
      </c>
      <c r="P11" s="13">
        <f t="shared" ref="P11:AM11" si="4">(P12+P13+P266)*(1+$D$325/100)</f>
        <v>759530.1378576773</v>
      </c>
      <c r="Q11" s="13">
        <f t="shared" si="4"/>
        <v>775107.90724580677</v>
      </c>
      <c r="R11" s="13">
        <f t="shared" si="4"/>
        <v>759032.50619624567</v>
      </c>
      <c r="S11" s="13">
        <f t="shared" si="4"/>
        <v>763040.01558437513</v>
      </c>
      <c r="T11" s="13">
        <f t="shared" si="4"/>
        <v>770105.13453481405</v>
      </c>
      <c r="U11" s="13">
        <f t="shared" si="4"/>
        <v>762542.38392294361</v>
      </c>
      <c r="V11" s="13">
        <f t="shared" si="4"/>
        <v>769607.50287338253</v>
      </c>
      <c r="W11" s="13">
        <f t="shared" si="4"/>
        <v>762044.75226151198</v>
      </c>
      <c r="X11" s="13">
        <f t="shared" si="4"/>
        <v>757539.61121195089</v>
      </c>
      <c r="Y11" s="13">
        <f t="shared" si="4"/>
        <v>773117.38060008036</v>
      </c>
      <c r="Z11" s="13">
        <f t="shared" si="4"/>
        <v>757041.97955051926</v>
      </c>
      <c r="AA11" s="13">
        <f t="shared" si="4"/>
        <v>772619.74893864873</v>
      </c>
      <c r="AB11" s="13">
        <f t="shared" si="4"/>
        <v>756544.34788908774</v>
      </c>
      <c r="AC11" s="13">
        <f t="shared" si="4"/>
        <v>760551.8572772172</v>
      </c>
      <c r="AD11" s="13">
        <f t="shared" si="4"/>
        <v>767616.97622765612</v>
      </c>
      <c r="AE11" s="13">
        <f t="shared" si="4"/>
        <v>760054.22561578557</v>
      </c>
      <c r="AF11" s="13">
        <f t="shared" si="4"/>
        <v>767119.34456622449</v>
      </c>
      <c r="AG11" s="13">
        <f t="shared" si="4"/>
        <v>759556.59395435394</v>
      </c>
      <c r="AH11" s="13">
        <f t="shared" si="4"/>
        <v>755051.45290479285</v>
      </c>
      <c r="AI11" s="13">
        <f t="shared" si="4"/>
        <v>770629.22229292232</v>
      </c>
      <c r="AJ11" s="13">
        <f t="shared" si="4"/>
        <v>754553.82124336134</v>
      </c>
      <c r="AK11" s="13">
        <f t="shared" si="4"/>
        <v>770131.59063149081</v>
      </c>
      <c r="AL11" s="13">
        <f t="shared" si="4"/>
        <v>754056.18958192971</v>
      </c>
      <c r="AM11" s="13">
        <f t="shared" si="4"/>
        <v>706493.43842986459</v>
      </c>
      <c r="AN11" s="5"/>
      <c r="AO11" s="13"/>
      <c r="AP11" s="13"/>
      <c r="AQ11" s="13"/>
      <c r="AR11" s="13"/>
      <c r="AS11" s="13"/>
      <c r="AT11" s="13"/>
      <c r="AU11" s="13"/>
      <c r="AV11" s="13"/>
      <c r="AW11" s="1"/>
    </row>
    <row r="12" spans="1:51" ht="15.75" customHeight="1" x14ac:dyDescent="0.3">
      <c r="A12" s="1"/>
      <c r="B12" s="12" t="s">
        <v>5215</v>
      </c>
      <c r="C12" s="413"/>
      <c r="D12" s="413"/>
      <c r="E12" s="413"/>
      <c r="F12" s="413"/>
      <c r="G12" s="413"/>
      <c r="H12" s="413"/>
      <c r="I12" s="413"/>
      <c r="J12" s="413"/>
      <c r="K12" s="413"/>
      <c r="L12" s="300">
        <f>(SUM(O12:AM12))</f>
        <v>8615372.5562604163</v>
      </c>
      <c r="M12" s="1"/>
      <c r="N12" s="1"/>
      <c r="O12" s="415">
        <f>O14</f>
        <v>186021.07730770149</v>
      </c>
      <c r="P12" s="415">
        <f t="shared" ref="P12:AM12" si="5">P14</f>
        <v>347890.49700440967</v>
      </c>
      <c r="Q12" s="415">
        <f t="shared" si="5"/>
        <v>359460.75700440968</v>
      </c>
      <c r="R12" s="415">
        <f t="shared" si="5"/>
        <v>347890.49700440967</v>
      </c>
      <c r="S12" s="415">
        <f t="shared" si="5"/>
        <v>347890.49700440967</v>
      </c>
      <c r="T12" s="415">
        <f t="shared" si="5"/>
        <v>359460.75700440968</v>
      </c>
      <c r="U12" s="415">
        <f t="shared" si="5"/>
        <v>347890.49700440967</v>
      </c>
      <c r="V12" s="415">
        <f t="shared" si="5"/>
        <v>359460.75700440968</v>
      </c>
      <c r="W12" s="415">
        <f t="shared" si="5"/>
        <v>347890.49700440967</v>
      </c>
      <c r="X12" s="415">
        <f t="shared" si="5"/>
        <v>347890.49700440967</v>
      </c>
      <c r="Y12" s="415">
        <f t="shared" si="5"/>
        <v>359460.75700440968</v>
      </c>
      <c r="Z12" s="415">
        <f t="shared" si="5"/>
        <v>347890.49700440967</v>
      </c>
      <c r="AA12" s="415">
        <f t="shared" si="5"/>
        <v>359460.75700440968</v>
      </c>
      <c r="AB12" s="415">
        <f t="shared" si="5"/>
        <v>347890.49700440967</v>
      </c>
      <c r="AC12" s="415">
        <f t="shared" si="5"/>
        <v>347890.49700440967</v>
      </c>
      <c r="AD12" s="415">
        <f t="shared" si="5"/>
        <v>359460.75700440968</v>
      </c>
      <c r="AE12" s="415">
        <f t="shared" si="5"/>
        <v>347890.49700440967</v>
      </c>
      <c r="AF12" s="415">
        <f t="shared" si="5"/>
        <v>359460.75700440968</v>
      </c>
      <c r="AG12" s="415">
        <f t="shared" si="5"/>
        <v>347890.49700440967</v>
      </c>
      <c r="AH12" s="415">
        <f t="shared" si="5"/>
        <v>347890.49700440967</v>
      </c>
      <c r="AI12" s="415">
        <f t="shared" si="5"/>
        <v>359460.75700440968</v>
      </c>
      <c r="AJ12" s="415">
        <f t="shared" si="5"/>
        <v>347890.49700440967</v>
      </c>
      <c r="AK12" s="415">
        <f t="shared" si="5"/>
        <v>359460.75700440968</v>
      </c>
      <c r="AL12" s="415">
        <f t="shared" si="5"/>
        <v>347890.49700440967</v>
      </c>
      <c r="AM12" s="415">
        <f t="shared" si="5"/>
        <v>323737.70785129385</v>
      </c>
      <c r="AN12" s="175"/>
      <c r="AO12" s="415"/>
      <c r="AP12" s="415"/>
      <c r="AQ12" s="415"/>
      <c r="AR12" s="415"/>
      <c r="AS12" s="415"/>
      <c r="AT12" s="415"/>
      <c r="AU12" s="415"/>
      <c r="AV12" s="415"/>
      <c r="AW12" s="1"/>
    </row>
    <row r="13" spans="1:51" ht="15.75" customHeight="1" x14ac:dyDescent="0.3">
      <c r="A13" s="1"/>
      <c r="B13" s="12" t="s">
        <v>5216</v>
      </c>
      <c r="C13" s="413"/>
      <c r="D13" s="413"/>
      <c r="E13" s="413"/>
      <c r="F13" s="413"/>
      <c r="G13" s="413"/>
      <c r="H13" s="413"/>
      <c r="I13" s="413"/>
      <c r="J13" s="413"/>
      <c r="K13" s="413"/>
      <c r="L13" s="300">
        <f>(SUM(O13:AM13))</f>
        <v>10055281.083751071</v>
      </c>
      <c r="M13" s="1"/>
      <c r="N13" s="1"/>
      <c r="O13" s="415">
        <f>'Fluxo Rateio'!O4*$G$16</f>
        <v>289617.61058870371</v>
      </c>
      <c r="P13" s="415">
        <f>'Fluxo Rateio'!P4*$G$16</f>
        <v>405916.87674680422</v>
      </c>
      <c r="Q13" s="415">
        <f>'Fluxo Rateio'!Q4*$G$16</f>
        <v>410173.20196564955</v>
      </c>
      <c r="R13" s="415">
        <f>'Fluxo Rateio'!R4*$G$16</f>
        <v>405916.87674680422</v>
      </c>
      <c r="S13" s="415">
        <f>'Fluxo Rateio'!S4*$G$16</f>
        <v>410173.20196564955</v>
      </c>
      <c r="T13" s="415">
        <f>'Fluxo Rateio'!T4*$G$16</f>
        <v>405916.87674680422</v>
      </c>
      <c r="U13" s="415">
        <f>'Fluxo Rateio'!U4*$G$16</f>
        <v>410173.20196564955</v>
      </c>
      <c r="V13" s="415">
        <f>'Fluxo Rateio'!V4*$G$16</f>
        <v>405916.87674680422</v>
      </c>
      <c r="W13" s="415">
        <f>'Fluxo Rateio'!W4*$G$16</f>
        <v>410173.20196564955</v>
      </c>
      <c r="X13" s="415">
        <f>'Fluxo Rateio'!X4*$G$16</f>
        <v>405916.87674680422</v>
      </c>
      <c r="Y13" s="415">
        <f>'Fluxo Rateio'!Y4*$G$16</f>
        <v>410173.20196564955</v>
      </c>
      <c r="Z13" s="415">
        <f>'Fluxo Rateio'!Z4*$G$16</f>
        <v>405916.87674680422</v>
      </c>
      <c r="AA13" s="415">
        <f>'Fluxo Rateio'!AA4*$G$16</f>
        <v>410173.20196564955</v>
      </c>
      <c r="AB13" s="415">
        <f>'Fluxo Rateio'!AB4*$G$16</f>
        <v>405916.87674680422</v>
      </c>
      <c r="AC13" s="415">
        <f>'Fluxo Rateio'!AC4*$G$16</f>
        <v>410173.20196564955</v>
      </c>
      <c r="AD13" s="415">
        <f>'Fluxo Rateio'!AD4*$G$16</f>
        <v>405916.87674680422</v>
      </c>
      <c r="AE13" s="415">
        <f>'Fluxo Rateio'!AE4*$G$16</f>
        <v>410173.20196564955</v>
      </c>
      <c r="AF13" s="415">
        <f>'Fluxo Rateio'!AF4*$G$16</f>
        <v>405916.87674680422</v>
      </c>
      <c r="AG13" s="415">
        <f>'Fluxo Rateio'!AG4*$G$16</f>
        <v>410173.20196564955</v>
      </c>
      <c r="AH13" s="415">
        <f>'Fluxo Rateio'!AH4*$G$16</f>
        <v>405916.87674680422</v>
      </c>
      <c r="AI13" s="415">
        <f>'Fluxo Rateio'!AI4*$G$16</f>
        <v>410173.20196564955</v>
      </c>
      <c r="AJ13" s="415">
        <f>'Fluxo Rateio'!AJ4*$G$16</f>
        <v>405916.87674680422</v>
      </c>
      <c r="AK13" s="415">
        <f>'Fluxo Rateio'!AK4*$G$16</f>
        <v>410173.20196564955</v>
      </c>
      <c r="AL13" s="415">
        <f>'Fluxo Rateio'!AL4*$G$16</f>
        <v>405916.87674680422</v>
      </c>
      <c r="AM13" s="415">
        <f>'Fluxo Rateio'!AM4*$G$16</f>
        <v>382755.7305785708</v>
      </c>
      <c r="AN13" s="175"/>
      <c r="AO13" s="415"/>
      <c r="AP13" s="415"/>
      <c r="AQ13" s="415"/>
      <c r="AR13" s="415"/>
      <c r="AS13" s="415"/>
      <c r="AT13" s="415"/>
      <c r="AU13" s="415"/>
      <c r="AV13" s="415"/>
      <c r="AW13" s="1"/>
    </row>
    <row r="14" spans="1:51" ht="15.75" customHeight="1" x14ac:dyDescent="0.3">
      <c r="A14" s="1"/>
      <c r="B14" s="14" t="s">
        <v>5219</v>
      </c>
      <c r="C14" s="14"/>
      <c r="D14" s="14"/>
      <c r="E14" s="14"/>
      <c r="F14" s="14"/>
      <c r="G14" s="14"/>
      <c r="H14" s="14"/>
      <c r="I14" s="166"/>
      <c r="J14" s="166"/>
      <c r="K14" s="166"/>
      <c r="L14" s="428">
        <f>SUM(O14:AM14)*(1+$D$325/100)</f>
        <v>8615372.5562604163</v>
      </c>
      <c r="M14" s="183"/>
      <c r="N14" s="1"/>
      <c r="O14" s="486">
        <f>(SUM(O16:O20,O22)*(1+$D$325/100))</f>
        <v>186021.07730770149</v>
      </c>
      <c r="P14" s="486">
        <f t="shared" ref="P14:AM14" si="6">(SUM(P16:P20,P22)*(1+$D$325/100))</f>
        <v>347890.49700440967</v>
      </c>
      <c r="Q14" s="486">
        <f t="shared" si="6"/>
        <v>359460.75700440968</v>
      </c>
      <c r="R14" s="486">
        <f t="shared" si="6"/>
        <v>347890.49700440967</v>
      </c>
      <c r="S14" s="486">
        <f t="shared" si="6"/>
        <v>347890.49700440967</v>
      </c>
      <c r="T14" s="486">
        <f t="shared" si="6"/>
        <v>359460.75700440968</v>
      </c>
      <c r="U14" s="486">
        <f t="shared" si="6"/>
        <v>347890.49700440967</v>
      </c>
      <c r="V14" s="486">
        <f t="shared" si="6"/>
        <v>359460.75700440968</v>
      </c>
      <c r="W14" s="486">
        <f t="shared" si="6"/>
        <v>347890.49700440967</v>
      </c>
      <c r="X14" s="486">
        <f t="shared" si="6"/>
        <v>347890.49700440967</v>
      </c>
      <c r="Y14" s="486">
        <f t="shared" si="6"/>
        <v>359460.75700440968</v>
      </c>
      <c r="Z14" s="486">
        <f t="shared" si="6"/>
        <v>347890.49700440967</v>
      </c>
      <c r="AA14" s="486">
        <f t="shared" si="6"/>
        <v>359460.75700440968</v>
      </c>
      <c r="AB14" s="486">
        <f t="shared" si="6"/>
        <v>347890.49700440967</v>
      </c>
      <c r="AC14" s="486">
        <f t="shared" si="6"/>
        <v>347890.49700440967</v>
      </c>
      <c r="AD14" s="486">
        <f t="shared" si="6"/>
        <v>359460.75700440968</v>
      </c>
      <c r="AE14" s="486">
        <f t="shared" si="6"/>
        <v>347890.49700440967</v>
      </c>
      <c r="AF14" s="486">
        <f t="shared" si="6"/>
        <v>359460.75700440968</v>
      </c>
      <c r="AG14" s="486">
        <f t="shared" si="6"/>
        <v>347890.49700440967</v>
      </c>
      <c r="AH14" s="486">
        <f t="shared" si="6"/>
        <v>347890.49700440967</v>
      </c>
      <c r="AI14" s="486">
        <f t="shared" si="6"/>
        <v>359460.75700440968</v>
      </c>
      <c r="AJ14" s="486">
        <f t="shared" si="6"/>
        <v>347890.49700440967</v>
      </c>
      <c r="AK14" s="486">
        <f t="shared" si="6"/>
        <v>359460.75700440968</v>
      </c>
      <c r="AL14" s="486">
        <f t="shared" si="6"/>
        <v>347890.49700440967</v>
      </c>
      <c r="AM14" s="486">
        <f t="shared" si="6"/>
        <v>323737.70785129385</v>
      </c>
      <c r="AN14" s="5"/>
      <c r="AO14" s="15"/>
      <c r="AP14" s="15"/>
      <c r="AQ14" s="15"/>
      <c r="AR14" s="15"/>
      <c r="AS14" s="15"/>
      <c r="AT14" s="15"/>
      <c r="AU14" s="15"/>
      <c r="AV14" s="15"/>
      <c r="AW14" s="1"/>
      <c r="AX14" s="221"/>
    </row>
    <row r="15" spans="1:51" s="205" customFormat="1" ht="15.75" customHeight="1" x14ac:dyDescent="0.3">
      <c r="A15" s="1"/>
      <c r="B15" s="165"/>
      <c r="C15" s="201"/>
      <c r="D15" s="201"/>
      <c r="E15" s="201"/>
      <c r="F15" s="201"/>
      <c r="G15" s="201"/>
      <c r="H15" s="201"/>
      <c r="I15" s="202"/>
      <c r="J15" s="202"/>
      <c r="K15" s="202"/>
      <c r="L15" s="201"/>
      <c r="M15" s="203"/>
      <c r="N15" s="165"/>
      <c r="O15" s="204"/>
      <c r="P15" s="208"/>
      <c r="Q15" s="208"/>
      <c r="R15" s="204"/>
      <c r="S15" s="204"/>
      <c r="T15" s="204"/>
      <c r="U15" s="204"/>
      <c r="V15" s="204"/>
      <c r="W15" s="204"/>
      <c r="X15" s="204"/>
      <c r="Y15" s="204"/>
      <c r="Z15" s="208"/>
      <c r="AA15" s="208"/>
      <c r="AB15" s="208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175"/>
      <c r="AO15" s="204"/>
      <c r="AP15" s="204"/>
      <c r="AQ15" s="204"/>
      <c r="AR15" s="204"/>
      <c r="AS15" s="204"/>
      <c r="AT15" s="204"/>
      <c r="AU15" s="204"/>
      <c r="AV15" s="204"/>
      <c r="AW15" s="165"/>
      <c r="AX15" s="221"/>
      <c r="AY15" s="221"/>
    </row>
    <row r="16" spans="1:51" ht="15.75" customHeight="1" x14ac:dyDescent="0.3">
      <c r="A16" s="1"/>
      <c r="B16" s="396" t="s">
        <v>5197</v>
      </c>
      <c r="C16" s="397"/>
      <c r="D16" s="397"/>
      <c r="E16" s="397"/>
      <c r="F16" s="352" t="s">
        <v>5213</v>
      </c>
      <c r="G16" s="394">
        <f>'Fluxo Rateio'!$F$35</f>
        <v>0.2003073663733041</v>
      </c>
      <c r="H16" s="397"/>
      <c r="I16" s="398"/>
      <c r="J16" s="427"/>
      <c r="K16" s="399">
        <f t="shared" ref="K16:K18" si="7">L16/$L$14</f>
        <v>0.46361681236413838</v>
      </c>
      <c r="L16" s="431">
        <f t="shared" ref="L16:L23" si="8">SUM(O16:AV16)</f>
        <v>3994231.5618629325</v>
      </c>
      <c r="M16" s="184"/>
      <c r="N16" s="200"/>
      <c r="O16" s="424">
        <v>79660.734918694841</v>
      </c>
      <c r="P16" s="424">
        <v>159321.46983738965</v>
      </c>
      <c r="Q16" s="424">
        <v>170891.72983738966</v>
      </c>
      <c r="R16" s="424">
        <v>159321.46983738965</v>
      </c>
      <c r="S16" s="424">
        <v>159321.46983738965</v>
      </c>
      <c r="T16" s="424">
        <v>170891.72983738966</v>
      </c>
      <c r="U16" s="424">
        <v>159321.46983738965</v>
      </c>
      <c r="V16" s="424">
        <v>170891.72983738966</v>
      </c>
      <c r="W16" s="424">
        <v>159321.46983738965</v>
      </c>
      <c r="X16" s="424">
        <v>159321.46983738965</v>
      </c>
      <c r="Y16" s="424">
        <v>170891.72983738966</v>
      </c>
      <c r="Z16" s="424">
        <v>159321.46983738965</v>
      </c>
      <c r="AA16" s="424">
        <v>170891.72983738966</v>
      </c>
      <c r="AB16" s="424">
        <v>159321.46983738965</v>
      </c>
      <c r="AC16" s="424">
        <v>159321.46983738965</v>
      </c>
      <c r="AD16" s="424">
        <v>170891.72983738966</v>
      </c>
      <c r="AE16" s="424">
        <v>159321.46983738965</v>
      </c>
      <c r="AF16" s="424">
        <v>170891.72983738966</v>
      </c>
      <c r="AG16" s="424">
        <v>159321.46983738965</v>
      </c>
      <c r="AH16" s="424">
        <v>159321.46983738965</v>
      </c>
      <c r="AI16" s="424">
        <v>170891.72983738966</v>
      </c>
      <c r="AJ16" s="424">
        <v>159321.46983738965</v>
      </c>
      <c r="AK16" s="424">
        <v>170891.72983738966</v>
      </c>
      <c r="AL16" s="424">
        <v>159321.46983738965</v>
      </c>
      <c r="AM16" s="424">
        <v>146044.68068427386</v>
      </c>
      <c r="AN16" s="175"/>
      <c r="AO16" s="200"/>
      <c r="AP16" s="200"/>
      <c r="AQ16" s="200"/>
      <c r="AR16" s="200"/>
      <c r="AS16" s="200"/>
      <c r="AT16" s="200"/>
      <c r="AU16" s="200"/>
      <c r="AV16" s="200"/>
      <c r="AW16" s="200"/>
      <c r="AX16" s="221"/>
      <c r="AY16" s="221"/>
    </row>
    <row r="17" spans="1:51" ht="15.75" customHeight="1" x14ac:dyDescent="0.3">
      <c r="A17" s="1"/>
      <c r="B17" s="416" t="s">
        <v>167</v>
      </c>
      <c r="C17" s="417"/>
      <c r="D17" s="417"/>
      <c r="E17" s="417"/>
      <c r="F17" s="417"/>
      <c r="G17" s="417"/>
      <c r="H17" s="418"/>
      <c r="I17" s="419"/>
      <c r="J17" s="419"/>
      <c r="K17" s="420">
        <f t="shared" si="7"/>
        <v>0</v>
      </c>
      <c r="L17" s="421">
        <f t="shared" si="8"/>
        <v>0</v>
      </c>
      <c r="M17" s="184"/>
      <c r="N17" s="200"/>
      <c r="O17" s="411">
        <v>0</v>
      </c>
      <c r="P17" s="411">
        <v>0</v>
      </c>
      <c r="Q17" s="411">
        <v>0</v>
      </c>
      <c r="R17" s="411">
        <v>0</v>
      </c>
      <c r="S17" s="411">
        <v>0</v>
      </c>
      <c r="T17" s="411">
        <v>0</v>
      </c>
      <c r="U17" s="411">
        <v>0</v>
      </c>
      <c r="V17" s="411">
        <v>0</v>
      </c>
      <c r="W17" s="411">
        <v>0</v>
      </c>
      <c r="X17" s="411">
        <v>0</v>
      </c>
      <c r="Y17" s="411">
        <v>0</v>
      </c>
      <c r="Z17" s="411">
        <v>0</v>
      </c>
      <c r="AA17" s="411">
        <v>0</v>
      </c>
      <c r="AB17" s="411">
        <v>0</v>
      </c>
      <c r="AC17" s="411">
        <v>0</v>
      </c>
      <c r="AD17" s="411">
        <v>0</v>
      </c>
      <c r="AE17" s="411">
        <v>0</v>
      </c>
      <c r="AF17" s="411">
        <v>0</v>
      </c>
      <c r="AG17" s="411">
        <v>0</v>
      </c>
      <c r="AH17" s="411">
        <v>0</v>
      </c>
      <c r="AI17" s="411">
        <v>0</v>
      </c>
      <c r="AJ17" s="411">
        <v>0</v>
      </c>
      <c r="AK17" s="411">
        <v>0</v>
      </c>
      <c r="AL17" s="411">
        <v>0</v>
      </c>
      <c r="AM17" s="411">
        <v>0</v>
      </c>
      <c r="AN17" s="175"/>
      <c r="AO17" s="200"/>
      <c r="AP17" s="200"/>
      <c r="AQ17" s="200"/>
      <c r="AR17" s="200"/>
      <c r="AS17" s="200"/>
      <c r="AT17" s="200"/>
      <c r="AU17" s="200"/>
      <c r="AV17" s="200"/>
      <c r="AW17" s="200"/>
      <c r="AX17" s="221"/>
      <c r="AY17" s="221"/>
    </row>
    <row r="18" spans="1:51" ht="15.75" customHeight="1" x14ac:dyDescent="0.3">
      <c r="A18" s="1"/>
      <c r="B18" s="416" t="s">
        <v>5201</v>
      </c>
      <c r="C18" s="417"/>
      <c r="D18" s="417"/>
      <c r="E18" s="417"/>
      <c r="F18" s="417"/>
      <c r="G18" s="417"/>
      <c r="H18" s="418"/>
      <c r="I18" s="482"/>
      <c r="J18" s="419"/>
      <c r="K18" s="420">
        <f t="shared" si="7"/>
        <v>0.23886604863124569</v>
      </c>
      <c r="L18" s="421">
        <f t="shared" si="8"/>
        <v>2057920</v>
      </c>
      <c r="M18" s="184"/>
      <c r="N18" s="200"/>
      <c r="O18" s="411">
        <v>55808</v>
      </c>
      <c r="P18" s="411">
        <v>83712</v>
      </c>
      <c r="Q18" s="411">
        <v>83712</v>
      </c>
      <c r="R18" s="411">
        <v>83712</v>
      </c>
      <c r="S18" s="411">
        <v>83712</v>
      </c>
      <c r="T18" s="411">
        <v>83712</v>
      </c>
      <c r="U18" s="411">
        <v>83712</v>
      </c>
      <c r="V18" s="411">
        <v>83712</v>
      </c>
      <c r="W18" s="411">
        <v>83712</v>
      </c>
      <c r="X18" s="411">
        <v>83712</v>
      </c>
      <c r="Y18" s="411">
        <v>83712</v>
      </c>
      <c r="Z18" s="411">
        <v>83712</v>
      </c>
      <c r="AA18" s="411">
        <v>83712</v>
      </c>
      <c r="AB18" s="411">
        <v>83712</v>
      </c>
      <c r="AC18" s="411">
        <v>83712</v>
      </c>
      <c r="AD18" s="411">
        <v>83712</v>
      </c>
      <c r="AE18" s="411">
        <v>83712</v>
      </c>
      <c r="AF18" s="411">
        <v>83712</v>
      </c>
      <c r="AG18" s="411">
        <v>83712</v>
      </c>
      <c r="AH18" s="411">
        <v>83712</v>
      </c>
      <c r="AI18" s="411">
        <v>83712</v>
      </c>
      <c r="AJ18" s="411">
        <v>83712</v>
      </c>
      <c r="AK18" s="411">
        <v>83712</v>
      </c>
      <c r="AL18" s="411">
        <v>83712</v>
      </c>
      <c r="AM18" s="411">
        <v>76736</v>
      </c>
      <c r="AN18" s="175"/>
      <c r="AO18" s="200"/>
      <c r="AP18" s="200"/>
      <c r="AQ18" s="200"/>
      <c r="AR18" s="200"/>
      <c r="AS18" s="200"/>
      <c r="AT18" s="200"/>
      <c r="AU18" s="200"/>
      <c r="AV18" s="200"/>
      <c r="AW18" s="200"/>
      <c r="AX18" s="221"/>
      <c r="AY18" s="221"/>
    </row>
    <row r="19" spans="1:51" ht="15.75" customHeight="1" x14ac:dyDescent="0.3">
      <c r="A19" s="1"/>
      <c r="B19" s="416" t="s">
        <v>5202</v>
      </c>
      <c r="C19" s="353"/>
      <c r="D19" s="353"/>
      <c r="E19" s="353"/>
      <c r="F19" s="353"/>
      <c r="G19" s="353"/>
      <c r="H19" s="422"/>
      <c r="I19" s="351"/>
      <c r="J19" s="353"/>
      <c r="K19" s="420">
        <f>L19/$L$14</f>
        <v>0.13354036549051865</v>
      </c>
      <c r="L19" s="421">
        <f t="shared" si="8"/>
        <v>1150500</v>
      </c>
      <c r="M19" s="183"/>
      <c r="N19" s="1"/>
      <c r="O19" s="411">
        <v>31200</v>
      </c>
      <c r="P19" s="411">
        <v>46800</v>
      </c>
      <c r="Q19" s="411">
        <v>46800</v>
      </c>
      <c r="R19" s="411">
        <v>46800</v>
      </c>
      <c r="S19" s="411">
        <v>46800</v>
      </c>
      <c r="T19" s="411">
        <v>46800</v>
      </c>
      <c r="U19" s="411">
        <v>46800</v>
      </c>
      <c r="V19" s="411">
        <v>46800</v>
      </c>
      <c r="W19" s="411">
        <v>46800</v>
      </c>
      <c r="X19" s="411">
        <v>46800</v>
      </c>
      <c r="Y19" s="411">
        <v>46800</v>
      </c>
      <c r="Z19" s="411">
        <v>46800</v>
      </c>
      <c r="AA19" s="411">
        <v>46800</v>
      </c>
      <c r="AB19" s="411">
        <v>46800</v>
      </c>
      <c r="AC19" s="411">
        <v>46800</v>
      </c>
      <c r="AD19" s="411">
        <v>46800</v>
      </c>
      <c r="AE19" s="411">
        <v>46800</v>
      </c>
      <c r="AF19" s="411">
        <v>46800</v>
      </c>
      <c r="AG19" s="411">
        <v>46800</v>
      </c>
      <c r="AH19" s="411">
        <v>46800</v>
      </c>
      <c r="AI19" s="411">
        <v>46800</v>
      </c>
      <c r="AJ19" s="411">
        <v>46800</v>
      </c>
      <c r="AK19" s="411">
        <v>46800</v>
      </c>
      <c r="AL19" s="411">
        <v>46800</v>
      </c>
      <c r="AM19" s="411">
        <v>42900</v>
      </c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221"/>
      <c r="AY19" s="221"/>
    </row>
    <row r="20" spans="1:51" ht="15.75" customHeight="1" x14ac:dyDescent="0.3">
      <c r="A20" s="1"/>
      <c r="B20" s="416" t="s">
        <v>5204</v>
      </c>
      <c r="C20" s="353"/>
      <c r="D20" s="353"/>
      <c r="E20" s="353"/>
      <c r="F20" s="353"/>
      <c r="G20" s="353"/>
      <c r="H20" s="422"/>
      <c r="I20" s="351"/>
      <c r="J20" s="353"/>
      <c r="K20" s="420">
        <f>L20/$L$14</f>
        <v>0</v>
      </c>
      <c r="L20" s="421">
        <f t="shared" si="8"/>
        <v>0</v>
      </c>
      <c r="M20" s="1"/>
      <c r="N20" s="1"/>
      <c r="O20" s="426">
        <v>0</v>
      </c>
      <c r="P20" s="426">
        <v>0</v>
      </c>
      <c r="Q20" s="426">
        <v>0</v>
      </c>
      <c r="R20" s="426">
        <v>0</v>
      </c>
      <c r="S20" s="426">
        <v>0</v>
      </c>
      <c r="T20" s="426">
        <v>0</v>
      </c>
      <c r="U20" s="426">
        <v>0</v>
      </c>
      <c r="V20" s="426">
        <v>0</v>
      </c>
      <c r="W20" s="426">
        <v>0</v>
      </c>
      <c r="X20" s="426">
        <v>0</v>
      </c>
      <c r="Y20" s="426">
        <v>0</v>
      </c>
      <c r="Z20" s="426">
        <v>0</v>
      </c>
      <c r="AA20" s="426">
        <v>0</v>
      </c>
      <c r="AB20" s="426">
        <v>0</v>
      </c>
      <c r="AC20" s="426">
        <v>0</v>
      </c>
      <c r="AD20" s="426">
        <v>0</v>
      </c>
      <c r="AE20" s="426">
        <v>0</v>
      </c>
      <c r="AF20" s="426">
        <v>0</v>
      </c>
      <c r="AG20" s="426">
        <v>0</v>
      </c>
      <c r="AH20" s="426">
        <v>0</v>
      </c>
      <c r="AI20" s="426">
        <v>0</v>
      </c>
      <c r="AJ20" s="426">
        <v>0</v>
      </c>
      <c r="AK20" s="426">
        <v>0</v>
      </c>
      <c r="AL20" s="426">
        <v>0</v>
      </c>
      <c r="AM20" s="426">
        <v>0</v>
      </c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221"/>
      <c r="AY20" s="221"/>
    </row>
    <row r="21" spans="1:51" ht="15.75" customHeight="1" x14ac:dyDescent="0.3">
      <c r="A21" s="1"/>
      <c r="B21" s="393" t="s">
        <v>162</v>
      </c>
      <c r="C21" s="183"/>
      <c r="D21" s="183"/>
      <c r="E21" s="183"/>
      <c r="F21" s="183"/>
      <c r="G21" s="183"/>
      <c r="H21" s="183"/>
      <c r="I21" s="183"/>
      <c r="J21" s="183"/>
      <c r="K21" s="423"/>
      <c r="L21" s="395">
        <f t="shared" si="8"/>
        <v>1502305.2477997805</v>
      </c>
      <c r="M21" s="1"/>
      <c r="N21" s="1"/>
      <c r="O21" s="425">
        <f>'Fluxo Rateio'!O12*$G$16</f>
        <v>60092.209911991231</v>
      </c>
      <c r="P21" s="425">
        <f>'Fluxo Rateio'!P12*$G$16</f>
        <v>60092.209911991231</v>
      </c>
      <c r="Q21" s="425">
        <f>'Fluxo Rateio'!Q12*$G$16</f>
        <v>60092.209911991231</v>
      </c>
      <c r="R21" s="425">
        <f>'Fluxo Rateio'!R12*$G$16</f>
        <v>60092.209911991231</v>
      </c>
      <c r="S21" s="425">
        <f>'Fluxo Rateio'!S12*$G$16</f>
        <v>60092.209911991231</v>
      </c>
      <c r="T21" s="425">
        <f>'Fluxo Rateio'!T12*$G$16</f>
        <v>60092.209911991231</v>
      </c>
      <c r="U21" s="425">
        <f>'Fluxo Rateio'!U12*$G$16</f>
        <v>60092.209911991231</v>
      </c>
      <c r="V21" s="425">
        <f>'Fluxo Rateio'!V12*$G$16</f>
        <v>60092.209911991231</v>
      </c>
      <c r="W21" s="425">
        <f>'Fluxo Rateio'!W12*$G$16</f>
        <v>60092.209911991231</v>
      </c>
      <c r="X21" s="425">
        <f>'Fluxo Rateio'!X12*$G$16</f>
        <v>60092.209911991231</v>
      </c>
      <c r="Y21" s="425">
        <f>'Fluxo Rateio'!Y12*$G$16</f>
        <v>60092.209911991231</v>
      </c>
      <c r="Z21" s="425">
        <f>'Fluxo Rateio'!Z12*$G$16</f>
        <v>60092.209911991231</v>
      </c>
      <c r="AA21" s="425">
        <f>'Fluxo Rateio'!AA12*$G$16</f>
        <v>60092.209911991231</v>
      </c>
      <c r="AB21" s="425">
        <f>'Fluxo Rateio'!AB12*$G$16</f>
        <v>60092.209911991231</v>
      </c>
      <c r="AC21" s="425">
        <f>'Fluxo Rateio'!AC12*$G$16</f>
        <v>60092.209911991231</v>
      </c>
      <c r="AD21" s="425">
        <f>'Fluxo Rateio'!AD12*$G$16</f>
        <v>60092.209911991231</v>
      </c>
      <c r="AE21" s="425">
        <f>'Fluxo Rateio'!AE12*$G$16</f>
        <v>60092.209911991231</v>
      </c>
      <c r="AF21" s="425">
        <f>'Fluxo Rateio'!AF12*$G$16</f>
        <v>60092.209911991231</v>
      </c>
      <c r="AG21" s="425">
        <f>'Fluxo Rateio'!AG12*$G$16</f>
        <v>60092.209911991231</v>
      </c>
      <c r="AH21" s="425">
        <f>'Fluxo Rateio'!AH12*$G$16</f>
        <v>60092.209911991231</v>
      </c>
      <c r="AI21" s="425">
        <f>'Fluxo Rateio'!AI12*$G$16</f>
        <v>60092.209911991231</v>
      </c>
      <c r="AJ21" s="425">
        <f>'Fluxo Rateio'!AJ12*$G$16</f>
        <v>60092.209911991231</v>
      </c>
      <c r="AK21" s="425">
        <f>'Fluxo Rateio'!AK12*$G$16</f>
        <v>60092.209911991231</v>
      </c>
      <c r="AL21" s="425">
        <f>'Fluxo Rateio'!AL12*$G$16</f>
        <v>60092.209911991231</v>
      </c>
      <c r="AM21" s="425">
        <f>'Fluxo Rateio'!AM12*$G$16</f>
        <v>60092.209911991231</v>
      </c>
      <c r="AN21" s="5"/>
      <c r="AO21" s="24"/>
      <c r="AP21" s="24"/>
      <c r="AQ21" s="24"/>
      <c r="AR21" s="24"/>
      <c r="AS21" s="24"/>
      <c r="AT21" s="24"/>
      <c r="AU21" s="24"/>
      <c r="AV21" s="24"/>
      <c r="AW21" s="1"/>
      <c r="AX21" s="221"/>
      <c r="AY21" s="221"/>
    </row>
    <row r="22" spans="1:51" ht="15.75" customHeight="1" x14ac:dyDescent="0.3">
      <c r="A22" s="1"/>
      <c r="B22" s="608" t="s">
        <v>5359</v>
      </c>
      <c r="C22" s="608"/>
      <c r="D22" s="608"/>
      <c r="E22" s="608"/>
      <c r="F22" s="608"/>
      <c r="G22" s="609">
        <v>3.5000000000000003E-2</v>
      </c>
      <c r="H22" s="608" t="s">
        <v>5364</v>
      </c>
      <c r="I22" s="608"/>
      <c r="J22" s="608"/>
      <c r="K22" s="610"/>
      <c r="L22" s="611">
        <f t="shared" si="8"/>
        <v>1412720.994397488</v>
      </c>
      <c r="M22" s="1"/>
      <c r="N22" s="1"/>
      <c r="O22" s="612">
        <f>O75*$G$22</f>
        <v>19352.342389006659</v>
      </c>
      <c r="P22" s="619">
        <f t="shared" ref="P22:AM22" si="9">P75*$G$22</f>
        <v>58057.027167020031</v>
      </c>
      <c r="Q22" s="612">
        <f t="shared" si="9"/>
        <v>58057.027167020031</v>
      </c>
      <c r="R22" s="612">
        <f t="shared" si="9"/>
        <v>58057.027167020031</v>
      </c>
      <c r="S22" s="612">
        <f t="shared" si="9"/>
        <v>58057.027167020031</v>
      </c>
      <c r="T22" s="612">
        <f t="shared" si="9"/>
        <v>58057.027167020031</v>
      </c>
      <c r="U22" s="612">
        <f t="shared" si="9"/>
        <v>58057.027167020031</v>
      </c>
      <c r="V22" s="612">
        <f t="shared" si="9"/>
        <v>58057.027167020031</v>
      </c>
      <c r="W22" s="612">
        <f t="shared" si="9"/>
        <v>58057.027167020031</v>
      </c>
      <c r="X22" s="612">
        <f t="shared" si="9"/>
        <v>58057.027167020031</v>
      </c>
      <c r="Y22" s="612">
        <f t="shared" si="9"/>
        <v>58057.027167020031</v>
      </c>
      <c r="Z22" s="612">
        <f t="shared" si="9"/>
        <v>58057.027167020031</v>
      </c>
      <c r="AA22" s="612">
        <f t="shared" si="9"/>
        <v>58057.027167020031</v>
      </c>
      <c r="AB22" s="612">
        <f t="shared" si="9"/>
        <v>58057.027167020031</v>
      </c>
      <c r="AC22" s="612">
        <f t="shared" si="9"/>
        <v>58057.027167020031</v>
      </c>
      <c r="AD22" s="612">
        <f t="shared" si="9"/>
        <v>58057.027167020031</v>
      </c>
      <c r="AE22" s="612">
        <f t="shared" si="9"/>
        <v>58057.027167020031</v>
      </c>
      <c r="AF22" s="612">
        <f t="shared" si="9"/>
        <v>58057.027167020031</v>
      </c>
      <c r="AG22" s="612">
        <f t="shared" si="9"/>
        <v>58057.027167020031</v>
      </c>
      <c r="AH22" s="612">
        <f t="shared" si="9"/>
        <v>58057.027167020031</v>
      </c>
      <c r="AI22" s="612">
        <f t="shared" si="9"/>
        <v>58057.027167020031</v>
      </c>
      <c r="AJ22" s="612">
        <f t="shared" si="9"/>
        <v>58057.027167020031</v>
      </c>
      <c r="AK22" s="612">
        <f t="shared" si="9"/>
        <v>58057.027167020031</v>
      </c>
      <c r="AL22" s="612">
        <f t="shared" si="9"/>
        <v>58057.027167020031</v>
      </c>
      <c r="AM22" s="612">
        <f t="shared" si="9"/>
        <v>58057.027167020031</v>
      </c>
      <c r="AN22" s="175"/>
      <c r="AO22" s="598"/>
      <c r="AP22" s="598"/>
      <c r="AQ22" s="598"/>
      <c r="AR22" s="598"/>
      <c r="AS22" s="598"/>
      <c r="AT22" s="598"/>
      <c r="AU22" s="598"/>
      <c r="AV22" s="598"/>
      <c r="AW22" s="1"/>
      <c r="AX22" s="221"/>
      <c r="AY22" s="221"/>
    </row>
    <row r="23" spans="1:51" ht="15.75" customHeight="1" x14ac:dyDescent="0.3">
      <c r="A23" s="1"/>
      <c r="B23" s="599" t="s">
        <v>5362</v>
      </c>
      <c r="C23" s="599"/>
      <c r="D23" s="599"/>
      <c r="E23" s="599"/>
      <c r="F23" s="599"/>
      <c r="G23" s="609" t="s">
        <v>5363</v>
      </c>
      <c r="H23" s="599"/>
      <c r="I23" s="599"/>
      <c r="J23" s="599"/>
      <c r="K23" s="600"/>
      <c r="L23" s="601">
        <f t="shared" si="8"/>
        <v>300461.04955995618</v>
      </c>
      <c r="M23" s="1"/>
      <c r="N23" s="1"/>
      <c r="O23" s="604">
        <f>$G$16*'Fluxo Rateio'!O13</f>
        <v>12018.441982398246</v>
      </c>
      <c r="P23" s="604">
        <f>$G$16*'Fluxo Rateio'!P13</f>
        <v>12018.441982398246</v>
      </c>
      <c r="Q23" s="604">
        <f>$G$16*'Fluxo Rateio'!Q13</f>
        <v>12018.441982398246</v>
      </c>
      <c r="R23" s="604">
        <f>$G$16*'Fluxo Rateio'!R13</f>
        <v>12018.441982398246</v>
      </c>
      <c r="S23" s="604">
        <f>$G$16*'Fluxo Rateio'!S13</f>
        <v>12018.441982398246</v>
      </c>
      <c r="T23" s="604">
        <f>$G$16*'Fluxo Rateio'!T13</f>
        <v>12018.441982398246</v>
      </c>
      <c r="U23" s="604">
        <f>$G$16*'Fluxo Rateio'!U13</f>
        <v>12018.441982398246</v>
      </c>
      <c r="V23" s="604">
        <f>$G$16*'Fluxo Rateio'!V13</f>
        <v>12018.441982398246</v>
      </c>
      <c r="W23" s="604">
        <f>$G$16*'Fluxo Rateio'!W13</f>
        <v>12018.441982398246</v>
      </c>
      <c r="X23" s="604">
        <f>$G$16*'Fluxo Rateio'!X13</f>
        <v>12018.441982398246</v>
      </c>
      <c r="Y23" s="604">
        <f>$G$16*'Fluxo Rateio'!Y13</f>
        <v>12018.441982398246</v>
      </c>
      <c r="Z23" s="604">
        <f>$G$16*'Fluxo Rateio'!Z13</f>
        <v>12018.441982398246</v>
      </c>
      <c r="AA23" s="604">
        <f>$G$16*'Fluxo Rateio'!AA13</f>
        <v>12018.441982398246</v>
      </c>
      <c r="AB23" s="604">
        <f>$G$16*'Fluxo Rateio'!AB13</f>
        <v>12018.441982398246</v>
      </c>
      <c r="AC23" s="604">
        <f>$G$16*'Fluxo Rateio'!AC13</f>
        <v>12018.441982398246</v>
      </c>
      <c r="AD23" s="604">
        <f>$G$16*'Fluxo Rateio'!AD13</f>
        <v>12018.441982398246</v>
      </c>
      <c r="AE23" s="604">
        <f>$G$16*'Fluxo Rateio'!AE13</f>
        <v>12018.441982398246</v>
      </c>
      <c r="AF23" s="604">
        <f>$G$16*'Fluxo Rateio'!AF13</f>
        <v>12018.441982398246</v>
      </c>
      <c r="AG23" s="604">
        <f>$G$16*'Fluxo Rateio'!AG13</f>
        <v>12018.441982398246</v>
      </c>
      <c r="AH23" s="604">
        <f>$G$16*'Fluxo Rateio'!AH13</f>
        <v>12018.441982398246</v>
      </c>
      <c r="AI23" s="604">
        <f>$G$16*'Fluxo Rateio'!AI13</f>
        <v>12018.441982398246</v>
      </c>
      <c r="AJ23" s="604">
        <f>$G$16*'Fluxo Rateio'!AJ13</f>
        <v>12018.441982398246</v>
      </c>
      <c r="AK23" s="604">
        <f>$G$16*'Fluxo Rateio'!AK13</f>
        <v>12018.441982398246</v>
      </c>
      <c r="AL23" s="604">
        <f>$G$16*'Fluxo Rateio'!AL13</f>
        <v>12018.441982398246</v>
      </c>
      <c r="AM23" s="604">
        <f>$G$16*'Fluxo Rateio'!AM13</f>
        <v>12018.441982398246</v>
      </c>
      <c r="AN23" s="175"/>
      <c r="AO23" s="598"/>
      <c r="AP23" s="598"/>
      <c r="AQ23" s="598"/>
      <c r="AR23" s="598"/>
      <c r="AS23" s="598"/>
      <c r="AT23" s="598"/>
      <c r="AU23" s="598"/>
      <c r="AV23" s="598"/>
      <c r="AW23" s="1"/>
      <c r="AX23" s="221"/>
      <c r="AY23" s="221"/>
    </row>
    <row r="24" spans="1:51" ht="15.75" customHeight="1" x14ac:dyDescent="0.3">
      <c r="A24" s="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6"/>
      <c r="M24" s="1"/>
      <c r="N24" s="1"/>
      <c r="O24" s="26"/>
      <c r="P24" s="169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5"/>
      <c r="AO24" s="26"/>
      <c r="AP24" s="26"/>
      <c r="AQ24" s="26"/>
      <c r="AR24" s="26"/>
      <c r="AS24" s="26"/>
      <c r="AT24" s="26"/>
      <c r="AU24" s="26"/>
      <c r="AV24" s="26"/>
      <c r="AW24" s="1"/>
      <c r="AX24" s="221"/>
      <c r="AY24" s="221"/>
    </row>
    <row r="25" spans="1:51" ht="15.75" hidden="1" customHeight="1" x14ac:dyDescent="0.3">
      <c r="A25" s="1"/>
      <c r="B25" s="27" t="s">
        <v>9</v>
      </c>
      <c r="C25" s="22"/>
      <c r="D25" s="22"/>
      <c r="E25" s="22"/>
      <c r="F25" s="22"/>
      <c r="G25" s="22"/>
      <c r="H25" s="22"/>
      <c r="I25" s="22"/>
      <c r="J25" s="22"/>
      <c r="K25" s="22"/>
      <c r="L25" s="28">
        <f>SUM(O25:AV25)</f>
        <v>0</v>
      </c>
      <c r="M25" s="1"/>
      <c r="N25" s="1"/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5"/>
      <c r="AO25" s="24"/>
      <c r="AP25" s="24"/>
      <c r="AQ25" s="24"/>
      <c r="AR25" s="24"/>
      <c r="AS25" s="24"/>
      <c r="AT25" s="24"/>
      <c r="AU25" s="24"/>
      <c r="AV25" s="24"/>
      <c r="AW25" s="1"/>
      <c r="AX25" s="221"/>
      <c r="AY25" s="221"/>
    </row>
    <row r="26" spans="1:51" ht="15.75" customHeight="1" x14ac:dyDescent="0.3">
      <c r="A26" s="1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1"/>
      <c r="N26" s="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5"/>
      <c r="AO26" s="25"/>
      <c r="AP26" s="25"/>
      <c r="AQ26" s="25"/>
      <c r="AR26" s="25"/>
      <c r="AS26" s="25"/>
      <c r="AT26" s="25"/>
      <c r="AU26" s="25"/>
      <c r="AV26" s="25"/>
      <c r="AW26" s="1"/>
      <c r="AX26" s="221"/>
      <c r="AY26" s="221"/>
    </row>
    <row r="27" spans="1:51" ht="15.75" customHeight="1" x14ac:dyDescent="0.3">
      <c r="A27" s="1"/>
      <c r="B27" s="9" t="s">
        <v>10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"/>
      <c r="N27" s="1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5"/>
      <c r="AO27" s="10"/>
      <c r="AP27" s="10"/>
      <c r="AQ27" s="10"/>
      <c r="AR27" s="10"/>
      <c r="AS27" s="10"/>
      <c r="AT27" s="10"/>
      <c r="AU27" s="10"/>
      <c r="AV27" s="10"/>
      <c r="AW27" s="1"/>
      <c r="AX27" s="221"/>
      <c r="AY27" s="221"/>
    </row>
    <row r="28" spans="1:51" ht="15.75" customHeight="1" x14ac:dyDescent="0.3">
      <c r="A28" s="1"/>
      <c r="B28" s="1"/>
      <c r="C28" s="1"/>
      <c r="D28" s="1"/>
      <c r="E28" s="1"/>
      <c r="F28" s="1"/>
      <c r="G28" s="1"/>
      <c r="H28" s="171"/>
      <c r="I28" s="1"/>
      <c r="J28" s="189"/>
      <c r="K28" s="1"/>
      <c r="L28" s="172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  <c r="AO28" s="1"/>
      <c r="AP28" s="1"/>
      <c r="AQ28" s="1"/>
      <c r="AR28" s="1"/>
      <c r="AS28" s="1"/>
      <c r="AT28" s="1"/>
      <c r="AU28" s="1"/>
      <c r="AV28" s="1"/>
      <c r="AW28" s="1"/>
      <c r="AX28" s="221"/>
      <c r="AY28" s="221"/>
    </row>
    <row r="29" spans="1:51" ht="15.75" customHeight="1" x14ac:dyDescent="0.3">
      <c r="A29" s="1"/>
      <c r="B29" s="12" t="s">
        <v>5214</v>
      </c>
      <c r="C29" s="12"/>
      <c r="D29" s="12"/>
      <c r="E29" s="12"/>
      <c r="F29" s="12"/>
      <c r="G29" s="12"/>
      <c r="H29" s="12"/>
      <c r="I29" s="12"/>
      <c r="J29" s="12"/>
      <c r="K29" s="12"/>
      <c r="L29" s="300">
        <f>(SUM(O29:AM29))*(1+$C$325/100)</f>
        <v>10156757.279632637</v>
      </c>
      <c r="M29" s="1"/>
      <c r="N29" s="1"/>
      <c r="O29" s="300">
        <f t="shared" ref="O29:AM29" si="10">(O30+O31)*(1+$C$325/100)</f>
        <v>3234409.7126270812</v>
      </c>
      <c r="P29" s="300">
        <f t="shared" si="10"/>
        <v>0</v>
      </c>
      <c r="Q29" s="300">
        <f t="shared" si="10"/>
        <v>0</v>
      </c>
      <c r="R29" s="300">
        <f t="shared" si="10"/>
        <v>0</v>
      </c>
      <c r="S29" s="300">
        <f t="shared" si="10"/>
        <v>1386007.0796227944</v>
      </c>
      <c r="T29" s="300">
        <f t="shared" si="10"/>
        <v>0</v>
      </c>
      <c r="U29" s="300">
        <f t="shared" si="10"/>
        <v>0</v>
      </c>
      <c r="V29" s="300">
        <f t="shared" si="10"/>
        <v>134000.83875461042</v>
      </c>
      <c r="W29" s="300">
        <f t="shared" si="10"/>
        <v>207459.76012507069</v>
      </c>
      <c r="X29" s="300">
        <f t="shared" si="10"/>
        <v>0</v>
      </c>
      <c r="Y29" s="300">
        <f t="shared" si="10"/>
        <v>1375845.8474799362</v>
      </c>
      <c r="Z29" s="300">
        <f t="shared" si="10"/>
        <v>0</v>
      </c>
      <c r="AA29" s="300">
        <f t="shared" si="10"/>
        <v>571850.17179164919</v>
      </c>
      <c r="AB29" s="300">
        <f t="shared" si="10"/>
        <v>0</v>
      </c>
      <c r="AC29" s="300">
        <f t="shared" si="10"/>
        <v>0</v>
      </c>
      <c r="AD29" s="300">
        <f t="shared" si="10"/>
        <v>1509700.8224103535</v>
      </c>
      <c r="AE29" s="300">
        <f t="shared" si="10"/>
        <v>41230.898318665204</v>
      </c>
      <c r="AF29" s="300">
        <f t="shared" si="10"/>
        <v>166374.72563059852</v>
      </c>
      <c r="AG29" s="300">
        <f t="shared" si="10"/>
        <v>0</v>
      </c>
      <c r="AH29" s="300">
        <f t="shared" si="10"/>
        <v>0</v>
      </c>
      <c r="AI29" s="300">
        <f t="shared" si="10"/>
        <v>1385861.2157986015</v>
      </c>
      <c r="AJ29" s="300">
        <f t="shared" si="10"/>
        <v>0</v>
      </c>
      <c r="AK29" s="300">
        <f t="shared" si="10"/>
        <v>134000.83875461042</v>
      </c>
      <c r="AL29" s="300">
        <f t="shared" si="10"/>
        <v>0</v>
      </c>
      <c r="AM29" s="300">
        <f t="shared" si="10"/>
        <v>10015.368318665205</v>
      </c>
      <c r="AN29" s="5"/>
      <c r="AO29" s="13"/>
      <c r="AP29" s="13"/>
      <c r="AQ29" s="13"/>
      <c r="AR29" s="13"/>
      <c r="AS29" s="13"/>
      <c r="AT29" s="13"/>
      <c r="AU29" s="13"/>
      <c r="AV29" s="13"/>
      <c r="AW29" s="1"/>
      <c r="AX29" s="221"/>
      <c r="AY29" s="221"/>
    </row>
    <row r="30" spans="1:51" ht="15.75" customHeight="1" x14ac:dyDescent="0.3">
      <c r="A30" s="1"/>
      <c r="B30" s="12" t="s">
        <v>5217</v>
      </c>
      <c r="C30" s="413"/>
      <c r="D30" s="413"/>
      <c r="E30" s="413"/>
      <c r="F30" s="413"/>
      <c r="G30" s="413"/>
      <c r="H30" s="413"/>
      <c r="I30" s="413"/>
      <c r="J30" s="413"/>
      <c r="K30" s="413"/>
      <c r="L30" s="300">
        <f>(SUM(O30:AM30))</f>
        <v>4431479.2097140066</v>
      </c>
      <c r="M30" s="1"/>
      <c r="N30" s="1"/>
      <c r="O30" s="414">
        <f>O32</f>
        <v>1670451.7023591378</v>
      </c>
      <c r="P30" s="414">
        <f t="shared" ref="P30:AM30" si="11">P32</f>
        <v>0</v>
      </c>
      <c r="Q30" s="414">
        <f t="shared" si="11"/>
        <v>0</v>
      </c>
      <c r="R30" s="414">
        <f t="shared" si="11"/>
        <v>0</v>
      </c>
      <c r="S30" s="414">
        <f t="shared" si="11"/>
        <v>577585.53294117644</v>
      </c>
      <c r="T30" s="414">
        <f t="shared" si="11"/>
        <v>0</v>
      </c>
      <c r="U30" s="414">
        <f t="shared" si="11"/>
        <v>0</v>
      </c>
      <c r="V30" s="414">
        <f t="shared" si="11"/>
        <v>0</v>
      </c>
      <c r="W30" s="414">
        <f t="shared" si="11"/>
        <v>31215.53</v>
      </c>
      <c r="X30" s="414">
        <f t="shared" si="11"/>
        <v>0</v>
      </c>
      <c r="Y30" s="414">
        <f t="shared" si="11"/>
        <v>577585.53294117644</v>
      </c>
      <c r="Z30" s="414">
        <f t="shared" si="11"/>
        <v>0</v>
      </c>
      <c r="AA30" s="414">
        <f t="shared" si="11"/>
        <v>388254.31559016387</v>
      </c>
      <c r="AB30" s="414">
        <f t="shared" si="11"/>
        <v>0</v>
      </c>
      <c r="AC30" s="414">
        <f t="shared" si="11"/>
        <v>0</v>
      </c>
      <c r="AD30" s="414">
        <f t="shared" si="11"/>
        <v>577585.53294117644</v>
      </c>
      <c r="AE30" s="414">
        <f t="shared" si="11"/>
        <v>31215.53</v>
      </c>
      <c r="AF30" s="414">
        <f t="shared" si="11"/>
        <v>0</v>
      </c>
      <c r="AG30" s="414">
        <f t="shared" si="11"/>
        <v>0</v>
      </c>
      <c r="AH30" s="414">
        <f t="shared" si="11"/>
        <v>0</v>
      </c>
      <c r="AI30" s="414">
        <f t="shared" si="11"/>
        <v>577585.53294117644</v>
      </c>
      <c r="AJ30" s="414">
        <f t="shared" si="11"/>
        <v>0</v>
      </c>
      <c r="AK30" s="414">
        <f t="shared" si="11"/>
        <v>0</v>
      </c>
      <c r="AL30" s="414">
        <f t="shared" si="11"/>
        <v>0</v>
      </c>
      <c r="AM30" s="414">
        <f t="shared" si="11"/>
        <v>0</v>
      </c>
      <c r="AN30" s="175"/>
      <c r="AO30" s="415"/>
      <c r="AP30" s="415"/>
      <c r="AQ30" s="415"/>
      <c r="AR30" s="415"/>
      <c r="AS30" s="415"/>
      <c r="AT30" s="415"/>
      <c r="AU30" s="415"/>
      <c r="AV30" s="415"/>
      <c r="AW30" s="1"/>
      <c r="AX30" s="221"/>
      <c r="AY30" s="221"/>
    </row>
    <row r="31" spans="1:51" ht="15.75" customHeight="1" x14ac:dyDescent="0.3">
      <c r="A31" s="1"/>
      <c r="B31" s="12" t="s">
        <v>5218</v>
      </c>
      <c r="C31" s="413"/>
      <c r="D31" s="413"/>
      <c r="E31" s="413"/>
      <c r="F31" s="413"/>
      <c r="G31" s="413"/>
      <c r="H31" s="413"/>
      <c r="I31" s="413"/>
      <c r="J31" s="413"/>
      <c r="K31" s="413"/>
      <c r="L31" s="300">
        <f>(SUM(O31:AM31))</f>
        <v>5725278.0699186269</v>
      </c>
      <c r="M31" s="1"/>
      <c r="N31" s="1"/>
      <c r="O31" s="414">
        <f>'Fluxo Rateio'!O15*$G$34</f>
        <v>1563958.0102679431</v>
      </c>
      <c r="P31" s="414">
        <f>'Fluxo Rateio'!P15*$G$34</f>
        <v>0</v>
      </c>
      <c r="Q31" s="414">
        <f>'Fluxo Rateio'!Q15*$G$34</f>
        <v>0</v>
      </c>
      <c r="R31" s="414">
        <f>'Fluxo Rateio'!R15*$G$34</f>
        <v>0</v>
      </c>
      <c r="S31" s="414">
        <f>'Fluxo Rateio'!S15*$G$34</f>
        <v>808421.54668161809</v>
      </c>
      <c r="T31" s="414">
        <f>'Fluxo Rateio'!T15*$G$34</f>
        <v>0</v>
      </c>
      <c r="U31" s="414">
        <f>'Fluxo Rateio'!U15*$G$34</f>
        <v>0</v>
      </c>
      <c r="V31" s="414">
        <f>'Fluxo Rateio'!V15*$G$34</f>
        <v>134000.83875461042</v>
      </c>
      <c r="W31" s="414">
        <f>'Fluxo Rateio'!W15*$G$34</f>
        <v>176244.2301250707</v>
      </c>
      <c r="X31" s="414">
        <f>'Fluxo Rateio'!X15*$G$34</f>
        <v>0</v>
      </c>
      <c r="Y31" s="414">
        <f>'Fluxo Rateio'!Y15*$G$34</f>
        <v>798260.31453875976</v>
      </c>
      <c r="Z31" s="414">
        <f>'Fluxo Rateio'!Z15*$G$34</f>
        <v>0</v>
      </c>
      <c r="AA31" s="414">
        <f>'Fluxo Rateio'!AA15*$G$34</f>
        <v>183595.85620148532</v>
      </c>
      <c r="AB31" s="414">
        <f>'Fluxo Rateio'!AB15*$G$34</f>
        <v>0</v>
      </c>
      <c r="AC31" s="414">
        <f>'Fluxo Rateio'!AC15*$G$34</f>
        <v>0</v>
      </c>
      <c r="AD31" s="414">
        <f>'Fluxo Rateio'!AD15*$G$34</f>
        <v>932115.2894691769</v>
      </c>
      <c r="AE31" s="414">
        <f>'Fluxo Rateio'!AE15*$G$34</f>
        <v>10015.368318665205</v>
      </c>
      <c r="AF31" s="414">
        <f>'Fluxo Rateio'!AF15*$G$34</f>
        <v>166374.72563059852</v>
      </c>
      <c r="AG31" s="414">
        <f>'Fluxo Rateio'!AG15*$G$34</f>
        <v>0</v>
      </c>
      <c r="AH31" s="414">
        <f>'Fluxo Rateio'!AH15*$G$34</f>
        <v>0</v>
      </c>
      <c r="AI31" s="414">
        <f>'Fluxo Rateio'!AI15*$G$34</f>
        <v>808275.68285742495</v>
      </c>
      <c r="AJ31" s="414">
        <f>'Fluxo Rateio'!AJ15*$G$34</f>
        <v>0</v>
      </c>
      <c r="AK31" s="414">
        <f>'Fluxo Rateio'!AK15*$G$34</f>
        <v>134000.83875461042</v>
      </c>
      <c r="AL31" s="414">
        <f>'Fluxo Rateio'!AL15*$G$34</f>
        <v>0</v>
      </c>
      <c r="AM31" s="414">
        <f>'Fluxo Rateio'!AM15*$G$34</f>
        <v>10015.368318665205</v>
      </c>
      <c r="AN31" s="175"/>
      <c r="AO31" s="415"/>
      <c r="AP31" s="415"/>
      <c r="AQ31" s="415"/>
      <c r="AR31" s="415"/>
      <c r="AS31" s="415"/>
      <c r="AT31" s="415"/>
      <c r="AU31" s="415"/>
      <c r="AV31" s="415"/>
      <c r="AW31" s="1"/>
      <c r="AX31" s="221"/>
      <c r="AY31" s="221"/>
    </row>
    <row r="32" spans="1:51" ht="15.75" customHeight="1" x14ac:dyDescent="0.3">
      <c r="A32" s="1"/>
      <c r="B32" s="29" t="s">
        <v>5220</v>
      </c>
      <c r="C32" s="29"/>
      <c r="D32" s="29"/>
      <c r="E32" s="29"/>
      <c r="F32" s="29"/>
      <c r="G32" s="29"/>
      <c r="H32" s="29"/>
      <c r="I32" s="29"/>
      <c r="J32" s="29"/>
      <c r="K32" s="30" t="s">
        <v>13</v>
      </c>
      <c r="L32" s="485">
        <f>(L34+L35+L38+L36+L37+L39)*(1+$C$325/100)</f>
        <v>4431479.2097140076</v>
      </c>
      <c r="M32" s="1"/>
      <c r="N32" s="1"/>
      <c r="O32" s="92">
        <f t="shared" ref="O32:AM32" si="12">(O34+O35+O38+O36+O37+O39)*(1+$C$325/100)</f>
        <v>1670451.7023591378</v>
      </c>
      <c r="P32" s="92">
        <f t="shared" si="12"/>
        <v>0</v>
      </c>
      <c r="Q32" s="92">
        <f t="shared" si="12"/>
        <v>0</v>
      </c>
      <c r="R32" s="92">
        <f t="shared" si="12"/>
        <v>0</v>
      </c>
      <c r="S32" s="92">
        <f t="shared" si="12"/>
        <v>577585.53294117644</v>
      </c>
      <c r="T32" s="92">
        <f t="shared" si="12"/>
        <v>0</v>
      </c>
      <c r="U32" s="92">
        <f t="shared" si="12"/>
        <v>0</v>
      </c>
      <c r="V32" s="92">
        <f t="shared" si="12"/>
        <v>0</v>
      </c>
      <c r="W32" s="92">
        <f t="shared" si="12"/>
        <v>31215.53</v>
      </c>
      <c r="X32" s="92">
        <f t="shared" si="12"/>
        <v>0</v>
      </c>
      <c r="Y32" s="92">
        <f t="shared" si="12"/>
        <v>577585.53294117644</v>
      </c>
      <c r="Z32" s="92">
        <f t="shared" si="12"/>
        <v>0</v>
      </c>
      <c r="AA32" s="92">
        <f t="shared" si="12"/>
        <v>388254.31559016387</v>
      </c>
      <c r="AB32" s="92">
        <f t="shared" si="12"/>
        <v>0</v>
      </c>
      <c r="AC32" s="92">
        <f t="shared" si="12"/>
        <v>0</v>
      </c>
      <c r="AD32" s="92">
        <f t="shared" si="12"/>
        <v>577585.53294117644</v>
      </c>
      <c r="AE32" s="92">
        <f t="shared" si="12"/>
        <v>31215.53</v>
      </c>
      <c r="AF32" s="92">
        <f t="shared" si="12"/>
        <v>0</v>
      </c>
      <c r="AG32" s="92">
        <f t="shared" si="12"/>
        <v>0</v>
      </c>
      <c r="AH32" s="92">
        <f t="shared" si="12"/>
        <v>0</v>
      </c>
      <c r="AI32" s="92">
        <f t="shared" si="12"/>
        <v>577585.53294117644</v>
      </c>
      <c r="AJ32" s="92">
        <f t="shared" si="12"/>
        <v>0</v>
      </c>
      <c r="AK32" s="92">
        <f t="shared" si="12"/>
        <v>0</v>
      </c>
      <c r="AL32" s="92">
        <f t="shared" si="12"/>
        <v>0</v>
      </c>
      <c r="AM32" s="92">
        <f t="shared" si="12"/>
        <v>0</v>
      </c>
      <c r="AN32" s="5"/>
      <c r="AO32" s="31"/>
      <c r="AP32" s="31"/>
      <c r="AQ32" s="31"/>
      <c r="AR32" s="31"/>
      <c r="AS32" s="31"/>
      <c r="AT32" s="31"/>
      <c r="AU32" s="31"/>
      <c r="AV32" s="31"/>
      <c r="AW32" s="1"/>
      <c r="AX32" s="221"/>
      <c r="AY32" s="221"/>
    </row>
    <row r="33" spans="1:51" ht="15.75" customHeight="1" x14ac:dyDescent="0.3">
      <c r="A33" s="1"/>
      <c r="B33" s="388"/>
      <c r="C33" s="388"/>
      <c r="D33" s="388"/>
      <c r="E33" s="388"/>
      <c r="F33" s="388"/>
      <c r="G33" s="389"/>
      <c r="H33" s="390"/>
      <c r="I33" s="391"/>
      <c r="J33" s="388"/>
      <c r="K33" s="392"/>
      <c r="L33" s="196"/>
      <c r="M33" s="35"/>
      <c r="N33" s="35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5"/>
      <c r="AO33" s="37"/>
      <c r="AP33" s="37"/>
      <c r="AQ33" s="37"/>
      <c r="AR33" s="37"/>
      <c r="AS33" s="37"/>
      <c r="AT33" s="37"/>
      <c r="AU33" s="37"/>
      <c r="AV33" s="37"/>
      <c r="AW33" s="1"/>
      <c r="AX33" s="221"/>
      <c r="AY33" s="221"/>
    </row>
    <row r="34" spans="1:51" ht="15.75" customHeight="1" x14ac:dyDescent="0.3">
      <c r="A34" s="1"/>
      <c r="B34" s="352" t="s">
        <v>5198</v>
      </c>
      <c r="C34" s="352"/>
      <c r="D34" s="352"/>
      <c r="E34" s="352"/>
      <c r="F34" s="352" t="s">
        <v>5213</v>
      </c>
      <c r="G34" s="394">
        <f>'Fluxo Rateio'!$F$35</f>
        <v>0.2003073663733041</v>
      </c>
      <c r="H34" s="350"/>
      <c r="I34" s="401"/>
      <c r="J34" s="401"/>
      <c r="K34" s="402">
        <f>L34/$L$32</f>
        <v>0.16982999430335741</v>
      </c>
      <c r="L34" s="403">
        <f>SUM(O34:AM34)</f>
        <v>752598.08894117665</v>
      </c>
      <c r="M34" s="165"/>
      <c r="N34" s="165"/>
      <c r="O34" s="410">
        <v>752598.08894117665</v>
      </c>
      <c r="P34" s="410">
        <v>0</v>
      </c>
      <c r="Q34" s="410">
        <v>0</v>
      </c>
      <c r="R34" s="410">
        <v>0</v>
      </c>
      <c r="S34" s="410">
        <v>0</v>
      </c>
      <c r="T34" s="410">
        <v>0</v>
      </c>
      <c r="U34" s="410">
        <v>0</v>
      </c>
      <c r="V34" s="410">
        <v>0</v>
      </c>
      <c r="W34" s="410">
        <v>0</v>
      </c>
      <c r="X34" s="410">
        <v>0</v>
      </c>
      <c r="Y34" s="410">
        <v>0</v>
      </c>
      <c r="Z34" s="410">
        <v>0</v>
      </c>
      <c r="AA34" s="410">
        <v>0</v>
      </c>
      <c r="AB34" s="410">
        <v>0</v>
      </c>
      <c r="AC34" s="410">
        <v>0</v>
      </c>
      <c r="AD34" s="410">
        <v>0</v>
      </c>
      <c r="AE34" s="410">
        <v>0</v>
      </c>
      <c r="AF34" s="410">
        <v>0</v>
      </c>
      <c r="AG34" s="410">
        <v>0</v>
      </c>
      <c r="AH34" s="410">
        <v>0</v>
      </c>
      <c r="AI34" s="410">
        <v>0</v>
      </c>
      <c r="AJ34" s="410">
        <v>0</v>
      </c>
      <c r="AK34" s="410">
        <v>0</v>
      </c>
      <c r="AL34" s="410">
        <v>0</v>
      </c>
      <c r="AM34" s="410">
        <v>0</v>
      </c>
      <c r="AN34" s="5"/>
      <c r="AO34" s="18"/>
      <c r="AP34" s="18"/>
      <c r="AQ34" s="18"/>
      <c r="AR34" s="18"/>
      <c r="AS34" s="18"/>
      <c r="AT34" s="18"/>
      <c r="AU34" s="18"/>
      <c r="AV34" s="18"/>
      <c r="AW34" s="1"/>
      <c r="AY34" s="221"/>
    </row>
    <row r="35" spans="1:51" ht="15.75" customHeight="1" x14ac:dyDescent="0.3">
      <c r="A35" s="1"/>
      <c r="B35" s="353" t="s">
        <v>167</v>
      </c>
      <c r="C35" s="353"/>
      <c r="D35" s="353"/>
      <c r="E35" s="353"/>
      <c r="F35" s="353"/>
      <c r="G35" s="353"/>
      <c r="H35" s="358"/>
      <c r="I35" s="358"/>
      <c r="J35" s="353"/>
      <c r="K35" s="404">
        <f>L35/$L$32</f>
        <v>8.8095721792940285E-2</v>
      </c>
      <c r="L35" s="405">
        <f>SUM(O35:AM35)</f>
        <v>390394.35959016409</v>
      </c>
      <c r="M35" s="1"/>
      <c r="N35" s="1"/>
      <c r="O35" s="411">
        <v>390394.35959016409</v>
      </c>
      <c r="P35" s="411">
        <v>0</v>
      </c>
      <c r="Q35" s="411">
        <v>0</v>
      </c>
      <c r="R35" s="411">
        <v>0</v>
      </c>
      <c r="S35" s="411">
        <v>0</v>
      </c>
      <c r="T35" s="411">
        <v>0</v>
      </c>
      <c r="U35" s="411">
        <v>0</v>
      </c>
      <c r="V35" s="411">
        <v>0</v>
      </c>
      <c r="W35" s="411">
        <v>0</v>
      </c>
      <c r="X35" s="411">
        <v>0</v>
      </c>
      <c r="Y35" s="411">
        <v>0</v>
      </c>
      <c r="Z35" s="411">
        <v>0</v>
      </c>
      <c r="AA35" s="411">
        <v>0</v>
      </c>
      <c r="AB35" s="411">
        <v>0</v>
      </c>
      <c r="AC35" s="411">
        <v>0</v>
      </c>
      <c r="AD35" s="411">
        <v>0</v>
      </c>
      <c r="AE35" s="411">
        <v>0</v>
      </c>
      <c r="AF35" s="411">
        <v>0</v>
      </c>
      <c r="AG35" s="411">
        <v>0</v>
      </c>
      <c r="AH35" s="411">
        <v>0</v>
      </c>
      <c r="AI35" s="411">
        <v>0</v>
      </c>
      <c r="AJ35" s="411">
        <v>0</v>
      </c>
      <c r="AK35" s="411">
        <v>0</v>
      </c>
      <c r="AL35" s="411">
        <v>0</v>
      </c>
      <c r="AM35" s="411">
        <v>0</v>
      </c>
      <c r="AN35" s="5"/>
      <c r="AO35" s="21"/>
      <c r="AP35" s="21"/>
      <c r="AQ35" s="21"/>
      <c r="AR35" s="21"/>
      <c r="AS35" s="18"/>
      <c r="AT35" s="21"/>
      <c r="AU35" s="21"/>
      <c r="AV35" s="21"/>
      <c r="AW35" s="1"/>
      <c r="AY35" s="221"/>
    </row>
    <row r="36" spans="1:51" ht="15.75" customHeight="1" x14ac:dyDescent="0.3">
      <c r="A36" s="1"/>
      <c r="B36" s="353" t="s">
        <v>5199</v>
      </c>
      <c r="C36" s="353"/>
      <c r="D36" s="353"/>
      <c r="E36" s="353"/>
      <c r="F36" s="353"/>
      <c r="G36" s="353"/>
      <c r="H36" s="358"/>
      <c r="I36" s="353"/>
      <c r="J36" s="353"/>
      <c r="K36" s="404">
        <f>L36/$L$32</f>
        <v>6.2055554587098563E-3</v>
      </c>
      <c r="L36" s="405">
        <f t="shared" ref="L36:L39" si="13">SUM(O36:AM36)</f>
        <v>27499.79</v>
      </c>
      <c r="M36" s="1"/>
      <c r="N36" s="1"/>
      <c r="O36" s="411">
        <v>27499.79</v>
      </c>
      <c r="P36" s="411">
        <v>0</v>
      </c>
      <c r="Q36" s="411">
        <v>0</v>
      </c>
      <c r="R36" s="411">
        <v>0</v>
      </c>
      <c r="S36" s="411">
        <v>0</v>
      </c>
      <c r="T36" s="411">
        <v>0</v>
      </c>
      <c r="U36" s="411">
        <v>0</v>
      </c>
      <c r="V36" s="411">
        <v>0</v>
      </c>
      <c r="W36" s="411">
        <v>0</v>
      </c>
      <c r="X36" s="411">
        <v>0</v>
      </c>
      <c r="Y36" s="411">
        <v>0</v>
      </c>
      <c r="Z36" s="411">
        <v>0</v>
      </c>
      <c r="AA36" s="411">
        <v>0</v>
      </c>
      <c r="AB36" s="411">
        <v>0</v>
      </c>
      <c r="AC36" s="411">
        <v>0</v>
      </c>
      <c r="AD36" s="411">
        <v>0</v>
      </c>
      <c r="AE36" s="411">
        <v>0</v>
      </c>
      <c r="AF36" s="411">
        <v>0</v>
      </c>
      <c r="AG36" s="411">
        <v>0</v>
      </c>
      <c r="AH36" s="411">
        <v>0</v>
      </c>
      <c r="AI36" s="411">
        <v>0</v>
      </c>
      <c r="AJ36" s="411">
        <v>0</v>
      </c>
      <c r="AK36" s="411">
        <v>0</v>
      </c>
      <c r="AL36" s="411">
        <v>0</v>
      </c>
      <c r="AM36" s="411">
        <v>0</v>
      </c>
      <c r="AN36" s="5"/>
      <c r="AO36" s="21"/>
      <c r="AP36" s="21"/>
      <c r="AQ36" s="21"/>
      <c r="AR36" s="21"/>
      <c r="AS36" s="18"/>
      <c r="AT36" s="21"/>
      <c r="AU36" s="21"/>
      <c r="AV36" s="21"/>
      <c r="AW36" s="1"/>
      <c r="AY36" s="221"/>
    </row>
    <row r="37" spans="1:51" ht="15.75" customHeight="1" x14ac:dyDescent="0.3">
      <c r="A37" s="1"/>
      <c r="B37" s="353" t="s">
        <v>5203</v>
      </c>
      <c r="C37" s="353"/>
      <c r="D37" s="353"/>
      <c r="E37" s="353"/>
      <c r="F37" s="353"/>
      <c r="G37" s="353"/>
      <c r="H37" s="353"/>
      <c r="I37" s="406"/>
      <c r="J37" s="353"/>
      <c r="K37" s="404">
        <f>L37/$L$32</f>
        <v>0.11281999534870044</v>
      </c>
      <c r="L37" s="405">
        <f t="shared" si="13"/>
        <v>499959.46382779704</v>
      </c>
      <c r="M37" s="1"/>
      <c r="N37" s="1"/>
      <c r="O37" s="411">
        <v>499959.46382779704</v>
      </c>
      <c r="P37" s="411">
        <v>0</v>
      </c>
      <c r="Q37" s="411">
        <v>0</v>
      </c>
      <c r="R37" s="411">
        <v>0</v>
      </c>
      <c r="S37" s="411">
        <v>0</v>
      </c>
      <c r="T37" s="411">
        <v>0</v>
      </c>
      <c r="U37" s="411">
        <v>0</v>
      </c>
      <c r="V37" s="411">
        <v>0</v>
      </c>
      <c r="W37" s="411">
        <v>0</v>
      </c>
      <c r="X37" s="411">
        <v>0</v>
      </c>
      <c r="Y37" s="411">
        <v>0</v>
      </c>
      <c r="Z37" s="411">
        <v>0</v>
      </c>
      <c r="AA37" s="411">
        <v>0</v>
      </c>
      <c r="AB37" s="411">
        <v>0</v>
      </c>
      <c r="AC37" s="411">
        <v>0</v>
      </c>
      <c r="AD37" s="411">
        <v>0</v>
      </c>
      <c r="AE37" s="411">
        <v>0</v>
      </c>
      <c r="AF37" s="411">
        <v>0</v>
      </c>
      <c r="AG37" s="411">
        <v>0</v>
      </c>
      <c r="AH37" s="411">
        <v>0</v>
      </c>
      <c r="AI37" s="411">
        <v>0</v>
      </c>
      <c r="AJ37" s="411">
        <v>0</v>
      </c>
      <c r="AK37" s="411">
        <v>0</v>
      </c>
      <c r="AL37" s="411">
        <v>0</v>
      </c>
      <c r="AM37" s="411">
        <v>0</v>
      </c>
      <c r="AN37" s="5"/>
      <c r="AO37" s="21"/>
      <c r="AP37" s="21"/>
      <c r="AQ37" s="21"/>
      <c r="AR37" s="21"/>
      <c r="AS37" s="18"/>
      <c r="AT37" s="21"/>
      <c r="AU37" s="21"/>
      <c r="AV37" s="21"/>
      <c r="AW37" s="1"/>
    </row>
    <row r="38" spans="1:51" ht="15.75" customHeight="1" x14ac:dyDescent="0.3">
      <c r="A38" s="1"/>
      <c r="B38" s="353" t="s">
        <v>5200</v>
      </c>
      <c r="C38" s="353"/>
      <c r="D38" s="353"/>
      <c r="E38" s="353"/>
      <c r="F38" s="353"/>
      <c r="G38" s="353"/>
      <c r="H38" s="353"/>
      <c r="I38" s="351"/>
      <c r="J38" s="353"/>
      <c r="K38" s="404">
        <f>L38/$L$32</f>
        <v>0</v>
      </c>
      <c r="L38" s="405">
        <f t="shared" si="13"/>
        <v>0</v>
      </c>
      <c r="M38" s="1"/>
      <c r="N38" s="1"/>
      <c r="O38" s="411">
        <v>0</v>
      </c>
      <c r="P38" s="411">
        <v>0</v>
      </c>
      <c r="Q38" s="411">
        <v>0</v>
      </c>
      <c r="R38" s="411">
        <v>0</v>
      </c>
      <c r="S38" s="411">
        <v>0</v>
      </c>
      <c r="T38" s="411">
        <v>0</v>
      </c>
      <c r="U38" s="411">
        <v>0</v>
      </c>
      <c r="V38" s="411">
        <v>0</v>
      </c>
      <c r="W38" s="411">
        <v>0</v>
      </c>
      <c r="X38" s="411">
        <v>0</v>
      </c>
      <c r="Y38" s="411">
        <v>0</v>
      </c>
      <c r="Z38" s="411">
        <v>0</v>
      </c>
      <c r="AA38" s="411">
        <v>0</v>
      </c>
      <c r="AB38" s="411">
        <v>0</v>
      </c>
      <c r="AC38" s="411">
        <v>0</v>
      </c>
      <c r="AD38" s="411">
        <v>0</v>
      </c>
      <c r="AE38" s="411">
        <v>0</v>
      </c>
      <c r="AF38" s="411">
        <v>0</v>
      </c>
      <c r="AG38" s="411">
        <v>0</v>
      </c>
      <c r="AH38" s="411">
        <v>0</v>
      </c>
      <c r="AI38" s="411">
        <v>0</v>
      </c>
      <c r="AJ38" s="411">
        <v>0</v>
      </c>
      <c r="AK38" s="411">
        <v>0</v>
      </c>
      <c r="AL38" s="411">
        <v>0</v>
      </c>
      <c r="AM38" s="411">
        <v>0</v>
      </c>
      <c r="AN38" s="5"/>
      <c r="AO38" s="21"/>
      <c r="AP38" s="21"/>
      <c r="AQ38" s="21"/>
      <c r="AR38" s="21"/>
      <c r="AS38" s="18"/>
      <c r="AT38" s="21"/>
      <c r="AU38" s="21"/>
      <c r="AV38" s="21"/>
      <c r="AW38" s="1"/>
    </row>
    <row r="39" spans="1:51" ht="15.75" customHeight="1" x14ac:dyDescent="0.3">
      <c r="A39" s="1"/>
      <c r="B39" s="407" t="s">
        <v>14</v>
      </c>
      <c r="C39" s="407"/>
      <c r="D39" s="407"/>
      <c r="E39" s="407"/>
      <c r="F39" s="407"/>
      <c r="G39" s="407"/>
      <c r="H39" s="407"/>
      <c r="I39" s="407"/>
      <c r="J39" s="407"/>
      <c r="K39" s="408"/>
      <c r="L39" s="409">
        <f t="shared" si="13"/>
        <v>2761027.5073548695</v>
      </c>
      <c r="M39" s="1"/>
      <c r="N39" s="1"/>
      <c r="O39" s="412">
        <v>0</v>
      </c>
      <c r="P39" s="412">
        <v>0</v>
      </c>
      <c r="Q39" s="412">
        <v>0</v>
      </c>
      <c r="R39" s="412">
        <v>0</v>
      </c>
      <c r="S39" s="412">
        <v>577585.53294117644</v>
      </c>
      <c r="T39" s="412">
        <v>0</v>
      </c>
      <c r="U39" s="412">
        <v>0</v>
      </c>
      <c r="V39" s="412">
        <v>0</v>
      </c>
      <c r="W39" s="412">
        <v>31215.53</v>
      </c>
      <c r="X39" s="412">
        <v>0</v>
      </c>
      <c r="Y39" s="412">
        <v>577585.53294117644</v>
      </c>
      <c r="Z39" s="412">
        <v>0</v>
      </c>
      <c r="AA39" s="412">
        <v>388254.31559016387</v>
      </c>
      <c r="AB39" s="412">
        <v>0</v>
      </c>
      <c r="AC39" s="412">
        <v>0</v>
      </c>
      <c r="AD39" s="412">
        <v>577585.53294117644</v>
      </c>
      <c r="AE39" s="412">
        <v>31215.53</v>
      </c>
      <c r="AF39" s="412">
        <v>0</v>
      </c>
      <c r="AG39" s="412">
        <v>0</v>
      </c>
      <c r="AH39" s="412">
        <v>0</v>
      </c>
      <c r="AI39" s="412">
        <v>577585.53294117644</v>
      </c>
      <c r="AJ39" s="412">
        <v>0</v>
      </c>
      <c r="AK39" s="412">
        <v>0</v>
      </c>
      <c r="AL39" s="412">
        <v>0</v>
      </c>
      <c r="AM39" s="412">
        <v>0</v>
      </c>
      <c r="AN39" s="5"/>
      <c r="AO39" s="21"/>
      <c r="AP39" s="21"/>
      <c r="AQ39" s="21"/>
      <c r="AR39" s="21"/>
      <c r="AS39" s="18"/>
      <c r="AT39" s="21"/>
      <c r="AU39" s="21"/>
      <c r="AV39" s="21"/>
      <c r="AW39" s="1"/>
    </row>
    <row r="40" spans="1:51" ht="15.75" customHeight="1" x14ac:dyDescent="0.3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9"/>
      <c r="L40" s="228"/>
      <c r="M40" s="35"/>
      <c r="N40" s="35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5"/>
      <c r="AO40" s="40"/>
      <c r="AP40" s="40"/>
      <c r="AQ40" s="40"/>
      <c r="AR40" s="40"/>
      <c r="AS40" s="40"/>
      <c r="AT40" s="40"/>
      <c r="AU40" s="40"/>
      <c r="AV40" s="40"/>
      <c r="AW40" s="35"/>
    </row>
    <row r="41" spans="1:51" ht="15.75" customHeight="1" x14ac:dyDescent="0.3">
      <c r="A41" s="1"/>
      <c r="B41" s="41" t="s">
        <v>15</v>
      </c>
      <c r="C41" s="41"/>
      <c r="D41" s="41"/>
      <c r="E41" s="41"/>
      <c r="F41" s="41"/>
      <c r="G41" s="41"/>
      <c r="H41" s="41"/>
      <c r="I41" s="41"/>
      <c r="J41" s="41"/>
      <c r="K41" s="41"/>
      <c r="L41" s="229">
        <f>SUM(L42:L47)</f>
        <v>120184.41982398246</v>
      </c>
      <c r="M41" s="1"/>
      <c r="N41" s="1"/>
      <c r="O41" s="15">
        <f t="shared" ref="O41:AM41" si="14">SUM(O42:O47)</f>
        <v>120184.41982398246</v>
      </c>
      <c r="P41" s="15">
        <f t="shared" si="14"/>
        <v>0</v>
      </c>
      <c r="Q41" s="15">
        <f t="shared" si="14"/>
        <v>0</v>
      </c>
      <c r="R41" s="15">
        <f t="shared" si="14"/>
        <v>0</v>
      </c>
      <c r="S41" s="15">
        <f t="shared" si="14"/>
        <v>0</v>
      </c>
      <c r="T41" s="15">
        <f t="shared" si="14"/>
        <v>0</v>
      </c>
      <c r="U41" s="15">
        <f t="shared" si="14"/>
        <v>0</v>
      </c>
      <c r="V41" s="15">
        <f t="shared" si="14"/>
        <v>0</v>
      </c>
      <c r="W41" s="15">
        <f t="shared" si="14"/>
        <v>0</v>
      </c>
      <c r="X41" s="15">
        <f t="shared" si="14"/>
        <v>0</v>
      </c>
      <c r="Y41" s="15">
        <f t="shared" si="14"/>
        <v>0</v>
      </c>
      <c r="Z41" s="15">
        <f t="shared" si="14"/>
        <v>0</v>
      </c>
      <c r="AA41" s="15">
        <f t="shared" si="14"/>
        <v>0</v>
      </c>
      <c r="AB41" s="15">
        <f t="shared" si="14"/>
        <v>0</v>
      </c>
      <c r="AC41" s="15">
        <f t="shared" si="14"/>
        <v>0</v>
      </c>
      <c r="AD41" s="15">
        <f t="shared" si="14"/>
        <v>0</v>
      </c>
      <c r="AE41" s="15">
        <f t="shared" si="14"/>
        <v>0</v>
      </c>
      <c r="AF41" s="15">
        <f t="shared" si="14"/>
        <v>0</v>
      </c>
      <c r="AG41" s="15">
        <f t="shared" si="14"/>
        <v>0</v>
      </c>
      <c r="AH41" s="15">
        <f t="shared" si="14"/>
        <v>0</v>
      </c>
      <c r="AI41" s="15">
        <f t="shared" si="14"/>
        <v>0</v>
      </c>
      <c r="AJ41" s="15">
        <f t="shared" si="14"/>
        <v>0</v>
      </c>
      <c r="AK41" s="15">
        <f t="shared" si="14"/>
        <v>0</v>
      </c>
      <c r="AL41" s="15">
        <f t="shared" si="14"/>
        <v>0</v>
      </c>
      <c r="AM41" s="15">
        <f t="shared" si="14"/>
        <v>0</v>
      </c>
      <c r="AN41" s="5"/>
      <c r="AO41" s="15"/>
      <c r="AP41" s="15"/>
      <c r="AQ41" s="15"/>
      <c r="AR41" s="15"/>
      <c r="AS41" s="15"/>
      <c r="AT41" s="15"/>
      <c r="AU41" s="15"/>
      <c r="AV41" s="15"/>
      <c r="AW41" s="1"/>
    </row>
    <row r="42" spans="1:51" ht="15.75" customHeight="1" x14ac:dyDescent="0.3">
      <c r="A42" s="1"/>
      <c r="B42" s="16" t="s">
        <v>5269</v>
      </c>
      <c r="C42" s="16"/>
      <c r="D42" s="16"/>
      <c r="E42" s="16"/>
      <c r="F42" s="211">
        <v>0.01</v>
      </c>
      <c r="G42" s="42"/>
      <c r="H42" s="16"/>
      <c r="I42" s="16"/>
      <c r="J42" s="192"/>
      <c r="K42" s="190"/>
      <c r="L42" s="230">
        <f t="shared" ref="L42:L47" si="15">SUM(O42:AV42)</f>
        <v>120184.41982398246</v>
      </c>
      <c r="M42" s="1"/>
      <c r="N42" s="1"/>
      <c r="O42" s="44">
        <f>'Fluxo Rateio'!O24*$G$34</f>
        <v>120184.41982398246</v>
      </c>
      <c r="P42" s="44">
        <f>'Fluxo Rateio'!P24</f>
        <v>0</v>
      </c>
      <c r="Q42" s="44">
        <f>'Fluxo Rateio'!Q24</f>
        <v>0</v>
      </c>
      <c r="R42" s="44">
        <f>'Fluxo Rateio'!R24</f>
        <v>0</v>
      </c>
      <c r="S42" s="44">
        <f>'Fluxo Rateio'!S24</f>
        <v>0</v>
      </c>
      <c r="T42" s="44">
        <f>'Fluxo Rateio'!T24</f>
        <v>0</v>
      </c>
      <c r="U42" s="44">
        <f>'Fluxo Rateio'!U24</f>
        <v>0</v>
      </c>
      <c r="V42" s="44">
        <f>'Fluxo Rateio'!V24</f>
        <v>0</v>
      </c>
      <c r="W42" s="44">
        <f>'Fluxo Rateio'!W24</f>
        <v>0</v>
      </c>
      <c r="X42" s="44">
        <f>'Fluxo Rateio'!X24</f>
        <v>0</v>
      </c>
      <c r="Y42" s="44">
        <f>'Fluxo Rateio'!Y24</f>
        <v>0</v>
      </c>
      <c r="Z42" s="44">
        <f>'Fluxo Rateio'!Z24</f>
        <v>0</v>
      </c>
      <c r="AA42" s="44">
        <f>'Fluxo Rateio'!AA24</f>
        <v>0</v>
      </c>
      <c r="AB42" s="44">
        <f>'Fluxo Rateio'!AB24</f>
        <v>0</v>
      </c>
      <c r="AC42" s="44">
        <f>'Fluxo Rateio'!AC24</f>
        <v>0</v>
      </c>
      <c r="AD42" s="44">
        <f>'Fluxo Rateio'!AD24</f>
        <v>0</v>
      </c>
      <c r="AE42" s="44">
        <f>'Fluxo Rateio'!AE24</f>
        <v>0</v>
      </c>
      <c r="AF42" s="44">
        <f>'Fluxo Rateio'!AF24</f>
        <v>0</v>
      </c>
      <c r="AG42" s="44">
        <f>'Fluxo Rateio'!AG24</f>
        <v>0</v>
      </c>
      <c r="AH42" s="44">
        <f>'Fluxo Rateio'!AH24</f>
        <v>0</v>
      </c>
      <c r="AI42" s="44">
        <f>'Fluxo Rateio'!AI24</f>
        <v>0</v>
      </c>
      <c r="AJ42" s="44">
        <f>'Fluxo Rateio'!AJ24</f>
        <v>0</v>
      </c>
      <c r="AK42" s="44">
        <f>'Fluxo Rateio'!AK24</f>
        <v>0</v>
      </c>
      <c r="AL42" s="44">
        <f>'Fluxo Rateio'!AL24</f>
        <v>0</v>
      </c>
      <c r="AM42" s="44">
        <f>'Fluxo Rateio'!AM24</f>
        <v>0</v>
      </c>
      <c r="AN42" s="5"/>
      <c r="AO42" s="44"/>
      <c r="AP42" s="44"/>
      <c r="AQ42" s="44"/>
      <c r="AR42" s="44"/>
      <c r="AS42" s="44"/>
      <c r="AT42" s="44"/>
      <c r="AU42" s="44"/>
      <c r="AV42" s="44"/>
      <c r="AW42" s="1"/>
    </row>
    <row r="43" spans="1:51" ht="15.75" hidden="1" customHeight="1" x14ac:dyDescent="0.3">
      <c r="A43" s="1"/>
      <c r="B43" s="45" t="s">
        <v>17</v>
      </c>
      <c r="C43" s="19"/>
      <c r="D43" s="19"/>
      <c r="E43" s="19"/>
      <c r="F43" s="19"/>
      <c r="G43" s="19"/>
      <c r="H43" s="19"/>
      <c r="I43" s="19"/>
      <c r="J43" s="19"/>
      <c r="K43" s="19"/>
      <c r="L43" s="46">
        <f t="shared" si="15"/>
        <v>0</v>
      </c>
      <c r="M43" s="1"/>
      <c r="N43" s="1"/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5"/>
      <c r="AO43" s="21"/>
      <c r="AP43" s="21"/>
      <c r="AQ43" s="21"/>
      <c r="AR43" s="21"/>
      <c r="AS43" s="21"/>
      <c r="AT43" s="21"/>
      <c r="AU43" s="21"/>
      <c r="AV43" s="21"/>
      <c r="AW43" s="1"/>
    </row>
    <row r="44" spans="1:51" ht="15.75" hidden="1" customHeight="1" x14ac:dyDescent="0.3">
      <c r="A44" s="1"/>
      <c r="B44" s="45" t="s">
        <v>18</v>
      </c>
      <c r="C44" s="19"/>
      <c r="D44" s="19"/>
      <c r="E44" s="19"/>
      <c r="F44" s="19"/>
      <c r="G44" s="19"/>
      <c r="H44" s="19"/>
      <c r="I44" s="19"/>
      <c r="J44" s="19"/>
      <c r="K44" s="19"/>
      <c r="L44" s="46">
        <f t="shared" si="15"/>
        <v>0</v>
      </c>
      <c r="M44" s="1"/>
      <c r="N44" s="1"/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5"/>
      <c r="AO44" s="21"/>
      <c r="AP44" s="21"/>
      <c r="AQ44" s="21"/>
      <c r="AR44" s="21"/>
      <c r="AS44" s="21"/>
      <c r="AT44" s="21"/>
      <c r="AU44" s="21"/>
      <c r="AV44" s="21"/>
      <c r="AW44" s="1"/>
    </row>
    <row r="45" spans="1:51" ht="15.75" hidden="1" customHeight="1" x14ac:dyDescent="0.3">
      <c r="A45" s="1"/>
      <c r="B45" s="45" t="s">
        <v>19</v>
      </c>
      <c r="C45" s="19"/>
      <c r="D45" s="19"/>
      <c r="E45" s="19"/>
      <c r="F45" s="19"/>
      <c r="G45" s="19"/>
      <c r="H45" s="19"/>
      <c r="I45" s="19"/>
      <c r="J45" s="19"/>
      <c r="K45" s="19"/>
      <c r="L45" s="46">
        <f t="shared" si="15"/>
        <v>0</v>
      </c>
      <c r="M45" s="1"/>
      <c r="N45" s="1"/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5"/>
      <c r="AO45" s="21"/>
      <c r="AP45" s="21"/>
      <c r="AQ45" s="21"/>
      <c r="AR45" s="21"/>
      <c r="AS45" s="21"/>
      <c r="AT45" s="21"/>
      <c r="AU45" s="21"/>
      <c r="AV45" s="21"/>
      <c r="AW45" s="1"/>
    </row>
    <row r="46" spans="1:51" ht="15.75" hidden="1" customHeight="1" x14ac:dyDescent="0.3">
      <c r="A46" s="1"/>
      <c r="B46" s="45" t="s">
        <v>20</v>
      </c>
      <c r="C46" s="19"/>
      <c r="D46" s="19"/>
      <c r="E46" s="19"/>
      <c r="F46" s="19"/>
      <c r="G46" s="19"/>
      <c r="H46" s="19"/>
      <c r="I46" s="19"/>
      <c r="J46" s="19"/>
      <c r="K46" s="19"/>
      <c r="L46" s="46">
        <f t="shared" si="15"/>
        <v>0</v>
      </c>
      <c r="M46" s="1"/>
      <c r="N46" s="1"/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5"/>
      <c r="AO46" s="21"/>
      <c r="AP46" s="21"/>
      <c r="AQ46" s="21"/>
      <c r="AR46" s="21"/>
      <c r="AS46" s="21"/>
      <c r="AT46" s="21"/>
      <c r="AU46" s="21"/>
      <c r="AV46" s="21"/>
      <c r="AW46" s="1"/>
    </row>
    <row r="47" spans="1:51" ht="15.75" hidden="1" customHeight="1" x14ac:dyDescent="0.3">
      <c r="A47" s="1"/>
      <c r="B47" s="27" t="s">
        <v>21</v>
      </c>
      <c r="C47" s="22"/>
      <c r="D47" s="22"/>
      <c r="E47" s="22"/>
      <c r="F47" s="22"/>
      <c r="G47" s="22"/>
      <c r="H47" s="22"/>
      <c r="I47" s="22"/>
      <c r="J47" s="22"/>
      <c r="K47" s="22"/>
      <c r="L47" s="28">
        <f t="shared" si="15"/>
        <v>0</v>
      </c>
      <c r="M47" s="1"/>
      <c r="N47" s="1"/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5"/>
      <c r="AO47" s="24"/>
      <c r="AP47" s="24"/>
      <c r="AQ47" s="24"/>
      <c r="AR47" s="24"/>
      <c r="AS47" s="24"/>
      <c r="AT47" s="24"/>
      <c r="AU47" s="24"/>
      <c r="AV47" s="24"/>
      <c r="AW47" s="1"/>
    </row>
    <row r="48" spans="1:51" ht="15.75" customHeight="1" x14ac:dyDescent="0.3">
      <c r="A48" s="1"/>
      <c r="B48" s="25"/>
      <c r="C48" s="25"/>
      <c r="D48" s="25"/>
      <c r="E48" s="25"/>
      <c r="F48" s="25"/>
      <c r="G48" s="25"/>
      <c r="H48" s="25"/>
      <c r="I48" s="25"/>
      <c r="J48" s="25"/>
      <c r="K48" s="173"/>
      <c r="L48" s="25"/>
      <c r="M48" s="1"/>
      <c r="N48" s="1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5"/>
      <c r="AO48" s="25"/>
      <c r="AP48" s="25"/>
      <c r="AQ48" s="25"/>
      <c r="AR48" s="25"/>
      <c r="AS48" s="25"/>
      <c r="AT48" s="25"/>
      <c r="AU48" s="25"/>
      <c r="AV48" s="25"/>
      <c r="AW48" s="1"/>
    </row>
    <row r="49" spans="1:49" ht="15.75" customHeight="1" x14ac:dyDescent="0.3">
      <c r="A49" s="1"/>
      <c r="B49" s="12" t="s">
        <v>22</v>
      </c>
      <c r="C49" s="12"/>
      <c r="D49" s="12"/>
      <c r="E49" s="12"/>
      <c r="F49" s="12"/>
      <c r="G49" s="12"/>
      <c r="H49" s="12"/>
      <c r="I49" s="12"/>
      <c r="J49" s="12"/>
      <c r="K49" s="12"/>
      <c r="L49" s="13">
        <f>L50+L59</f>
        <v>0</v>
      </c>
      <c r="M49" s="1"/>
      <c r="N49" s="1"/>
      <c r="O49" s="13">
        <f t="shared" ref="O49:AM49" si="16">O50+O59</f>
        <v>0</v>
      </c>
      <c r="P49" s="13">
        <f t="shared" si="16"/>
        <v>0</v>
      </c>
      <c r="Q49" s="13">
        <f t="shared" si="16"/>
        <v>0</v>
      </c>
      <c r="R49" s="13">
        <f t="shared" si="16"/>
        <v>0</v>
      </c>
      <c r="S49" s="13">
        <f t="shared" si="16"/>
        <v>0</v>
      </c>
      <c r="T49" s="13">
        <f t="shared" si="16"/>
        <v>0</v>
      </c>
      <c r="U49" s="13">
        <f t="shared" si="16"/>
        <v>0</v>
      </c>
      <c r="V49" s="13">
        <f t="shared" si="16"/>
        <v>0</v>
      </c>
      <c r="W49" s="13">
        <f t="shared" si="16"/>
        <v>0</v>
      </c>
      <c r="X49" s="13">
        <f t="shared" si="16"/>
        <v>0</v>
      </c>
      <c r="Y49" s="13">
        <f t="shared" si="16"/>
        <v>0</v>
      </c>
      <c r="Z49" s="13">
        <f t="shared" si="16"/>
        <v>0</v>
      </c>
      <c r="AA49" s="13">
        <f t="shared" si="16"/>
        <v>0</v>
      </c>
      <c r="AB49" s="13">
        <f t="shared" si="16"/>
        <v>0</v>
      </c>
      <c r="AC49" s="13">
        <f t="shared" si="16"/>
        <v>0</v>
      </c>
      <c r="AD49" s="13">
        <f t="shared" si="16"/>
        <v>0</v>
      </c>
      <c r="AE49" s="13">
        <f t="shared" si="16"/>
        <v>0</v>
      </c>
      <c r="AF49" s="13">
        <f t="shared" si="16"/>
        <v>0</v>
      </c>
      <c r="AG49" s="13">
        <f t="shared" si="16"/>
        <v>0</v>
      </c>
      <c r="AH49" s="13">
        <f t="shared" si="16"/>
        <v>0</v>
      </c>
      <c r="AI49" s="13">
        <f t="shared" si="16"/>
        <v>0</v>
      </c>
      <c r="AJ49" s="13">
        <f t="shared" si="16"/>
        <v>0</v>
      </c>
      <c r="AK49" s="13">
        <f t="shared" si="16"/>
        <v>0</v>
      </c>
      <c r="AL49" s="13">
        <f t="shared" si="16"/>
        <v>0</v>
      </c>
      <c r="AM49" s="13">
        <f t="shared" si="16"/>
        <v>0</v>
      </c>
      <c r="AN49" s="5"/>
      <c r="AO49" s="13"/>
      <c r="AP49" s="13"/>
      <c r="AQ49" s="13"/>
      <c r="AR49" s="13"/>
      <c r="AS49" s="13"/>
      <c r="AT49" s="13"/>
      <c r="AU49" s="13"/>
      <c r="AV49" s="13"/>
      <c r="AW49" s="1"/>
    </row>
    <row r="50" spans="1:49" ht="15.75" customHeight="1" x14ac:dyDescent="0.3">
      <c r="A50" s="1"/>
      <c r="B50" s="41" t="s">
        <v>22</v>
      </c>
      <c r="C50" s="41"/>
      <c r="D50" s="41"/>
      <c r="E50" s="41"/>
      <c r="F50" s="41"/>
      <c r="G50" s="41"/>
      <c r="H50" s="41"/>
      <c r="I50" s="41"/>
      <c r="J50" s="41"/>
      <c r="K50" s="41"/>
      <c r="L50" s="15">
        <f>SUM(O50:AM50)</f>
        <v>0</v>
      </c>
      <c r="M50" s="1"/>
      <c r="N50" s="1"/>
      <c r="O50" s="15">
        <f>'Fluxo Rateio'!O26*$G$16</f>
        <v>0</v>
      </c>
      <c r="P50" s="15">
        <f>'Fluxo Rateio'!P26*$G$16</f>
        <v>0</v>
      </c>
      <c r="Q50" s="15">
        <f>'Fluxo Rateio'!Q26*$G$16</f>
        <v>0</v>
      </c>
      <c r="R50" s="15">
        <f>'Fluxo Rateio'!R26*$G$16</f>
        <v>0</v>
      </c>
      <c r="S50" s="15">
        <f>'Fluxo Rateio'!S26*$G$16</f>
        <v>0</v>
      </c>
      <c r="T50" s="15">
        <f>'Fluxo Rateio'!T26*$G$16</f>
        <v>0</v>
      </c>
      <c r="U50" s="15">
        <f>'Fluxo Rateio'!U26*$G$16</f>
        <v>0</v>
      </c>
      <c r="V50" s="15">
        <f>'Fluxo Rateio'!V26*$G$16</f>
        <v>0</v>
      </c>
      <c r="W50" s="15">
        <f>'Fluxo Rateio'!W26*$G$16</f>
        <v>0</v>
      </c>
      <c r="X50" s="15">
        <f>'Fluxo Rateio'!X26*$G$16</f>
        <v>0</v>
      </c>
      <c r="Y50" s="15">
        <f>'Fluxo Rateio'!Y26*$G$16</f>
        <v>0</v>
      </c>
      <c r="Z50" s="15">
        <f>'Fluxo Rateio'!Z26*$G$16</f>
        <v>0</v>
      </c>
      <c r="AA50" s="15">
        <f>'Fluxo Rateio'!AA26*$G$16</f>
        <v>0</v>
      </c>
      <c r="AB50" s="15">
        <f>'Fluxo Rateio'!AB26*$G$16</f>
        <v>0</v>
      </c>
      <c r="AC50" s="15">
        <f>'Fluxo Rateio'!AC26*$G$16</f>
        <v>0</v>
      </c>
      <c r="AD50" s="15">
        <f>'Fluxo Rateio'!AD26*$G$16</f>
        <v>0</v>
      </c>
      <c r="AE50" s="15">
        <f>'Fluxo Rateio'!AE26*$G$16</f>
        <v>0</v>
      </c>
      <c r="AF50" s="15">
        <f>'Fluxo Rateio'!AF26*$G$16</f>
        <v>0</v>
      </c>
      <c r="AG50" s="15">
        <f>'Fluxo Rateio'!AG26*$G$16</f>
        <v>0</v>
      </c>
      <c r="AH50" s="15">
        <f>'Fluxo Rateio'!AH26*$G$16</f>
        <v>0</v>
      </c>
      <c r="AI50" s="15">
        <f>'Fluxo Rateio'!AI26*$G$16</f>
        <v>0</v>
      </c>
      <c r="AJ50" s="15">
        <f>'Fluxo Rateio'!AJ26*$G$16</f>
        <v>0</v>
      </c>
      <c r="AK50" s="15">
        <f>'Fluxo Rateio'!AK26*$G$16</f>
        <v>0</v>
      </c>
      <c r="AL50" s="15">
        <f>'Fluxo Rateio'!AL26*$G$16</f>
        <v>0</v>
      </c>
      <c r="AM50" s="15">
        <f>'Fluxo Rateio'!AM26*$G$16</f>
        <v>0</v>
      </c>
      <c r="AN50" s="5"/>
      <c r="AO50" s="15"/>
      <c r="AP50" s="15"/>
      <c r="AQ50" s="15"/>
      <c r="AR50" s="15"/>
      <c r="AS50" s="15"/>
      <c r="AT50" s="15"/>
      <c r="AU50" s="15"/>
      <c r="AV50" s="15"/>
      <c r="AW50" s="1"/>
    </row>
    <row r="51" spans="1:49" ht="15.75" hidden="1" customHeight="1" x14ac:dyDescent="0.3">
      <c r="A51" s="1"/>
      <c r="B51" s="47" t="s">
        <v>23</v>
      </c>
      <c r="C51" s="16"/>
      <c r="D51" s="16"/>
      <c r="E51" s="16"/>
      <c r="F51" s="16"/>
      <c r="G51" s="16"/>
      <c r="H51" s="16"/>
      <c r="I51" s="16"/>
      <c r="J51" s="16"/>
      <c r="K51" s="16"/>
      <c r="L51" s="43">
        <f t="shared" ref="L51:L57" si="17">SUM(O51:AV51)</f>
        <v>0</v>
      </c>
      <c r="M51" s="1"/>
      <c r="N51" s="1"/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5"/>
      <c r="AO51" s="44"/>
      <c r="AP51" s="44"/>
      <c r="AQ51" s="44"/>
      <c r="AR51" s="44"/>
      <c r="AS51" s="44"/>
      <c r="AT51" s="44"/>
      <c r="AU51" s="44"/>
      <c r="AV51" s="44"/>
      <c r="AW51" s="1"/>
    </row>
    <row r="52" spans="1:49" ht="15.75" hidden="1" customHeight="1" x14ac:dyDescent="0.3">
      <c r="A52" s="1"/>
      <c r="B52" s="48" t="s">
        <v>24</v>
      </c>
      <c r="C52" s="19"/>
      <c r="D52" s="19"/>
      <c r="E52" s="19"/>
      <c r="F52" s="19"/>
      <c r="G52" s="19"/>
      <c r="H52" s="19"/>
      <c r="I52" s="19"/>
      <c r="J52" s="19"/>
      <c r="K52" s="19"/>
      <c r="L52" s="46">
        <f t="shared" si="17"/>
        <v>0</v>
      </c>
      <c r="M52" s="1"/>
      <c r="N52" s="1"/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5"/>
      <c r="AO52" s="21"/>
      <c r="AP52" s="21"/>
      <c r="AQ52" s="21"/>
      <c r="AR52" s="21"/>
      <c r="AS52" s="21"/>
      <c r="AT52" s="21"/>
      <c r="AU52" s="21"/>
      <c r="AV52" s="21"/>
      <c r="AW52" s="1"/>
    </row>
    <row r="53" spans="1:49" ht="15.75" hidden="1" customHeight="1" x14ac:dyDescent="0.3">
      <c r="A53" s="1"/>
      <c r="B53" s="48" t="s">
        <v>25</v>
      </c>
      <c r="C53" s="19"/>
      <c r="D53" s="19"/>
      <c r="E53" s="19"/>
      <c r="F53" s="19"/>
      <c r="G53" s="19"/>
      <c r="H53" s="19"/>
      <c r="I53" s="19"/>
      <c r="J53" s="19"/>
      <c r="K53" s="19"/>
      <c r="L53" s="46">
        <f t="shared" si="17"/>
        <v>0</v>
      </c>
      <c r="M53" s="1"/>
      <c r="N53" s="1"/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5"/>
      <c r="AO53" s="21"/>
      <c r="AP53" s="21"/>
      <c r="AQ53" s="21"/>
      <c r="AR53" s="21"/>
      <c r="AS53" s="21"/>
      <c r="AT53" s="21"/>
      <c r="AU53" s="21"/>
      <c r="AV53" s="21"/>
      <c r="AW53" s="1"/>
    </row>
    <row r="54" spans="1:49" ht="15.75" hidden="1" customHeight="1" x14ac:dyDescent="0.3">
      <c r="A54" s="1"/>
      <c r="B54" s="48" t="s">
        <v>26</v>
      </c>
      <c r="C54" s="19"/>
      <c r="D54" s="19"/>
      <c r="E54" s="19"/>
      <c r="F54" s="19"/>
      <c r="G54" s="19"/>
      <c r="H54" s="19"/>
      <c r="I54" s="19"/>
      <c r="J54" s="19"/>
      <c r="K54" s="19"/>
      <c r="L54" s="46">
        <f t="shared" si="17"/>
        <v>0</v>
      </c>
      <c r="M54" s="1"/>
      <c r="N54" s="1"/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5"/>
      <c r="AO54" s="21"/>
      <c r="AP54" s="21"/>
      <c r="AQ54" s="21"/>
      <c r="AR54" s="21"/>
      <c r="AS54" s="21"/>
      <c r="AT54" s="21"/>
      <c r="AU54" s="21"/>
      <c r="AV54" s="21"/>
      <c r="AW54" s="1"/>
    </row>
    <row r="55" spans="1:49" ht="15.75" hidden="1" customHeight="1" x14ac:dyDescent="0.3">
      <c r="A55" s="1"/>
      <c r="B55" s="48" t="s">
        <v>27</v>
      </c>
      <c r="C55" s="19"/>
      <c r="D55" s="19"/>
      <c r="E55" s="19"/>
      <c r="F55" s="19"/>
      <c r="G55" s="19"/>
      <c r="H55" s="19"/>
      <c r="I55" s="19"/>
      <c r="J55" s="19"/>
      <c r="K55" s="19"/>
      <c r="L55" s="46">
        <f t="shared" si="17"/>
        <v>0</v>
      </c>
      <c r="M55" s="1"/>
      <c r="N55" s="1"/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5"/>
      <c r="AO55" s="21"/>
      <c r="AP55" s="21"/>
      <c r="AQ55" s="21"/>
      <c r="AR55" s="21"/>
      <c r="AS55" s="21"/>
      <c r="AT55" s="21"/>
      <c r="AU55" s="21"/>
      <c r="AV55" s="21"/>
      <c r="AW55" s="1"/>
    </row>
    <row r="56" spans="1:49" ht="15.75" hidden="1" customHeight="1" x14ac:dyDescent="0.3">
      <c r="A56" s="1"/>
      <c r="B56" s="48" t="s">
        <v>28</v>
      </c>
      <c r="C56" s="22"/>
      <c r="D56" s="22"/>
      <c r="E56" s="22"/>
      <c r="F56" s="22"/>
      <c r="G56" s="22"/>
      <c r="H56" s="22"/>
      <c r="I56" s="22"/>
      <c r="J56" s="22"/>
      <c r="K56" s="22"/>
      <c r="L56" s="46">
        <f t="shared" si="17"/>
        <v>0</v>
      </c>
      <c r="M56" s="1"/>
      <c r="N56" s="1"/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1">
        <v>0</v>
      </c>
      <c r="AN56" s="5"/>
      <c r="AO56" s="21"/>
      <c r="AP56" s="21"/>
      <c r="AQ56" s="21"/>
      <c r="AR56" s="21"/>
      <c r="AS56" s="21"/>
      <c r="AT56" s="21"/>
      <c r="AU56" s="21"/>
      <c r="AV56" s="21"/>
      <c r="AW56" s="1"/>
    </row>
    <row r="57" spans="1:49" ht="15.75" hidden="1" customHeight="1" x14ac:dyDescent="0.3">
      <c r="A57" s="1"/>
      <c r="B57" s="49" t="s">
        <v>29</v>
      </c>
      <c r="C57" s="22"/>
      <c r="D57" s="22"/>
      <c r="E57" s="22"/>
      <c r="F57" s="22"/>
      <c r="G57" s="22"/>
      <c r="H57" s="22"/>
      <c r="I57" s="22"/>
      <c r="J57" s="22"/>
      <c r="K57" s="22"/>
      <c r="L57" s="28">
        <f t="shared" si="17"/>
        <v>0</v>
      </c>
      <c r="M57" s="1"/>
      <c r="N57" s="1"/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5"/>
      <c r="AO57" s="24"/>
      <c r="AP57" s="24"/>
      <c r="AQ57" s="24"/>
      <c r="AR57" s="24"/>
      <c r="AS57" s="24"/>
      <c r="AT57" s="24"/>
      <c r="AU57" s="24"/>
      <c r="AV57" s="24"/>
      <c r="AW57" s="1"/>
    </row>
    <row r="58" spans="1:49" ht="15.75" customHeight="1" x14ac:dyDescent="0.3">
      <c r="A58" s="1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1"/>
      <c r="N58" s="1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5"/>
      <c r="AO58" s="25"/>
      <c r="AP58" s="25"/>
      <c r="AQ58" s="25"/>
      <c r="AR58" s="25"/>
      <c r="AS58" s="25"/>
      <c r="AT58" s="25"/>
      <c r="AU58" s="25"/>
      <c r="AV58" s="25"/>
      <c r="AW58" s="1"/>
    </row>
    <row r="59" spans="1:49" ht="15.75" customHeight="1" x14ac:dyDescent="0.3">
      <c r="A59" s="1"/>
      <c r="B59" s="12" t="s">
        <v>30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"/>
      <c r="N59" s="1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"/>
      <c r="AO59" s="50"/>
      <c r="AP59" s="50"/>
      <c r="AQ59" s="50"/>
      <c r="AR59" s="50"/>
      <c r="AS59" s="50"/>
      <c r="AT59" s="50"/>
      <c r="AU59" s="50"/>
      <c r="AV59" s="50"/>
      <c r="AW59" s="1"/>
    </row>
    <row r="60" spans="1:49" ht="15.75" customHeight="1" x14ac:dyDescent="0.3">
      <c r="A60" s="1"/>
      <c r="B60" s="51" t="s">
        <v>11</v>
      </c>
      <c r="C60" s="51"/>
      <c r="D60" s="51"/>
      <c r="E60" s="51"/>
      <c r="F60" s="51"/>
      <c r="G60" s="51"/>
      <c r="H60" s="51"/>
      <c r="I60" s="51"/>
      <c r="J60" s="51"/>
      <c r="K60" s="51"/>
      <c r="L60" s="52">
        <f t="shared" ref="L60:L62" si="18">SUM(O60:AV60)</f>
        <v>10156757.279632637</v>
      </c>
      <c r="M60" s="1"/>
      <c r="N60" s="1"/>
      <c r="O60" s="52">
        <f t="shared" ref="O60:AM60" si="19">O29</f>
        <v>3234409.7126270812</v>
      </c>
      <c r="P60" s="52">
        <f t="shared" si="19"/>
        <v>0</v>
      </c>
      <c r="Q60" s="52">
        <f t="shared" si="19"/>
        <v>0</v>
      </c>
      <c r="R60" s="52">
        <f t="shared" si="19"/>
        <v>0</v>
      </c>
      <c r="S60" s="52">
        <f t="shared" si="19"/>
        <v>1386007.0796227944</v>
      </c>
      <c r="T60" s="52">
        <f t="shared" si="19"/>
        <v>0</v>
      </c>
      <c r="U60" s="52">
        <f t="shared" si="19"/>
        <v>0</v>
      </c>
      <c r="V60" s="52">
        <f t="shared" si="19"/>
        <v>134000.83875461042</v>
      </c>
      <c r="W60" s="52">
        <f t="shared" si="19"/>
        <v>207459.76012507069</v>
      </c>
      <c r="X60" s="52">
        <f t="shared" si="19"/>
        <v>0</v>
      </c>
      <c r="Y60" s="52">
        <f t="shared" si="19"/>
        <v>1375845.8474799362</v>
      </c>
      <c r="Z60" s="52">
        <f t="shared" si="19"/>
        <v>0</v>
      </c>
      <c r="AA60" s="52">
        <f t="shared" si="19"/>
        <v>571850.17179164919</v>
      </c>
      <c r="AB60" s="52">
        <f t="shared" si="19"/>
        <v>0</v>
      </c>
      <c r="AC60" s="52">
        <f t="shared" si="19"/>
        <v>0</v>
      </c>
      <c r="AD60" s="52">
        <f t="shared" si="19"/>
        <v>1509700.8224103535</v>
      </c>
      <c r="AE60" s="52">
        <f t="shared" si="19"/>
        <v>41230.898318665204</v>
      </c>
      <c r="AF60" s="52">
        <f t="shared" si="19"/>
        <v>166374.72563059852</v>
      </c>
      <c r="AG60" s="52">
        <f t="shared" si="19"/>
        <v>0</v>
      </c>
      <c r="AH60" s="52">
        <f t="shared" si="19"/>
        <v>0</v>
      </c>
      <c r="AI60" s="52">
        <f t="shared" si="19"/>
        <v>1385861.2157986015</v>
      </c>
      <c r="AJ60" s="52">
        <f t="shared" si="19"/>
        <v>0</v>
      </c>
      <c r="AK60" s="52">
        <f t="shared" si="19"/>
        <v>134000.83875461042</v>
      </c>
      <c r="AL60" s="52">
        <f t="shared" si="19"/>
        <v>0</v>
      </c>
      <c r="AM60" s="52">
        <f t="shared" si="19"/>
        <v>10015.368318665205</v>
      </c>
      <c r="AN60" s="5"/>
      <c r="AO60" s="52"/>
      <c r="AP60" s="52"/>
      <c r="AQ60" s="52"/>
      <c r="AR60" s="52"/>
      <c r="AS60" s="52"/>
      <c r="AT60" s="52"/>
      <c r="AU60" s="52"/>
      <c r="AV60" s="52"/>
      <c r="AW60" s="1"/>
    </row>
    <row r="61" spans="1:49" ht="15.75" customHeight="1" x14ac:dyDescent="0.3">
      <c r="A61" s="1"/>
      <c r="B61" s="53" t="s">
        <v>31</v>
      </c>
      <c r="C61" s="53"/>
      <c r="D61" s="53"/>
      <c r="E61" s="53"/>
      <c r="F61" s="53"/>
      <c r="G61" s="53"/>
      <c r="H61" s="53"/>
      <c r="I61" s="53"/>
      <c r="J61" s="53"/>
      <c r="K61" s="53"/>
      <c r="L61" s="54">
        <f t="shared" si="18"/>
        <v>0</v>
      </c>
      <c r="M61" s="1"/>
      <c r="N61" s="1"/>
      <c r="O61" s="54">
        <f t="shared" ref="O61:AM61" si="20">O49</f>
        <v>0</v>
      </c>
      <c r="P61" s="54">
        <f t="shared" si="20"/>
        <v>0</v>
      </c>
      <c r="Q61" s="54">
        <f t="shared" si="20"/>
        <v>0</v>
      </c>
      <c r="R61" s="54">
        <f t="shared" si="20"/>
        <v>0</v>
      </c>
      <c r="S61" s="54">
        <f t="shared" si="20"/>
        <v>0</v>
      </c>
      <c r="T61" s="54">
        <f t="shared" si="20"/>
        <v>0</v>
      </c>
      <c r="U61" s="54">
        <f t="shared" si="20"/>
        <v>0</v>
      </c>
      <c r="V61" s="54">
        <f t="shared" si="20"/>
        <v>0</v>
      </c>
      <c r="W61" s="54">
        <f t="shared" si="20"/>
        <v>0</v>
      </c>
      <c r="X61" s="54">
        <f t="shared" si="20"/>
        <v>0</v>
      </c>
      <c r="Y61" s="54">
        <f t="shared" si="20"/>
        <v>0</v>
      </c>
      <c r="Z61" s="54">
        <f t="shared" si="20"/>
        <v>0</v>
      </c>
      <c r="AA61" s="54">
        <f t="shared" si="20"/>
        <v>0</v>
      </c>
      <c r="AB61" s="54">
        <f t="shared" si="20"/>
        <v>0</v>
      </c>
      <c r="AC61" s="54">
        <f t="shared" si="20"/>
        <v>0</v>
      </c>
      <c r="AD61" s="54">
        <f t="shared" si="20"/>
        <v>0</v>
      </c>
      <c r="AE61" s="54">
        <f t="shared" si="20"/>
        <v>0</v>
      </c>
      <c r="AF61" s="54">
        <f t="shared" si="20"/>
        <v>0</v>
      </c>
      <c r="AG61" s="54">
        <f t="shared" si="20"/>
        <v>0</v>
      </c>
      <c r="AH61" s="54">
        <f t="shared" si="20"/>
        <v>0</v>
      </c>
      <c r="AI61" s="54">
        <f t="shared" si="20"/>
        <v>0</v>
      </c>
      <c r="AJ61" s="54">
        <f t="shared" si="20"/>
        <v>0</v>
      </c>
      <c r="AK61" s="54">
        <f t="shared" si="20"/>
        <v>0</v>
      </c>
      <c r="AL61" s="54">
        <f t="shared" si="20"/>
        <v>0</v>
      </c>
      <c r="AM61" s="54">
        <f t="shared" si="20"/>
        <v>0</v>
      </c>
      <c r="AN61" s="5"/>
      <c r="AO61" s="54"/>
      <c r="AP61" s="54"/>
      <c r="AQ61" s="54"/>
      <c r="AR61" s="54"/>
      <c r="AS61" s="54"/>
      <c r="AT61" s="54"/>
      <c r="AU61" s="54"/>
      <c r="AV61" s="54"/>
      <c r="AW61" s="1"/>
    </row>
    <row r="62" spans="1:49" ht="15.75" customHeight="1" x14ac:dyDescent="0.3">
      <c r="A62" s="1"/>
      <c r="B62" s="53" t="s">
        <v>32</v>
      </c>
      <c r="C62" s="53"/>
      <c r="D62" s="53"/>
      <c r="E62" s="53"/>
      <c r="F62" s="53"/>
      <c r="G62" s="53"/>
      <c r="H62" s="53"/>
      <c r="I62" s="53"/>
      <c r="J62" s="53"/>
      <c r="K62" s="53"/>
      <c r="L62" s="54">
        <f t="shared" si="18"/>
        <v>40363456.982785352</v>
      </c>
      <c r="M62" s="1"/>
      <c r="N62" s="1"/>
      <c r="O62" s="54">
        <f t="shared" ref="O62:AM62" si="21">O75</f>
        <v>552924.06825733301</v>
      </c>
      <c r="P62" s="54">
        <f t="shared" si="21"/>
        <v>1658772.2047720007</v>
      </c>
      <c r="Q62" s="54">
        <f t="shared" si="21"/>
        <v>1658772.2047720007</v>
      </c>
      <c r="R62" s="54">
        <f t="shared" si="21"/>
        <v>1658772.2047720007</v>
      </c>
      <c r="S62" s="54">
        <f t="shared" si="21"/>
        <v>1658772.2047720007</v>
      </c>
      <c r="T62" s="54">
        <f t="shared" si="21"/>
        <v>1658772.2047720007</v>
      </c>
      <c r="U62" s="54">
        <f t="shared" si="21"/>
        <v>1658772.2047720007</v>
      </c>
      <c r="V62" s="54">
        <f t="shared" si="21"/>
        <v>1658772.2047720007</v>
      </c>
      <c r="W62" s="54">
        <f t="shared" si="21"/>
        <v>1658772.2047720007</v>
      </c>
      <c r="X62" s="54">
        <f t="shared" si="21"/>
        <v>1658772.2047720007</v>
      </c>
      <c r="Y62" s="54">
        <f t="shared" si="21"/>
        <v>1658772.2047720007</v>
      </c>
      <c r="Z62" s="54">
        <f t="shared" si="21"/>
        <v>1658772.2047720007</v>
      </c>
      <c r="AA62" s="54">
        <f t="shared" si="21"/>
        <v>1658772.2047720007</v>
      </c>
      <c r="AB62" s="54">
        <f t="shared" si="21"/>
        <v>1658772.2047720007</v>
      </c>
      <c r="AC62" s="54">
        <f t="shared" si="21"/>
        <v>1658772.2047720007</v>
      </c>
      <c r="AD62" s="54">
        <f t="shared" si="21"/>
        <v>1658772.2047720007</v>
      </c>
      <c r="AE62" s="54">
        <f t="shared" si="21"/>
        <v>1658772.2047720007</v>
      </c>
      <c r="AF62" s="54">
        <f t="shared" si="21"/>
        <v>1658772.2047720007</v>
      </c>
      <c r="AG62" s="54">
        <f t="shared" si="21"/>
        <v>1658772.2047720007</v>
      </c>
      <c r="AH62" s="54">
        <f t="shared" si="21"/>
        <v>1658772.2047720007</v>
      </c>
      <c r="AI62" s="54">
        <f t="shared" si="21"/>
        <v>1658772.2047720007</v>
      </c>
      <c r="AJ62" s="54">
        <f t="shared" si="21"/>
        <v>1658772.2047720007</v>
      </c>
      <c r="AK62" s="54">
        <f t="shared" si="21"/>
        <v>1658772.2047720007</v>
      </c>
      <c r="AL62" s="54">
        <f t="shared" si="21"/>
        <v>1658772.2047720007</v>
      </c>
      <c r="AM62" s="54">
        <f t="shared" si="21"/>
        <v>1658772.2047720007</v>
      </c>
      <c r="AN62" s="5"/>
      <c r="AO62" s="54"/>
      <c r="AP62" s="54"/>
      <c r="AQ62" s="54"/>
      <c r="AR62" s="54"/>
      <c r="AS62" s="54"/>
      <c r="AT62" s="54"/>
      <c r="AU62" s="54"/>
      <c r="AV62" s="54"/>
      <c r="AW62" s="1"/>
    </row>
    <row r="63" spans="1:49" ht="15.75" customHeight="1" x14ac:dyDescent="0.3">
      <c r="A63" s="1"/>
      <c r="B63" s="55" t="s">
        <v>33</v>
      </c>
      <c r="C63" s="55"/>
      <c r="D63" s="55"/>
      <c r="E63" s="55"/>
      <c r="F63" s="55"/>
      <c r="G63" s="56" t="s">
        <v>34</v>
      </c>
      <c r="H63" s="57">
        <v>0.32578942</v>
      </c>
      <c r="I63" s="55"/>
      <c r="J63" s="55"/>
      <c r="K63" s="58"/>
      <c r="L63" s="59">
        <f>SUM(O63:AV63)</f>
        <v>13149987.239616593</v>
      </c>
      <c r="M63" s="1"/>
      <c r="N63" s="1"/>
      <c r="O63" s="59">
        <f t="shared" ref="O63:AM63" si="22">$H63*O62</f>
        <v>180136.81150159694</v>
      </c>
      <c r="P63" s="59">
        <f t="shared" si="22"/>
        <v>540410.43450479128</v>
      </c>
      <c r="Q63" s="59">
        <f t="shared" si="22"/>
        <v>540410.43450479128</v>
      </c>
      <c r="R63" s="59">
        <f t="shared" si="22"/>
        <v>540410.43450479128</v>
      </c>
      <c r="S63" s="59">
        <f t="shared" si="22"/>
        <v>540410.43450479128</v>
      </c>
      <c r="T63" s="59">
        <f t="shared" si="22"/>
        <v>540410.43450479128</v>
      </c>
      <c r="U63" s="59">
        <f t="shared" si="22"/>
        <v>540410.43450479128</v>
      </c>
      <c r="V63" s="59">
        <f t="shared" si="22"/>
        <v>540410.43450479128</v>
      </c>
      <c r="W63" s="59">
        <f t="shared" si="22"/>
        <v>540410.43450479128</v>
      </c>
      <c r="X63" s="59">
        <f t="shared" si="22"/>
        <v>540410.43450479128</v>
      </c>
      <c r="Y63" s="59">
        <f t="shared" si="22"/>
        <v>540410.43450479128</v>
      </c>
      <c r="Z63" s="59">
        <f t="shared" si="22"/>
        <v>540410.43450479128</v>
      </c>
      <c r="AA63" s="59">
        <f t="shared" si="22"/>
        <v>540410.43450479128</v>
      </c>
      <c r="AB63" s="59">
        <f t="shared" si="22"/>
        <v>540410.43450479128</v>
      </c>
      <c r="AC63" s="59">
        <f t="shared" si="22"/>
        <v>540410.43450479128</v>
      </c>
      <c r="AD63" s="59">
        <f t="shared" si="22"/>
        <v>540410.43450479128</v>
      </c>
      <c r="AE63" s="59">
        <f t="shared" si="22"/>
        <v>540410.43450479128</v>
      </c>
      <c r="AF63" s="59">
        <f t="shared" si="22"/>
        <v>540410.43450479128</v>
      </c>
      <c r="AG63" s="59">
        <f t="shared" si="22"/>
        <v>540410.43450479128</v>
      </c>
      <c r="AH63" s="59">
        <f t="shared" si="22"/>
        <v>540410.43450479128</v>
      </c>
      <c r="AI63" s="59">
        <f t="shared" si="22"/>
        <v>540410.43450479128</v>
      </c>
      <c r="AJ63" s="59">
        <f t="shared" si="22"/>
        <v>540410.43450479128</v>
      </c>
      <c r="AK63" s="59">
        <f t="shared" si="22"/>
        <v>540410.43450479128</v>
      </c>
      <c r="AL63" s="59">
        <f t="shared" si="22"/>
        <v>540410.43450479128</v>
      </c>
      <c r="AM63" s="59">
        <f t="shared" si="22"/>
        <v>540410.43450479128</v>
      </c>
      <c r="AN63" s="5"/>
      <c r="AO63" s="59"/>
      <c r="AP63" s="59"/>
      <c r="AQ63" s="59"/>
      <c r="AR63" s="59"/>
      <c r="AS63" s="59"/>
      <c r="AT63" s="59"/>
      <c r="AU63" s="59"/>
      <c r="AV63" s="59"/>
      <c r="AW63" s="1"/>
    </row>
    <row r="64" spans="1:49" ht="15.75" customHeight="1" x14ac:dyDescent="0.3">
      <c r="A64" s="60"/>
      <c r="B64" s="61" t="s">
        <v>35</v>
      </c>
      <c r="C64" s="61"/>
      <c r="D64" s="61"/>
      <c r="E64" s="61"/>
      <c r="F64" s="61"/>
      <c r="G64" s="61"/>
      <c r="H64" s="61"/>
      <c r="I64" s="61"/>
      <c r="J64" s="61"/>
      <c r="K64" s="61"/>
      <c r="L64" s="62">
        <v>0</v>
      </c>
      <c r="M64" s="1"/>
      <c r="N64" s="1"/>
      <c r="O64" s="62">
        <v>0</v>
      </c>
      <c r="P64" s="62">
        <f t="shared" ref="P64:AM64" si="23">O69</f>
        <v>-3054272.9011254841</v>
      </c>
      <c r="Q64" s="62">
        <f t="shared" si="23"/>
        <v>-855090.2618486922</v>
      </c>
      <c r="R64" s="62">
        <f t="shared" si="23"/>
        <v>-399608.14805285726</v>
      </c>
      <c r="S64" s="62">
        <f t="shared" si="23"/>
        <v>101112.85193262185</v>
      </c>
      <c r="T64" s="62">
        <f t="shared" si="23"/>
        <v>-734441.17534739396</v>
      </c>
      <c r="U64" s="62">
        <f t="shared" si="23"/>
        <v>-266976.08762612566</v>
      </c>
      <c r="V64" s="62">
        <f t="shared" si="23"/>
        <v>246918.04584804276</v>
      </c>
      <c r="W64" s="62">
        <f t="shared" si="23"/>
        <v>677851.76018808316</v>
      </c>
      <c r="X64" s="62">
        <f t="shared" si="23"/>
        <v>1078127.2706125053</v>
      </c>
      <c r="Y64" s="62">
        <f t="shared" si="23"/>
        <v>1725618.2587020043</v>
      </c>
      <c r="Z64" s="62">
        <f t="shared" si="23"/>
        <v>1061572.7766324312</v>
      </c>
      <c r="AA64" s="62">
        <f t="shared" si="23"/>
        <v>1707419.5577456108</v>
      </c>
      <c r="AB64" s="62">
        <f t="shared" si="23"/>
        <v>1845562.2402976342</v>
      </c>
      <c r="AC64" s="62">
        <f t="shared" si="23"/>
        <v>2569275.5479908851</v>
      </c>
      <c r="AD64" s="62">
        <f t="shared" si="23"/>
        <v>3364868.7011687849</v>
      </c>
      <c r="AE64" s="62">
        <f t="shared" si="23"/>
        <v>2729780.0472164964</v>
      </c>
      <c r="AF64" s="62">
        <f t="shared" si="23"/>
        <v>3500083.7508252375</v>
      </c>
      <c r="AG64" s="62">
        <f t="shared" si="23"/>
        <v>4221750.8719150592</v>
      </c>
      <c r="AH64" s="62">
        <f t="shared" si="23"/>
        <v>5181469.3350578407</v>
      </c>
      <c r="AI64" s="62">
        <f t="shared" si="23"/>
        <v>6236507.8843537262</v>
      </c>
      <c r="AJ64" s="62">
        <f t="shared" si="23"/>
        <v>6010472.5792240575</v>
      </c>
      <c r="AK64" s="62">
        <f t="shared" si="23"/>
        <v>7147848.4635716798</v>
      </c>
      <c r="AL64" s="62">
        <f t="shared" si="23"/>
        <v>8264188.6874415092</v>
      </c>
      <c r="AM64" s="62">
        <f t="shared" si="23"/>
        <v>9625405.6479485314</v>
      </c>
      <c r="AN64" s="5"/>
      <c r="AO64" s="62"/>
      <c r="AP64" s="62"/>
      <c r="AQ64" s="62"/>
      <c r="AR64" s="62"/>
      <c r="AS64" s="62"/>
      <c r="AT64" s="62"/>
      <c r="AU64" s="62"/>
      <c r="AV64" s="62"/>
      <c r="AW64" s="60"/>
    </row>
    <row r="65" spans="1:50" ht="15.75" customHeight="1" x14ac:dyDescent="0.3">
      <c r="A65" s="1"/>
      <c r="B65" s="63" t="s">
        <v>36</v>
      </c>
      <c r="C65" s="53"/>
      <c r="D65" s="53"/>
      <c r="E65" s="53"/>
      <c r="F65" s="53"/>
      <c r="G65" s="53"/>
      <c r="H65" s="53"/>
      <c r="I65" s="53"/>
      <c r="J65" s="53"/>
      <c r="K65" s="53"/>
      <c r="L65" s="54">
        <f t="shared" ref="L65:L68" si="24">SUM(O65:AV65)</f>
        <v>-10156757.279632637</v>
      </c>
      <c r="M65" s="1"/>
      <c r="N65" s="1"/>
      <c r="O65" s="54">
        <f t="shared" ref="O65:AM65" si="25">-O60</f>
        <v>-3234409.7126270812</v>
      </c>
      <c r="P65" s="54">
        <f t="shared" si="25"/>
        <v>0</v>
      </c>
      <c r="Q65" s="54">
        <f t="shared" si="25"/>
        <v>0</v>
      </c>
      <c r="R65" s="54">
        <f t="shared" si="25"/>
        <v>0</v>
      </c>
      <c r="S65" s="54">
        <f t="shared" si="25"/>
        <v>-1386007.0796227944</v>
      </c>
      <c r="T65" s="54">
        <f t="shared" si="25"/>
        <v>0</v>
      </c>
      <c r="U65" s="54">
        <f t="shared" si="25"/>
        <v>0</v>
      </c>
      <c r="V65" s="54">
        <f t="shared" si="25"/>
        <v>-134000.83875461042</v>
      </c>
      <c r="W65" s="54">
        <f t="shared" si="25"/>
        <v>-207459.76012507069</v>
      </c>
      <c r="X65" s="54">
        <f t="shared" si="25"/>
        <v>0</v>
      </c>
      <c r="Y65" s="54">
        <f t="shared" si="25"/>
        <v>-1375845.8474799362</v>
      </c>
      <c r="Z65" s="54">
        <f t="shared" si="25"/>
        <v>0</v>
      </c>
      <c r="AA65" s="54">
        <f t="shared" si="25"/>
        <v>-571850.17179164919</v>
      </c>
      <c r="AB65" s="54">
        <f t="shared" si="25"/>
        <v>0</v>
      </c>
      <c r="AC65" s="54">
        <f t="shared" si="25"/>
        <v>0</v>
      </c>
      <c r="AD65" s="54">
        <f t="shared" si="25"/>
        <v>-1509700.8224103535</v>
      </c>
      <c r="AE65" s="54">
        <f t="shared" si="25"/>
        <v>-41230.898318665204</v>
      </c>
      <c r="AF65" s="54">
        <f t="shared" si="25"/>
        <v>-166374.72563059852</v>
      </c>
      <c r="AG65" s="54">
        <f t="shared" si="25"/>
        <v>0</v>
      </c>
      <c r="AH65" s="54">
        <f t="shared" si="25"/>
        <v>0</v>
      </c>
      <c r="AI65" s="54">
        <f t="shared" si="25"/>
        <v>-1385861.2157986015</v>
      </c>
      <c r="AJ65" s="54">
        <f t="shared" si="25"/>
        <v>0</v>
      </c>
      <c r="AK65" s="54">
        <f t="shared" si="25"/>
        <v>-134000.83875461042</v>
      </c>
      <c r="AL65" s="54">
        <f t="shared" si="25"/>
        <v>0</v>
      </c>
      <c r="AM65" s="54">
        <f t="shared" si="25"/>
        <v>-10015.368318665205</v>
      </c>
      <c r="AN65" s="5"/>
      <c r="AO65" s="54"/>
      <c r="AP65" s="54"/>
      <c r="AQ65" s="54"/>
      <c r="AR65" s="54"/>
      <c r="AS65" s="54"/>
      <c r="AT65" s="54"/>
      <c r="AU65" s="54"/>
      <c r="AV65" s="54"/>
      <c r="AW65" s="1"/>
    </row>
    <row r="66" spans="1:50" ht="15.75" customHeight="1" x14ac:dyDescent="0.3">
      <c r="A66" s="1"/>
      <c r="B66" s="63" t="s">
        <v>37</v>
      </c>
      <c r="C66" s="53"/>
      <c r="D66" s="53"/>
      <c r="E66" s="53"/>
      <c r="F66" s="53"/>
      <c r="G66" s="53"/>
      <c r="H66" s="53"/>
      <c r="I66" s="53"/>
      <c r="J66" s="53"/>
      <c r="K66" s="53"/>
      <c r="L66" s="54">
        <f t="shared" si="24"/>
        <v>0</v>
      </c>
      <c r="M66" s="1"/>
      <c r="N66" s="1"/>
      <c r="O66" s="54">
        <f t="shared" ref="O66:AM66" si="26">O61</f>
        <v>0</v>
      </c>
      <c r="P66" s="54">
        <f t="shared" si="26"/>
        <v>0</v>
      </c>
      <c r="Q66" s="54">
        <f t="shared" si="26"/>
        <v>0</v>
      </c>
      <c r="R66" s="54">
        <f t="shared" si="26"/>
        <v>0</v>
      </c>
      <c r="S66" s="54">
        <f t="shared" si="26"/>
        <v>0</v>
      </c>
      <c r="T66" s="54">
        <f t="shared" si="26"/>
        <v>0</v>
      </c>
      <c r="U66" s="54">
        <f t="shared" si="26"/>
        <v>0</v>
      </c>
      <c r="V66" s="54">
        <f t="shared" si="26"/>
        <v>0</v>
      </c>
      <c r="W66" s="54">
        <f t="shared" si="26"/>
        <v>0</v>
      </c>
      <c r="X66" s="54">
        <f t="shared" si="26"/>
        <v>0</v>
      </c>
      <c r="Y66" s="54">
        <f t="shared" si="26"/>
        <v>0</v>
      </c>
      <c r="Z66" s="54">
        <f t="shared" si="26"/>
        <v>0</v>
      </c>
      <c r="AA66" s="54">
        <f t="shared" si="26"/>
        <v>0</v>
      </c>
      <c r="AB66" s="54">
        <f t="shared" si="26"/>
        <v>0</v>
      </c>
      <c r="AC66" s="54">
        <f t="shared" si="26"/>
        <v>0</v>
      </c>
      <c r="AD66" s="54">
        <f t="shared" si="26"/>
        <v>0</v>
      </c>
      <c r="AE66" s="54">
        <f t="shared" si="26"/>
        <v>0</v>
      </c>
      <c r="AF66" s="54">
        <f t="shared" si="26"/>
        <v>0</v>
      </c>
      <c r="AG66" s="54">
        <f t="shared" si="26"/>
        <v>0</v>
      </c>
      <c r="AH66" s="54">
        <f t="shared" si="26"/>
        <v>0</v>
      </c>
      <c r="AI66" s="54">
        <f t="shared" si="26"/>
        <v>0</v>
      </c>
      <c r="AJ66" s="54">
        <f t="shared" si="26"/>
        <v>0</v>
      </c>
      <c r="AK66" s="54">
        <f t="shared" si="26"/>
        <v>0</v>
      </c>
      <c r="AL66" s="54">
        <f t="shared" si="26"/>
        <v>0</v>
      </c>
      <c r="AM66" s="54">
        <f t="shared" si="26"/>
        <v>0</v>
      </c>
      <c r="AN66" s="5"/>
      <c r="AO66" s="54"/>
      <c r="AP66" s="54"/>
      <c r="AQ66" s="54"/>
      <c r="AR66" s="54"/>
      <c r="AS66" s="54"/>
      <c r="AT66" s="54"/>
      <c r="AU66" s="54"/>
      <c r="AV66" s="54"/>
      <c r="AW66" s="1"/>
    </row>
    <row r="67" spans="1:50" ht="15.75" customHeight="1" x14ac:dyDescent="0.3">
      <c r="A67" s="1"/>
      <c r="B67" s="63" t="s">
        <v>38</v>
      </c>
      <c r="C67" s="53"/>
      <c r="D67" s="53"/>
      <c r="E67" s="53"/>
      <c r="F67" s="53"/>
      <c r="G67" s="64" t="s">
        <v>39</v>
      </c>
      <c r="H67" s="607">
        <f>WACC!$D$35</f>
        <v>9.9320884002751519E-2</v>
      </c>
      <c r="I67" s="65"/>
      <c r="J67" s="53"/>
      <c r="K67" s="53"/>
      <c r="L67" s="54">
        <f t="shared" si="24"/>
        <v>8118574.5519900303</v>
      </c>
      <c r="M67" s="1"/>
      <c r="N67" s="1"/>
      <c r="O67" s="54">
        <f>$H67*O64</f>
        <v>0</v>
      </c>
      <c r="P67" s="54">
        <f>P62</f>
        <v>1658772.2047720007</v>
      </c>
      <c r="Q67" s="54">
        <f t="shared" ref="Q67:AM67" si="27">$H67*Q64</f>
        <v>-84928.32070895638</v>
      </c>
      <c r="R67" s="54">
        <f t="shared" si="27"/>
        <v>-39689.434519312192</v>
      </c>
      <c r="S67" s="54">
        <f t="shared" si="27"/>
        <v>10042.617837987325</v>
      </c>
      <c r="T67" s="54">
        <f t="shared" si="27"/>
        <v>-72945.346783523011</v>
      </c>
      <c r="U67" s="54">
        <f t="shared" si="27"/>
        <v>-26516.301030622853</v>
      </c>
      <c r="V67" s="54">
        <f t="shared" si="27"/>
        <v>24524.118589859536</v>
      </c>
      <c r="W67" s="54">
        <f t="shared" si="27"/>
        <v>67324.836044701544</v>
      </c>
      <c r="X67" s="54">
        <f t="shared" si="27"/>
        <v>107080.55358470773</v>
      </c>
      <c r="Y67" s="54">
        <f t="shared" si="27"/>
        <v>171389.93090557185</v>
      </c>
      <c r="Z67" s="54">
        <f t="shared" si="27"/>
        <v>105436.34660838854</v>
      </c>
      <c r="AA67" s="54">
        <f t="shared" si="27"/>
        <v>169582.41983888112</v>
      </c>
      <c r="AB67" s="54">
        <f t="shared" si="27"/>
        <v>183302.87318845955</v>
      </c>
      <c r="AC67" s="54">
        <f t="shared" si="27"/>
        <v>255182.71867310855</v>
      </c>
      <c r="AD67" s="54">
        <f t="shared" si="27"/>
        <v>334201.73395327403</v>
      </c>
      <c r="AE67" s="54">
        <f t="shared" si="27"/>
        <v>271124.16742261522</v>
      </c>
      <c r="AF67" s="54">
        <f t="shared" si="27"/>
        <v>347631.41221562884</v>
      </c>
      <c r="AG67" s="54">
        <f t="shared" si="27"/>
        <v>419308.0286379907</v>
      </c>
      <c r="AH67" s="54">
        <f t="shared" si="27"/>
        <v>514628.11479109386</v>
      </c>
      <c r="AI67" s="54">
        <f t="shared" si="27"/>
        <v>619415.47616414167</v>
      </c>
      <c r="AJ67" s="54">
        <f t="shared" si="27"/>
        <v>596965.44984283135</v>
      </c>
      <c r="AK67" s="54">
        <f t="shared" si="27"/>
        <v>709930.62811964843</v>
      </c>
      <c r="AL67" s="54">
        <f t="shared" si="27"/>
        <v>820806.52600222942</v>
      </c>
      <c r="AM67" s="54">
        <f t="shared" si="27"/>
        <v>956003.79783932539</v>
      </c>
      <c r="AN67" s="5"/>
      <c r="AO67" s="54"/>
      <c r="AP67" s="54"/>
      <c r="AQ67" s="54"/>
      <c r="AR67" s="54"/>
      <c r="AS67" s="54"/>
      <c r="AT67" s="54"/>
      <c r="AU67" s="54"/>
      <c r="AV67" s="54"/>
      <c r="AW67" s="1"/>
    </row>
    <row r="68" spans="1:50" ht="15.75" customHeight="1" x14ac:dyDescent="0.3">
      <c r="A68" s="1"/>
      <c r="B68" s="63" t="s">
        <v>40</v>
      </c>
      <c r="C68" s="53"/>
      <c r="D68" s="53"/>
      <c r="E68" s="53"/>
      <c r="F68" s="53"/>
      <c r="G68" s="53"/>
      <c r="H68" s="53"/>
      <c r="I68" s="53"/>
      <c r="J68" s="53"/>
      <c r="K68" s="53"/>
      <c r="L68" s="54">
        <f t="shared" si="24"/>
        <v>13149987.239616593</v>
      </c>
      <c r="M68" s="1"/>
      <c r="N68" s="1"/>
      <c r="O68" s="54">
        <f t="shared" ref="O68:AM68" si="28">O63</f>
        <v>180136.81150159694</v>
      </c>
      <c r="P68" s="54">
        <f t="shared" si="28"/>
        <v>540410.43450479128</v>
      </c>
      <c r="Q68" s="54">
        <f t="shared" si="28"/>
        <v>540410.43450479128</v>
      </c>
      <c r="R68" s="54">
        <f t="shared" si="28"/>
        <v>540410.43450479128</v>
      </c>
      <c r="S68" s="54">
        <f t="shared" si="28"/>
        <v>540410.43450479128</v>
      </c>
      <c r="T68" s="54">
        <f t="shared" si="28"/>
        <v>540410.43450479128</v>
      </c>
      <c r="U68" s="54">
        <f t="shared" si="28"/>
        <v>540410.43450479128</v>
      </c>
      <c r="V68" s="54">
        <f t="shared" si="28"/>
        <v>540410.43450479128</v>
      </c>
      <c r="W68" s="54">
        <f t="shared" si="28"/>
        <v>540410.43450479128</v>
      </c>
      <c r="X68" s="54">
        <f t="shared" si="28"/>
        <v>540410.43450479128</v>
      </c>
      <c r="Y68" s="54">
        <f t="shared" si="28"/>
        <v>540410.43450479128</v>
      </c>
      <c r="Z68" s="54">
        <f t="shared" si="28"/>
        <v>540410.43450479128</v>
      </c>
      <c r="AA68" s="54">
        <f t="shared" si="28"/>
        <v>540410.43450479128</v>
      </c>
      <c r="AB68" s="54">
        <f t="shared" si="28"/>
        <v>540410.43450479128</v>
      </c>
      <c r="AC68" s="54">
        <f t="shared" si="28"/>
        <v>540410.43450479128</v>
      </c>
      <c r="AD68" s="54">
        <f t="shared" si="28"/>
        <v>540410.43450479128</v>
      </c>
      <c r="AE68" s="54">
        <f t="shared" si="28"/>
        <v>540410.43450479128</v>
      </c>
      <c r="AF68" s="54">
        <f t="shared" si="28"/>
        <v>540410.43450479128</v>
      </c>
      <c r="AG68" s="54">
        <f t="shared" si="28"/>
        <v>540410.43450479128</v>
      </c>
      <c r="AH68" s="54">
        <f t="shared" si="28"/>
        <v>540410.43450479128</v>
      </c>
      <c r="AI68" s="54">
        <f t="shared" si="28"/>
        <v>540410.43450479128</v>
      </c>
      <c r="AJ68" s="54">
        <f t="shared" si="28"/>
        <v>540410.43450479128</v>
      </c>
      <c r="AK68" s="54">
        <f t="shared" si="28"/>
        <v>540410.43450479128</v>
      </c>
      <c r="AL68" s="54">
        <f t="shared" si="28"/>
        <v>540410.43450479128</v>
      </c>
      <c r="AM68" s="54">
        <f t="shared" si="28"/>
        <v>540410.43450479128</v>
      </c>
      <c r="AN68" s="5"/>
      <c r="AO68" s="54"/>
      <c r="AP68" s="54"/>
      <c r="AQ68" s="54"/>
      <c r="AR68" s="54"/>
      <c r="AS68" s="54"/>
      <c r="AT68" s="54"/>
      <c r="AU68" s="54"/>
      <c r="AV68" s="54"/>
      <c r="AW68" s="1"/>
    </row>
    <row r="69" spans="1:50" ht="15.75" customHeight="1" x14ac:dyDescent="0.3">
      <c r="A69" s="60"/>
      <c r="B69" s="66" t="s">
        <v>41</v>
      </c>
      <c r="C69" s="66"/>
      <c r="D69" s="66"/>
      <c r="E69" s="66"/>
      <c r="F69" s="66"/>
      <c r="G69" s="66"/>
      <c r="H69" s="66"/>
      <c r="I69" s="66"/>
      <c r="J69" s="66"/>
      <c r="K69" s="66"/>
      <c r="L69" s="67">
        <f>SUM(L64:L68)</f>
        <v>11111804.511973986</v>
      </c>
      <c r="M69" s="1"/>
      <c r="N69" s="1"/>
      <c r="O69" s="67">
        <f t="shared" ref="O69:AM69" si="29">SUM(O64:O68)</f>
        <v>-3054272.9011254841</v>
      </c>
      <c r="P69" s="67">
        <f t="shared" si="29"/>
        <v>-855090.2618486922</v>
      </c>
      <c r="Q69" s="67">
        <f t="shared" si="29"/>
        <v>-399608.14805285726</v>
      </c>
      <c r="R69" s="67">
        <f t="shared" si="29"/>
        <v>101112.85193262185</v>
      </c>
      <c r="S69" s="67">
        <f t="shared" si="29"/>
        <v>-734441.17534739396</v>
      </c>
      <c r="T69" s="67">
        <f t="shared" si="29"/>
        <v>-266976.08762612566</v>
      </c>
      <c r="U69" s="67">
        <f t="shared" si="29"/>
        <v>246918.04584804276</v>
      </c>
      <c r="V69" s="67">
        <f t="shared" si="29"/>
        <v>677851.76018808316</v>
      </c>
      <c r="W69" s="67">
        <f t="shared" si="29"/>
        <v>1078127.2706125053</v>
      </c>
      <c r="X69" s="67">
        <f t="shared" si="29"/>
        <v>1725618.2587020043</v>
      </c>
      <c r="Y69" s="67">
        <f t="shared" si="29"/>
        <v>1061572.7766324312</v>
      </c>
      <c r="Z69" s="67">
        <f t="shared" si="29"/>
        <v>1707419.5577456108</v>
      </c>
      <c r="AA69" s="67">
        <f t="shared" si="29"/>
        <v>1845562.2402976342</v>
      </c>
      <c r="AB69" s="67">
        <f t="shared" si="29"/>
        <v>2569275.5479908851</v>
      </c>
      <c r="AC69" s="67">
        <f t="shared" si="29"/>
        <v>3364868.7011687849</v>
      </c>
      <c r="AD69" s="67">
        <f t="shared" si="29"/>
        <v>2729780.0472164964</v>
      </c>
      <c r="AE69" s="67">
        <f t="shared" si="29"/>
        <v>3500083.7508252375</v>
      </c>
      <c r="AF69" s="67">
        <f t="shared" si="29"/>
        <v>4221750.8719150592</v>
      </c>
      <c r="AG69" s="67">
        <f t="shared" si="29"/>
        <v>5181469.3350578407</v>
      </c>
      <c r="AH69" s="67">
        <f t="shared" si="29"/>
        <v>6236507.8843537262</v>
      </c>
      <c r="AI69" s="67">
        <f t="shared" si="29"/>
        <v>6010472.5792240575</v>
      </c>
      <c r="AJ69" s="67">
        <f t="shared" si="29"/>
        <v>7147848.4635716798</v>
      </c>
      <c r="AK69" s="67">
        <f t="shared" si="29"/>
        <v>8264188.6874415092</v>
      </c>
      <c r="AL69" s="67">
        <f t="shared" si="29"/>
        <v>9625405.6479485314</v>
      </c>
      <c r="AM69" s="67">
        <f t="shared" si="29"/>
        <v>11111804.511973983</v>
      </c>
      <c r="AN69" s="5"/>
      <c r="AO69" s="67"/>
      <c r="AP69" s="67"/>
      <c r="AQ69" s="67"/>
      <c r="AR69" s="67"/>
      <c r="AS69" s="67"/>
      <c r="AT69" s="67"/>
      <c r="AU69" s="67"/>
      <c r="AV69" s="67"/>
      <c r="AW69" s="60"/>
    </row>
    <row r="70" spans="1:50" ht="15.75" customHeight="1" x14ac:dyDescent="0.3">
      <c r="A70" s="60"/>
      <c r="B70" s="68" t="s">
        <v>42</v>
      </c>
      <c r="C70" s="68"/>
      <c r="D70" s="68"/>
      <c r="E70" s="68"/>
      <c r="F70" s="68"/>
      <c r="G70" s="68"/>
      <c r="H70" s="68"/>
      <c r="I70" s="68"/>
      <c r="J70" s="68"/>
      <c r="K70" s="68"/>
      <c r="L70" s="69">
        <f>SUM(O70:AV70)</f>
        <v>21268561.79160662</v>
      </c>
      <c r="M70" s="1"/>
      <c r="N70" s="1"/>
      <c r="O70" s="69">
        <f t="shared" ref="O70:AM70" si="30">MAX(O68+O67,0)</f>
        <v>180136.81150159694</v>
      </c>
      <c r="P70" s="69">
        <f t="shared" si="30"/>
        <v>2199182.6392767918</v>
      </c>
      <c r="Q70" s="69">
        <f t="shared" si="30"/>
        <v>455482.11379583488</v>
      </c>
      <c r="R70" s="69">
        <f t="shared" si="30"/>
        <v>500720.99998547911</v>
      </c>
      <c r="S70" s="69">
        <f t="shared" si="30"/>
        <v>550453.05234277865</v>
      </c>
      <c r="T70" s="69">
        <f t="shared" si="30"/>
        <v>467465.0877212683</v>
      </c>
      <c r="U70" s="69">
        <f t="shared" si="30"/>
        <v>513894.13347416843</v>
      </c>
      <c r="V70" s="69">
        <f t="shared" si="30"/>
        <v>564934.55309465085</v>
      </c>
      <c r="W70" s="69">
        <f t="shared" si="30"/>
        <v>607735.27054949279</v>
      </c>
      <c r="X70" s="69">
        <f t="shared" si="30"/>
        <v>647490.98808949906</v>
      </c>
      <c r="Y70" s="69">
        <f t="shared" si="30"/>
        <v>711800.36541036307</v>
      </c>
      <c r="Z70" s="69">
        <f t="shared" si="30"/>
        <v>645846.78111317987</v>
      </c>
      <c r="AA70" s="69">
        <f t="shared" si="30"/>
        <v>709992.8543436724</v>
      </c>
      <c r="AB70" s="69">
        <f t="shared" si="30"/>
        <v>723713.30769325083</v>
      </c>
      <c r="AC70" s="69">
        <f t="shared" si="30"/>
        <v>795593.15317789977</v>
      </c>
      <c r="AD70" s="69">
        <f t="shared" si="30"/>
        <v>874612.16845806525</v>
      </c>
      <c r="AE70" s="69">
        <f t="shared" si="30"/>
        <v>811534.6019274065</v>
      </c>
      <c r="AF70" s="69">
        <f t="shared" si="30"/>
        <v>888041.84672042006</v>
      </c>
      <c r="AG70" s="69">
        <f t="shared" si="30"/>
        <v>959718.46314278198</v>
      </c>
      <c r="AH70" s="69">
        <f t="shared" si="30"/>
        <v>1055038.549295885</v>
      </c>
      <c r="AI70" s="69">
        <f t="shared" si="30"/>
        <v>1159825.9106689328</v>
      </c>
      <c r="AJ70" s="69">
        <f t="shared" si="30"/>
        <v>1137375.8843476227</v>
      </c>
      <c r="AK70" s="69">
        <f t="shared" si="30"/>
        <v>1250341.0626244396</v>
      </c>
      <c r="AL70" s="69">
        <f t="shared" si="30"/>
        <v>1361216.9605070208</v>
      </c>
      <c r="AM70" s="69">
        <f t="shared" si="30"/>
        <v>1496414.2323441165</v>
      </c>
      <c r="AN70" s="5"/>
      <c r="AO70" s="69"/>
      <c r="AP70" s="69"/>
      <c r="AQ70" s="69"/>
      <c r="AR70" s="69"/>
      <c r="AS70" s="69"/>
      <c r="AT70" s="69"/>
      <c r="AU70" s="69"/>
      <c r="AV70" s="69"/>
      <c r="AW70" s="1"/>
    </row>
    <row r="71" spans="1:50" ht="15.75" customHeight="1" x14ac:dyDescent="0.3">
      <c r="A71" s="60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5"/>
      <c r="AO71" s="1"/>
      <c r="AP71" s="1"/>
      <c r="AQ71" s="1"/>
      <c r="AR71" s="1"/>
      <c r="AS71" s="1"/>
      <c r="AT71" s="1"/>
      <c r="AU71" s="1"/>
      <c r="AV71" s="1"/>
      <c r="AW71" s="1"/>
    </row>
    <row r="72" spans="1:50" ht="15.75" customHeight="1" x14ac:dyDescent="0.3">
      <c r="A72" s="60"/>
      <c r="B72" s="9" t="s">
        <v>43</v>
      </c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"/>
      <c r="N72" s="1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5"/>
      <c r="AO72" s="10"/>
      <c r="AP72" s="10"/>
      <c r="AQ72" s="10"/>
      <c r="AR72" s="10"/>
      <c r="AS72" s="10"/>
      <c r="AT72" s="10"/>
      <c r="AU72" s="10"/>
      <c r="AV72" s="10"/>
      <c r="AW72" s="1"/>
    </row>
    <row r="73" spans="1:50" ht="15.75" customHeight="1" x14ac:dyDescent="0.3">
      <c r="A73" s="60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5"/>
      <c r="AO73" s="1"/>
      <c r="AP73" s="1"/>
      <c r="AQ73" s="1"/>
      <c r="AR73" s="1"/>
      <c r="AS73" s="1"/>
      <c r="AT73" s="1"/>
      <c r="AU73" s="1"/>
      <c r="AV73" s="1"/>
      <c r="AW73" s="1"/>
    </row>
    <row r="74" spans="1:50" ht="15.75" customHeight="1" x14ac:dyDescent="0.3">
      <c r="A74" s="60"/>
      <c r="B74" s="12" t="s">
        <v>44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"/>
      <c r="N74" s="1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"/>
      <c r="AO74" s="50"/>
      <c r="AP74" s="50"/>
      <c r="AQ74" s="50"/>
      <c r="AR74" s="50"/>
      <c r="AS74" s="50"/>
      <c r="AT74" s="50"/>
      <c r="AU74" s="50"/>
      <c r="AV74" s="50"/>
      <c r="AW74" s="1"/>
    </row>
    <row r="75" spans="1:50" ht="15.75" customHeight="1" x14ac:dyDescent="0.3">
      <c r="A75" s="60"/>
      <c r="B75" s="61" t="s">
        <v>45</v>
      </c>
      <c r="C75" s="61"/>
      <c r="D75" s="61"/>
      <c r="E75" s="61"/>
      <c r="F75" s="70" t="s">
        <v>46</v>
      </c>
      <c r="G75" s="231">
        <v>138231.0170643334</v>
      </c>
      <c r="H75" s="71">
        <v>0</v>
      </c>
      <c r="I75" s="174">
        <f>G75*(1+H75)</f>
        <v>138231.0170643334</v>
      </c>
      <c r="J75" s="232">
        <f>I75*12</f>
        <v>1658772.2047720007</v>
      </c>
      <c r="K75" s="61"/>
      <c r="L75" s="174">
        <f t="shared" ref="L75:L78" si="31">SUM(O75:AV75)</f>
        <v>40363456.982785352</v>
      </c>
      <c r="M75" s="1"/>
      <c r="N75" s="1"/>
      <c r="O75" s="222">
        <f t="shared" ref="O75:AM75" si="32">SUM(O76)</f>
        <v>552924.06825733301</v>
      </c>
      <c r="P75" s="222">
        <f t="shared" si="32"/>
        <v>1658772.2047720007</v>
      </c>
      <c r="Q75" s="62">
        <f t="shared" si="32"/>
        <v>1658772.2047720007</v>
      </c>
      <c r="R75" s="62">
        <f t="shared" si="32"/>
        <v>1658772.2047720007</v>
      </c>
      <c r="S75" s="62">
        <f t="shared" si="32"/>
        <v>1658772.2047720007</v>
      </c>
      <c r="T75" s="62">
        <f t="shared" si="32"/>
        <v>1658772.2047720007</v>
      </c>
      <c r="U75" s="62">
        <f t="shared" si="32"/>
        <v>1658772.2047720007</v>
      </c>
      <c r="V75" s="62">
        <f t="shared" si="32"/>
        <v>1658772.2047720007</v>
      </c>
      <c r="W75" s="62">
        <f t="shared" si="32"/>
        <v>1658772.2047720007</v>
      </c>
      <c r="X75" s="62">
        <f t="shared" si="32"/>
        <v>1658772.2047720007</v>
      </c>
      <c r="Y75" s="62">
        <f t="shared" si="32"/>
        <v>1658772.2047720007</v>
      </c>
      <c r="Z75" s="62">
        <f t="shared" si="32"/>
        <v>1658772.2047720007</v>
      </c>
      <c r="AA75" s="62">
        <f t="shared" si="32"/>
        <v>1658772.2047720007</v>
      </c>
      <c r="AB75" s="62">
        <f t="shared" si="32"/>
        <v>1658772.2047720007</v>
      </c>
      <c r="AC75" s="62">
        <f t="shared" si="32"/>
        <v>1658772.2047720007</v>
      </c>
      <c r="AD75" s="62">
        <f t="shared" si="32"/>
        <v>1658772.2047720007</v>
      </c>
      <c r="AE75" s="62">
        <f t="shared" si="32"/>
        <v>1658772.2047720007</v>
      </c>
      <c r="AF75" s="62">
        <f t="shared" si="32"/>
        <v>1658772.2047720007</v>
      </c>
      <c r="AG75" s="62">
        <f t="shared" si="32"/>
        <v>1658772.2047720007</v>
      </c>
      <c r="AH75" s="62">
        <f t="shared" si="32"/>
        <v>1658772.2047720007</v>
      </c>
      <c r="AI75" s="62">
        <f t="shared" si="32"/>
        <v>1658772.2047720007</v>
      </c>
      <c r="AJ75" s="62">
        <f t="shared" si="32"/>
        <v>1658772.2047720007</v>
      </c>
      <c r="AK75" s="62">
        <f t="shared" si="32"/>
        <v>1658772.2047720007</v>
      </c>
      <c r="AL75" s="62">
        <f t="shared" si="32"/>
        <v>1658772.2047720007</v>
      </c>
      <c r="AM75" s="62">
        <f t="shared" si="32"/>
        <v>1658772.2047720007</v>
      </c>
      <c r="AN75" s="5"/>
      <c r="AO75" s="62"/>
      <c r="AP75" s="62"/>
      <c r="AQ75" s="62"/>
      <c r="AR75" s="62"/>
      <c r="AS75" s="62"/>
      <c r="AT75" s="62"/>
      <c r="AU75" s="62"/>
      <c r="AV75" s="62"/>
      <c r="AW75" s="60"/>
    </row>
    <row r="76" spans="1:50" ht="15.75" customHeight="1" x14ac:dyDescent="0.3">
      <c r="A76" s="60"/>
      <c r="B76" s="51" t="s">
        <v>45</v>
      </c>
      <c r="C76" s="51"/>
      <c r="D76" s="51"/>
      <c r="E76" s="51"/>
      <c r="F76" s="72" t="s">
        <v>47</v>
      </c>
      <c r="G76" s="216">
        <f>WACC!$D$35</f>
        <v>9.9320884002751519E-2</v>
      </c>
      <c r="H76" s="73">
        <v>1</v>
      </c>
      <c r="I76" s="52">
        <f>$H76*I$75</f>
        <v>138231.0170643334</v>
      </c>
      <c r="J76" s="51"/>
      <c r="K76" s="51"/>
      <c r="L76" s="227">
        <f t="shared" si="31"/>
        <v>40363456.982785352</v>
      </c>
      <c r="M76" s="1"/>
      <c r="N76" s="1"/>
      <c r="O76" s="52">
        <f t="shared" ref="O76:AM76" si="33">$I76*O78*12</f>
        <v>552924.06825733301</v>
      </c>
      <c r="P76" s="52">
        <f t="shared" si="33"/>
        <v>1658772.2047720007</v>
      </c>
      <c r="Q76" s="52">
        <f t="shared" si="33"/>
        <v>1658772.2047720007</v>
      </c>
      <c r="R76" s="52">
        <f t="shared" si="33"/>
        <v>1658772.2047720007</v>
      </c>
      <c r="S76" s="52">
        <f t="shared" si="33"/>
        <v>1658772.2047720007</v>
      </c>
      <c r="T76" s="52">
        <f t="shared" si="33"/>
        <v>1658772.2047720007</v>
      </c>
      <c r="U76" s="52">
        <f t="shared" si="33"/>
        <v>1658772.2047720007</v>
      </c>
      <c r="V76" s="52">
        <f t="shared" si="33"/>
        <v>1658772.2047720007</v>
      </c>
      <c r="W76" s="52">
        <f t="shared" si="33"/>
        <v>1658772.2047720007</v>
      </c>
      <c r="X76" s="52">
        <f t="shared" si="33"/>
        <v>1658772.2047720007</v>
      </c>
      <c r="Y76" s="52">
        <f t="shared" si="33"/>
        <v>1658772.2047720007</v>
      </c>
      <c r="Z76" s="52">
        <f t="shared" si="33"/>
        <v>1658772.2047720007</v>
      </c>
      <c r="AA76" s="52">
        <f t="shared" si="33"/>
        <v>1658772.2047720007</v>
      </c>
      <c r="AB76" s="52">
        <f t="shared" si="33"/>
        <v>1658772.2047720007</v>
      </c>
      <c r="AC76" s="52">
        <f t="shared" si="33"/>
        <v>1658772.2047720007</v>
      </c>
      <c r="AD76" s="52">
        <f t="shared" si="33"/>
        <v>1658772.2047720007</v>
      </c>
      <c r="AE76" s="52">
        <f t="shared" si="33"/>
        <v>1658772.2047720007</v>
      </c>
      <c r="AF76" s="52">
        <f t="shared" si="33"/>
        <v>1658772.2047720007</v>
      </c>
      <c r="AG76" s="52">
        <f t="shared" si="33"/>
        <v>1658772.2047720007</v>
      </c>
      <c r="AH76" s="52">
        <f t="shared" si="33"/>
        <v>1658772.2047720007</v>
      </c>
      <c r="AI76" s="52">
        <f t="shared" si="33"/>
        <v>1658772.2047720007</v>
      </c>
      <c r="AJ76" s="52">
        <f t="shared" si="33"/>
        <v>1658772.2047720007</v>
      </c>
      <c r="AK76" s="52">
        <f t="shared" si="33"/>
        <v>1658772.2047720007</v>
      </c>
      <c r="AL76" s="52">
        <f t="shared" si="33"/>
        <v>1658772.2047720007</v>
      </c>
      <c r="AM76" s="52">
        <f t="shared" si="33"/>
        <v>1658772.2047720007</v>
      </c>
      <c r="AN76" s="5"/>
      <c r="AO76" s="52"/>
      <c r="AP76" s="52"/>
      <c r="AQ76" s="52"/>
      <c r="AR76" s="52"/>
      <c r="AS76" s="52"/>
      <c r="AT76" s="52"/>
      <c r="AU76" s="52"/>
      <c r="AV76" s="52"/>
      <c r="AW76" s="1"/>
      <c r="AX76" s="221"/>
    </row>
    <row r="77" spans="1:50" ht="15.75" customHeight="1" x14ac:dyDescent="0.3">
      <c r="A77" s="60"/>
      <c r="B77" s="74" t="s">
        <v>48</v>
      </c>
      <c r="C77" s="74"/>
      <c r="D77" s="74"/>
      <c r="E77" s="74"/>
      <c r="F77" s="74"/>
      <c r="G77" s="193"/>
      <c r="H77" s="74"/>
      <c r="I77" s="217"/>
      <c r="J77" s="74"/>
      <c r="K77" s="74"/>
      <c r="L77" s="75">
        <f t="shared" si="31"/>
        <v>24.333333333333332</v>
      </c>
      <c r="M77" s="1"/>
      <c r="N77" s="1"/>
      <c r="O77" s="75">
        <f t="shared" ref="O77:AM77" si="34">SUM(O78)</f>
        <v>0.33333333333333298</v>
      </c>
      <c r="P77" s="75">
        <f t="shared" si="34"/>
        <v>1</v>
      </c>
      <c r="Q77" s="75">
        <f t="shared" si="34"/>
        <v>1</v>
      </c>
      <c r="R77" s="75">
        <f t="shared" si="34"/>
        <v>1</v>
      </c>
      <c r="S77" s="75">
        <f t="shared" si="34"/>
        <v>1</v>
      </c>
      <c r="T77" s="75">
        <f t="shared" si="34"/>
        <v>1</v>
      </c>
      <c r="U77" s="75">
        <f t="shared" si="34"/>
        <v>1</v>
      </c>
      <c r="V77" s="75">
        <f t="shared" si="34"/>
        <v>1</v>
      </c>
      <c r="W77" s="75">
        <f t="shared" si="34"/>
        <v>1</v>
      </c>
      <c r="X77" s="75">
        <f t="shared" si="34"/>
        <v>1</v>
      </c>
      <c r="Y77" s="75">
        <f t="shared" si="34"/>
        <v>1</v>
      </c>
      <c r="Z77" s="75">
        <f t="shared" si="34"/>
        <v>1</v>
      </c>
      <c r="AA77" s="75">
        <f t="shared" si="34"/>
        <v>1</v>
      </c>
      <c r="AB77" s="75">
        <f t="shared" si="34"/>
        <v>1</v>
      </c>
      <c r="AC77" s="75">
        <f t="shared" si="34"/>
        <v>1</v>
      </c>
      <c r="AD77" s="75">
        <f t="shared" si="34"/>
        <v>1</v>
      </c>
      <c r="AE77" s="75">
        <f t="shared" si="34"/>
        <v>1</v>
      </c>
      <c r="AF77" s="75">
        <f t="shared" si="34"/>
        <v>1</v>
      </c>
      <c r="AG77" s="75">
        <f t="shared" si="34"/>
        <v>1</v>
      </c>
      <c r="AH77" s="75">
        <f t="shared" si="34"/>
        <v>1</v>
      </c>
      <c r="AI77" s="75">
        <f t="shared" si="34"/>
        <v>1</v>
      </c>
      <c r="AJ77" s="75">
        <f t="shared" si="34"/>
        <v>1</v>
      </c>
      <c r="AK77" s="75">
        <f t="shared" si="34"/>
        <v>1</v>
      </c>
      <c r="AL77" s="75">
        <f t="shared" si="34"/>
        <v>1</v>
      </c>
      <c r="AM77" s="75">
        <f t="shared" si="34"/>
        <v>1</v>
      </c>
      <c r="AN77" s="5"/>
      <c r="AO77" s="75"/>
      <c r="AP77" s="75"/>
      <c r="AQ77" s="75"/>
      <c r="AR77" s="75"/>
      <c r="AS77" s="75"/>
      <c r="AT77" s="75"/>
      <c r="AU77" s="75"/>
      <c r="AV77" s="75"/>
      <c r="AW77" s="60"/>
      <c r="AX77" s="221"/>
    </row>
    <row r="78" spans="1:50" ht="15.75" customHeight="1" x14ac:dyDescent="0.3">
      <c r="A78" s="60"/>
      <c r="B78" s="76" t="s">
        <v>49</v>
      </c>
      <c r="C78" s="76"/>
      <c r="D78" s="76"/>
      <c r="E78" s="76"/>
      <c r="F78" s="76"/>
      <c r="G78" s="77">
        <v>2</v>
      </c>
      <c r="H78" s="77">
        <v>25</v>
      </c>
      <c r="I78" s="76"/>
      <c r="J78" s="76"/>
      <c r="K78" s="76"/>
      <c r="L78" s="78">
        <f t="shared" si="31"/>
        <v>24.333333333333332</v>
      </c>
      <c r="M78" s="1"/>
      <c r="N78" s="1"/>
      <c r="O78" s="170">
        <v>0.33333333333333298</v>
      </c>
      <c r="P78" s="78">
        <f t="shared" ref="P78:AM78" si="35">IF(AND( $G78&lt;=P$3,P$3&lt;=$H78),1,0)</f>
        <v>1</v>
      </c>
      <c r="Q78" s="78">
        <f t="shared" si="35"/>
        <v>1</v>
      </c>
      <c r="R78" s="78">
        <f t="shared" si="35"/>
        <v>1</v>
      </c>
      <c r="S78" s="78">
        <f t="shared" si="35"/>
        <v>1</v>
      </c>
      <c r="T78" s="78">
        <f t="shared" si="35"/>
        <v>1</v>
      </c>
      <c r="U78" s="78">
        <f t="shared" si="35"/>
        <v>1</v>
      </c>
      <c r="V78" s="78">
        <f t="shared" si="35"/>
        <v>1</v>
      </c>
      <c r="W78" s="78">
        <f t="shared" si="35"/>
        <v>1</v>
      </c>
      <c r="X78" s="78">
        <f t="shared" si="35"/>
        <v>1</v>
      </c>
      <c r="Y78" s="78">
        <f t="shared" si="35"/>
        <v>1</v>
      </c>
      <c r="Z78" s="78">
        <f t="shared" si="35"/>
        <v>1</v>
      </c>
      <c r="AA78" s="78">
        <f t="shared" si="35"/>
        <v>1</v>
      </c>
      <c r="AB78" s="78">
        <f t="shared" si="35"/>
        <v>1</v>
      </c>
      <c r="AC78" s="78">
        <f t="shared" si="35"/>
        <v>1</v>
      </c>
      <c r="AD78" s="78">
        <f t="shared" si="35"/>
        <v>1</v>
      </c>
      <c r="AE78" s="78">
        <f t="shared" si="35"/>
        <v>1</v>
      </c>
      <c r="AF78" s="78">
        <f t="shared" si="35"/>
        <v>1</v>
      </c>
      <c r="AG78" s="78">
        <f t="shared" si="35"/>
        <v>1</v>
      </c>
      <c r="AH78" s="78">
        <f t="shared" si="35"/>
        <v>1</v>
      </c>
      <c r="AI78" s="78">
        <f t="shared" si="35"/>
        <v>1</v>
      </c>
      <c r="AJ78" s="78">
        <f t="shared" si="35"/>
        <v>1</v>
      </c>
      <c r="AK78" s="78">
        <f t="shared" si="35"/>
        <v>1</v>
      </c>
      <c r="AL78" s="78">
        <f t="shared" si="35"/>
        <v>1</v>
      </c>
      <c r="AM78" s="78">
        <f t="shared" si="35"/>
        <v>1</v>
      </c>
      <c r="AN78" s="5"/>
      <c r="AO78" s="78"/>
      <c r="AP78" s="78"/>
      <c r="AQ78" s="78"/>
      <c r="AR78" s="78"/>
      <c r="AS78" s="78"/>
      <c r="AT78" s="78"/>
      <c r="AU78" s="78"/>
      <c r="AV78" s="78"/>
      <c r="AW78" s="1"/>
      <c r="AX78" s="221"/>
    </row>
    <row r="79" spans="1:50" ht="15.75" customHeight="1" x14ac:dyDescent="0.3">
      <c r="A79" s="183"/>
      <c r="B79" s="183"/>
      <c r="C79" s="183"/>
      <c r="D79" s="183"/>
      <c r="E79" s="183"/>
      <c r="F79" s="183"/>
      <c r="G79" s="178"/>
      <c r="H79" s="178"/>
      <c r="I79" s="178"/>
      <c r="J79" s="183"/>
      <c r="K79" s="183"/>
      <c r="L79" s="195"/>
      <c r="M79" s="1"/>
      <c r="N79" s="1"/>
      <c r="O79" s="196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195"/>
      <c r="AA79" s="195"/>
      <c r="AB79" s="195"/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75"/>
      <c r="AO79" s="195"/>
      <c r="AP79" s="195"/>
      <c r="AQ79" s="195"/>
      <c r="AR79" s="195"/>
      <c r="AS79" s="195"/>
      <c r="AT79" s="195"/>
      <c r="AU79" s="195"/>
      <c r="AV79" s="195"/>
      <c r="AW79" s="1"/>
      <c r="AX79" s="221"/>
    </row>
    <row r="80" spans="1:50" ht="15.75" customHeight="1" x14ac:dyDescent="0.3">
      <c r="A80" s="60"/>
      <c r="B80" s="321" t="s">
        <v>50</v>
      </c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1"/>
      <c r="N80" s="1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5"/>
      <c r="AO80" s="10"/>
      <c r="AP80" s="10"/>
      <c r="AQ80" s="10"/>
      <c r="AR80" s="10"/>
      <c r="AS80" s="10"/>
      <c r="AT80" s="10"/>
      <c r="AU80" s="10"/>
      <c r="AV80" s="10"/>
      <c r="AW80" s="1"/>
      <c r="AX80" s="221"/>
    </row>
    <row r="81" spans="1:50" ht="15.75" customHeight="1" x14ac:dyDescent="0.3">
      <c r="A81" s="60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5"/>
      <c r="AO81" s="1"/>
      <c r="AP81" s="1"/>
      <c r="AQ81" s="1"/>
      <c r="AR81" s="1"/>
      <c r="AS81" s="1"/>
      <c r="AT81" s="1"/>
      <c r="AU81" s="1"/>
      <c r="AV81" s="1"/>
      <c r="AW81" s="1"/>
      <c r="AX81" s="221"/>
    </row>
    <row r="82" spans="1:50" ht="15.75" customHeight="1" x14ac:dyDescent="0.3">
      <c r="A82" s="60"/>
      <c r="B82" s="79" t="s">
        <v>51</v>
      </c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1"/>
      <c r="N82" s="1"/>
      <c r="O82" s="80">
        <f t="shared" ref="O82:AM82" si="36">O$3</f>
        <v>1</v>
      </c>
      <c r="P82" s="80">
        <f t="shared" si="36"/>
        <v>2</v>
      </c>
      <c r="Q82" s="80">
        <f t="shared" si="36"/>
        <v>3</v>
      </c>
      <c r="R82" s="80">
        <f t="shared" si="36"/>
        <v>4</v>
      </c>
      <c r="S82" s="80">
        <f t="shared" si="36"/>
        <v>5</v>
      </c>
      <c r="T82" s="80">
        <f t="shared" si="36"/>
        <v>6</v>
      </c>
      <c r="U82" s="80">
        <f t="shared" si="36"/>
        <v>7</v>
      </c>
      <c r="V82" s="80">
        <f t="shared" si="36"/>
        <v>8</v>
      </c>
      <c r="W82" s="80">
        <f t="shared" si="36"/>
        <v>9</v>
      </c>
      <c r="X82" s="80">
        <f t="shared" si="36"/>
        <v>10</v>
      </c>
      <c r="Y82" s="80">
        <f t="shared" si="36"/>
        <v>11</v>
      </c>
      <c r="Z82" s="80">
        <f t="shared" si="36"/>
        <v>12</v>
      </c>
      <c r="AA82" s="80">
        <f t="shared" si="36"/>
        <v>13</v>
      </c>
      <c r="AB82" s="80">
        <f t="shared" si="36"/>
        <v>14</v>
      </c>
      <c r="AC82" s="80">
        <f t="shared" si="36"/>
        <v>15</v>
      </c>
      <c r="AD82" s="80">
        <f t="shared" si="36"/>
        <v>16</v>
      </c>
      <c r="AE82" s="80">
        <f t="shared" si="36"/>
        <v>17</v>
      </c>
      <c r="AF82" s="80">
        <f t="shared" si="36"/>
        <v>18</v>
      </c>
      <c r="AG82" s="80">
        <f t="shared" si="36"/>
        <v>19</v>
      </c>
      <c r="AH82" s="80">
        <f t="shared" si="36"/>
        <v>20</v>
      </c>
      <c r="AI82" s="80">
        <f t="shared" si="36"/>
        <v>21</v>
      </c>
      <c r="AJ82" s="80">
        <f t="shared" si="36"/>
        <v>22</v>
      </c>
      <c r="AK82" s="80">
        <f t="shared" si="36"/>
        <v>23</v>
      </c>
      <c r="AL82" s="80">
        <f t="shared" si="36"/>
        <v>24</v>
      </c>
      <c r="AM82" s="80">
        <f t="shared" si="36"/>
        <v>25</v>
      </c>
      <c r="AN82" s="5"/>
      <c r="AO82" s="80"/>
      <c r="AP82" s="80"/>
      <c r="AQ82" s="80"/>
      <c r="AR82" s="80"/>
      <c r="AS82" s="80"/>
      <c r="AT82" s="80"/>
      <c r="AU82" s="80"/>
      <c r="AV82" s="80"/>
      <c r="AW82" s="1"/>
      <c r="AX82" s="221"/>
    </row>
    <row r="83" spans="1:50" ht="15.75" customHeight="1" x14ac:dyDescent="0.3">
      <c r="A83" s="1"/>
      <c r="B83" s="81" t="s">
        <v>52</v>
      </c>
      <c r="C83" s="81"/>
      <c r="D83" s="81"/>
      <c r="E83" s="81"/>
      <c r="F83" s="82" t="s">
        <v>53</v>
      </c>
      <c r="G83" s="83"/>
      <c r="H83" s="83"/>
      <c r="I83" s="83"/>
      <c r="J83" s="81"/>
      <c r="K83" s="81"/>
      <c r="L83" s="81"/>
      <c r="M83" s="1"/>
      <c r="N83" s="1"/>
      <c r="O83" s="84">
        <f t="shared" ref="O83:AM83" si="37">O$2</f>
        <v>46023</v>
      </c>
      <c r="P83" s="84">
        <f t="shared" si="37"/>
        <v>46388</v>
      </c>
      <c r="Q83" s="84">
        <f t="shared" si="37"/>
        <v>46753</v>
      </c>
      <c r="R83" s="84">
        <f t="shared" si="37"/>
        <v>47119</v>
      </c>
      <c r="S83" s="84">
        <f t="shared" si="37"/>
        <v>47484</v>
      </c>
      <c r="T83" s="84">
        <f t="shared" si="37"/>
        <v>47849</v>
      </c>
      <c r="U83" s="84">
        <f t="shared" si="37"/>
        <v>48214</v>
      </c>
      <c r="V83" s="84">
        <f t="shared" si="37"/>
        <v>48580</v>
      </c>
      <c r="W83" s="84">
        <f t="shared" si="37"/>
        <v>48945</v>
      </c>
      <c r="X83" s="84">
        <f t="shared" si="37"/>
        <v>49310</v>
      </c>
      <c r="Y83" s="84">
        <f t="shared" si="37"/>
        <v>49675</v>
      </c>
      <c r="Z83" s="84">
        <f t="shared" si="37"/>
        <v>50041</v>
      </c>
      <c r="AA83" s="84">
        <f t="shared" si="37"/>
        <v>50406</v>
      </c>
      <c r="AB83" s="84">
        <f t="shared" si="37"/>
        <v>50771</v>
      </c>
      <c r="AC83" s="84">
        <f t="shared" si="37"/>
        <v>51136</v>
      </c>
      <c r="AD83" s="84">
        <f t="shared" si="37"/>
        <v>51502</v>
      </c>
      <c r="AE83" s="84">
        <f t="shared" si="37"/>
        <v>51867</v>
      </c>
      <c r="AF83" s="84">
        <f t="shared" si="37"/>
        <v>52232</v>
      </c>
      <c r="AG83" s="84">
        <f t="shared" si="37"/>
        <v>52597</v>
      </c>
      <c r="AH83" s="84">
        <f t="shared" si="37"/>
        <v>52963</v>
      </c>
      <c r="AI83" s="84">
        <f t="shared" si="37"/>
        <v>53328</v>
      </c>
      <c r="AJ83" s="84">
        <f t="shared" si="37"/>
        <v>53693</v>
      </c>
      <c r="AK83" s="84">
        <f t="shared" si="37"/>
        <v>54058</v>
      </c>
      <c r="AL83" s="84">
        <f t="shared" si="37"/>
        <v>54424</v>
      </c>
      <c r="AM83" s="84">
        <f t="shared" si="37"/>
        <v>54789</v>
      </c>
      <c r="AN83" s="5"/>
      <c r="AO83" s="84"/>
      <c r="AP83" s="84"/>
      <c r="AQ83" s="84"/>
      <c r="AR83" s="84"/>
      <c r="AS83" s="84"/>
      <c r="AT83" s="84"/>
      <c r="AU83" s="84"/>
      <c r="AV83" s="84"/>
      <c r="AW83" s="1"/>
      <c r="AX83" s="221"/>
    </row>
    <row r="84" spans="1:50" ht="15.75" customHeight="1" x14ac:dyDescent="0.3">
      <c r="A84" s="1"/>
      <c r="B84" s="51" t="s">
        <v>54</v>
      </c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1"/>
      <c r="N84" s="1"/>
      <c r="O84" s="85">
        <v>3.9100000000000003E-2</v>
      </c>
      <c r="P84" s="85">
        <v>3.7900000000000003E-2</v>
      </c>
      <c r="Q84" s="85">
        <v>3.5000000000000003E-2</v>
      </c>
      <c r="R84" s="85">
        <v>3.5000000000000003E-2</v>
      </c>
      <c r="S84" s="85">
        <f>R84</f>
        <v>3.5000000000000003E-2</v>
      </c>
      <c r="T84" s="85">
        <f t="shared" ref="T84:AM84" si="38">S84</f>
        <v>3.5000000000000003E-2</v>
      </c>
      <c r="U84" s="85">
        <f t="shared" si="38"/>
        <v>3.5000000000000003E-2</v>
      </c>
      <c r="V84" s="85">
        <f t="shared" si="38"/>
        <v>3.5000000000000003E-2</v>
      </c>
      <c r="W84" s="85">
        <f t="shared" si="38"/>
        <v>3.5000000000000003E-2</v>
      </c>
      <c r="X84" s="85">
        <f t="shared" si="38"/>
        <v>3.5000000000000003E-2</v>
      </c>
      <c r="Y84" s="85">
        <f t="shared" si="38"/>
        <v>3.5000000000000003E-2</v>
      </c>
      <c r="Z84" s="85">
        <f t="shared" si="38"/>
        <v>3.5000000000000003E-2</v>
      </c>
      <c r="AA84" s="85">
        <f t="shared" si="38"/>
        <v>3.5000000000000003E-2</v>
      </c>
      <c r="AB84" s="85">
        <f t="shared" si="38"/>
        <v>3.5000000000000003E-2</v>
      </c>
      <c r="AC84" s="85">
        <f t="shared" si="38"/>
        <v>3.5000000000000003E-2</v>
      </c>
      <c r="AD84" s="85">
        <f t="shared" si="38"/>
        <v>3.5000000000000003E-2</v>
      </c>
      <c r="AE84" s="85">
        <f t="shared" si="38"/>
        <v>3.5000000000000003E-2</v>
      </c>
      <c r="AF84" s="85">
        <f t="shared" si="38"/>
        <v>3.5000000000000003E-2</v>
      </c>
      <c r="AG84" s="85">
        <f t="shared" si="38"/>
        <v>3.5000000000000003E-2</v>
      </c>
      <c r="AH84" s="85">
        <f t="shared" si="38"/>
        <v>3.5000000000000003E-2</v>
      </c>
      <c r="AI84" s="85">
        <f t="shared" si="38"/>
        <v>3.5000000000000003E-2</v>
      </c>
      <c r="AJ84" s="85">
        <f t="shared" si="38"/>
        <v>3.5000000000000003E-2</v>
      </c>
      <c r="AK84" s="85">
        <f t="shared" si="38"/>
        <v>3.5000000000000003E-2</v>
      </c>
      <c r="AL84" s="85">
        <f t="shared" si="38"/>
        <v>3.5000000000000003E-2</v>
      </c>
      <c r="AM84" s="85">
        <f t="shared" si="38"/>
        <v>3.5000000000000003E-2</v>
      </c>
      <c r="AN84" s="5"/>
      <c r="AO84" s="86"/>
      <c r="AP84" s="86"/>
      <c r="AQ84" s="86"/>
      <c r="AR84" s="86"/>
      <c r="AS84" s="86"/>
      <c r="AT84" s="86"/>
      <c r="AU84" s="86"/>
      <c r="AV84" s="86"/>
      <c r="AW84" s="1"/>
      <c r="AX84" s="221"/>
    </row>
    <row r="85" spans="1:50" ht="15.75" customHeight="1" x14ac:dyDescent="0.3">
      <c r="A85" s="1"/>
      <c r="B85" s="87" t="s">
        <v>55</v>
      </c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1"/>
      <c r="N85" s="1"/>
      <c r="O85" s="88">
        <v>1</v>
      </c>
      <c r="P85" s="88">
        <f t="shared" ref="P85:AM85" si="39">O85*(1+O84)</f>
        <v>1.0390999999999999</v>
      </c>
      <c r="Q85" s="88">
        <f t="shared" si="39"/>
        <v>1.0784818899999999</v>
      </c>
      <c r="R85" s="88">
        <f t="shared" si="39"/>
        <v>1.1162287561499999</v>
      </c>
      <c r="S85" s="88">
        <f t="shared" si="39"/>
        <v>1.1552967626152499</v>
      </c>
      <c r="T85" s="88">
        <f t="shared" si="39"/>
        <v>1.1957321493067836</v>
      </c>
      <c r="U85" s="88">
        <f t="shared" si="39"/>
        <v>1.237582774532521</v>
      </c>
      <c r="V85" s="88">
        <f t="shared" si="39"/>
        <v>1.2808981716411592</v>
      </c>
      <c r="W85" s="88">
        <f t="shared" si="39"/>
        <v>1.3257296076485996</v>
      </c>
      <c r="X85" s="88">
        <f t="shared" si="39"/>
        <v>1.3721301439163005</v>
      </c>
      <c r="Y85" s="88">
        <f t="shared" si="39"/>
        <v>1.4201546989533709</v>
      </c>
      <c r="Z85" s="88">
        <f t="shared" si="39"/>
        <v>1.4698601134167388</v>
      </c>
      <c r="AA85" s="88">
        <f t="shared" si="39"/>
        <v>1.5213052173863246</v>
      </c>
      <c r="AB85" s="88">
        <f t="shared" si="39"/>
        <v>1.5745508999948459</v>
      </c>
      <c r="AC85" s="88">
        <f t="shared" si="39"/>
        <v>1.6296601814946654</v>
      </c>
      <c r="AD85" s="88">
        <f t="shared" si="39"/>
        <v>1.6866982878469785</v>
      </c>
      <c r="AE85" s="88">
        <f t="shared" si="39"/>
        <v>1.7457327279216226</v>
      </c>
      <c r="AF85" s="88">
        <f t="shared" si="39"/>
        <v>1.8068333733988793</v>
      </c>
      <c r="AG85" s="88">
        <f t="shared" si="39"/>
        <v>1.8700725414678399</v>
      </c>
      <c r="AH85" s="88">
        <f t="shared" si="39"/>
        <v>1.9355250804192141</v>
      </c>
      <c r="AI85" s="88">
        <f t="shared" si="39"/>
        <v>2.0032684582338867</v>
      </c>
      <c r="AJ85" s="88">
        <f t="shared" si="39"/>
        <v>2.0733828542720727</v>
      </c>
      <c r="AK85" s="88">
        <f t="shared" si="39"/>
        <v>2.145951254171595</v>
      </c>
      <c r="AL85" s="88">
        <f t="shared" si="39"/>
        <v>2.2210595480676005</v>
      </c>
      <c r="AM85" s="88">
        <f t="shared" si="39"/>
        <v>2.2987966322499664</v>
      </c>
      <c r="AN85" s="5"/>
      <c r="AO85" s="88"/>
      <c r="AP85" s="88"/>
      <c r="AQ85" s="88"/>
      <c r="AR85" s="88"/>
      <c r="AS85" s="88"/>
      <c r="AT85" s="88"/>
      <c r="AU85" s="88"/>
      <c r="AV85" s="88"/>
      <c r="AW85" s="1"/>
      <c r="AX85" s="221"/>
    </row>
    <row r="86" spans="1:50" ht="15.75" customHeight="1" x14ac:dyDescent="0.3">
      <c r="A86" s="1"/>
      <c r="B86" s="51" t="s">
        <v>56</v>
      </c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1"/>
      <c r="N86" s="1"/>
      <c r="O86" s="85">
        <v>5.8299999999999998E-2</v>
      </c>
      <c r="P86" s="85">
        <v>4.8000000000000001E-2</v>
      </c>
      <c r="Q86" s="85">
        <v>4.2900000000000001E-2</v>
      </c>
      <c r="R86" s="85">
        <v>0.05</v>
      </c>
      <c r="S86" s="85">
        <f t="shared" ref="S86:AM86" si="40">R86</f>
        <v>0.05</v>
      </c>
      <c r="T86" s="85">
        <f t="shared" si="40"/>
        <v>0.05</v>
      </c>
      <c r="U86" s="85">
        <f t="shared" si="40"/>
        <v>0.05</v>
      </c>
      <c r="V86" s="85">
        <f t="shared" si="40"/>
        <v>0.05</v>
      </c>
      <c r="W86" s="85">
        <f t="shared" si="40"/>
        <v>0.05</v>
      </c>
      <c r="X86" s="85">
        <f t="shared" si="40"/>
        <v>0.05</v>
      </c>
      <c r="Y86" s="85">
        <f t="shared" si="40"/>
        <v>0.05</v>
      </c>
      <c r="Z86" s="85">
        <f t="shared" si="40"/>
        <v>0.05</v>
      </c>
      <c r="AA86" s="85">
        <f t="shared" si="40"/>
        <v>0.05</v>
      </c>
      <c r="AB86" s="85">
        <f t="shared" si="40"/>
        <v>0.05</v>
      </c>
      <c r="AC86" s="85">
        <f t="shared" si="40"/>
        <v>0.05</v>
      </c>
      <c r="AD86" s="85">
        <f t="shared" si="40"/>
        <v>0.05</v>
      </c>
      <c r="AE86" s="85">
        <f t="shared" si="40"/>
        <v>0.05</v>
      </c>
      <c r="AF86" s="85">
        <f t="shared" si="40"/>
        <v>0.05</v>
      </c>
      <c r="AG86" s="85">
        <f t="shared" si="40"/>
        <v>0.05</v>
      </c>
      <c r="AH86" s="85">
        <f t="shared" si="40"/>
        <v>0.05</v>
      </c>
      <c r="AI86" s="85">
        <f t="shared" si="40"/>
        <v>0.05</v>
      </c>
      <c r="AJ86" s="85">
        <f t="shared" si="40"/>
        <v>0.05</v>
      </c>
      <c r="AK86" s="85">
        <f t="shared" si="40"/>
        <v>0.05</v>
      </c>
      <c r="AL86" s="85">
        <f t="shared" si="40"/>
        <v>0.05</v>
      </c>
      <c r="AM86" s="85">
        <f t="shared" si="40"/>
        <v>0.05</v>
      </c>
      <c r="AN86" s="5"/>
      <c r="AO86" s="86"/>
      <c r="AP86" s="86"/>
      <c r="AQ86" s="86"/>
      <c r="AR86" s="86"/>
      <c r="AS86" s="86"/>
      <c r="AT86" s="86"/>
      <c r="AU86" s="86"/>
      <c r="AV86" s="86"/>
      <c r="AW86" s="1"/>
      <c r="AX86" s="221"/>
    </row>
    <row r="87" spans="1:50" ht="15.75" customHeight="1" x14ac:dyDescent="0.3">
      <c r="A87" s="1"/>
      <c r="B87" s="87" t="s">
        <v>57</v>
      </c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1"/>
      <c r="N87" s="1"/>
      <c r="O87" s="88">
        <v>1</v>
      </c>
      <c r="P87" s="88">
        <f t="shared" ref="P87:AM87" si="41">O87*(1+O86)</f>
        <v>1.0583</v>
      </c>
      <c r="Q87" s="88">
        <f t="shared" si="41"/>
        <v>1.1090984000000002</v>
      </c>
      <c r="R87" s="88">
        <f t="shared" si="41"/>
        <v>1.1566787213600001</v>
      </c>
      <c r="S87" s="88">
        <f t="shared" si="41"/>
        <v>1.2145126574280001</v>
      </c>
      <c r="T87" s="88">
        <f t="shared" si="41"/>
        <v>1.2752382902994002</v>
      </c>
      <c r="U87" s="88">
        <f t="shared" si="41"/>
        <v>1.3390002048143703</v>
      </c>
      <c r="V87" s="88">
        <f t="shared" si="41"/>
        <v>1.4059502150550889</v>
      </c>
      <c r="W87" s="88">
        <f t="shared" si="41"/>
        <v>1.4762477258078435</v>
      </c>
      <c r="X87" s="88">
        <f t="shared" si="41"/>
        <v>1.5500601120982358</v>
      </c>
      <c r="Y87" s="88">
        <f t="shared" si="41"/>
        <v>1.6275631177031478</v>
      </c>
      <c r="Z87" s="88">
        <f t="shared" si="41"/>
        <v>1.7089412735883052</v>
      </c>
      <c r="AA87" s="88">
        <f t="shared" si="41"/>
        <v>1.7943883372677205</v>
      </c>
      <c r="AB87" s="88">
        <f t="shared" si="41"/>
        <v>1.8841077541311066</v>
      </c>
      <c r="AC87" s="88">
        <f t="shared" si="41"/>
        <v>1.978313141837662</v>
      </c>
      <c r="AD87" s="88">
        <f t="shared" si="41"/>
        <v>2.077228798929545</v>
      </c>
      <c r="AE87" s="88">
        <f t="shared" si="41"/>
        <v>2.1810902388760223</v>
      </c>
      <c r="AF87" s="88">
        <f t="shared" si="41"/>
        <v>2.2901447508198234</v>
      </c>
      <c r="AG87" s="88">
        <f t="shared" si="41"/>
        <v>2.4046519883608148</v>
      </c>
      <c r="AH87" s="88">
        <f t="shared" si="41"/>
        <v>2.5248845877788555</v>
      </c>
      <c r="AI87" s="88">
        <f t="shared" si="41"/>
        <v>2.6511288171677982</v>
      </c>
      <c r="AJ87" s="88">
        <f t="shared" si="41"/>
        <v>2.7836852580261882</v>
      </c>
      <c r="AK87" s="88">
        <f t="shared" si="41"/>
        <v>2.9228695209274975</v>
      </c>
      <c r="AL87" s="88">
        <f t="shared" si="41"/>
        <v>3.0690129969738726</v>
      </c>
      <c r="AM87" s="88">
        <f t="shared" si="41"/>
        <v>3.2224636468225665</v>
      </c>
      <c r="AN87" s="5"/>
      <c r="AO87" s="88"/>
      <c r="AP87" s="88"/>
      <c r="AQ87" s="88"/>
      <c r="AR87" s="88"/>
      <c r="AS87" s="88"/>
      <c r="AT87" s="88"/>
      <c r="AU87" s="88"/>
      <c r="AV87" s="88"/>
      <c r="AW87" s="1"/>
      <c r="AX87" s="221"/>
    </row>
    <row r="88" spans="1:50" ht="15.75" customHeight="1" x14ac:dyDescent="0.3">
      <c r="A88" s="1"/>
      <c r="B88" s="51" t="s">
        <v>58</v>
      </c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1"/>
      <c r="N88" s="1"/>
      <c r="O88" s="85">
        <v>3.1800000000000002E-2</v>
      </c>
      <c r="P88" s="85">
        <v>0.04</v>
      </c>
      <c r="Q88" s="85">
        <v>3.7999999999999999E-2</v>
      </c>
      <c r="R88" s="85">
        <v>3.73E-2</v>
      </c>
      <c r="S88" s="85">
        <f t="shared" ref="S88:AM88" si="42">R88</f>
        <v>3.73E-2</v>
      </c>
      <c r="T88" s="85">
        <f t="shared" si="42"/>
        <v>3.73E-2</v>
      </c>
      <c r="U88" s="85">
        <f t="shared" si="42"/>
        <v>3.73E-2</v>
      </c>
      <c r="V88" s="85">
        <f t="shared" si="42"/>
        <v>3.73E-2</v>
      </c>
      <c r="W88" s="85">
        <f t="shared" si="42"/>
        <v>3.73E-2</v>
      </c>
      <c r="X88" s="85">
        <f t="shared" si="42"/>
        <v>3.73E-2</v>
      </c>
      <c r="Y88" s="85">
        <f t="shared" si="42"/>
        <v>3.73E-2</v>
      </c>
      <c r="Z88" s="85">
        <f t="shared" si="42"/>
        <v>3.73E-2</v>
      </c>
      <c r="AA88" s="85">
        <f t="shared" si="42"/>
        <v>3.73E-2</v>
      </c>
      <c r="AB88" s="85">
        <f t="shared" si="42"/>
        <v>3.73E-2</v>
      </c>
      <c r="AC88" s="85">
        <f t="shared" si="42"/>
        <v>3.73E-2</v>
      </c>
      <c r="AD88" s="85">
        <f t="shared" si="42"/>
        <v>3.73E-2</v>
      </c>
      <c r="AE88" s="85">
        <f t="shared" si="42"/>
        <v>3.73E-2</v>
      </c>
      <c r="AF88" s="85">
        <f t="shared" si="42"/>
        <v>3.73E-2</v>
      </c>
      <c r="AG88" s="85">
        <f t="shared" si="42"/>
        <v>3.73E-2</v>
      </c>
      <c r="AH88" s="85">
        <f t="shared" si="42"/>
        <v>3.73E-2</v>
      </c>
      <c r="AI88" s="85">
        <f t="shared" si="42"/>
        <v>3.73E-2</v>
      </c>
      <c r="AJ88" s="85">
        <f t="shared" si="42"/>
        <v>3.73E-2</v>
      </c>
      <c r="AK88" s="85">
        <f t="shared" si="42"/>
        <v>3.73E-2</v>
      </c>
      <c r="AL88" s="85">
        <f t="shared" si="42"/>
        <v>3.73E-2</v>
      </c>
      <c r="AM88" s="85">
        <f t="shared" si="42"/>
        <v>3.73E-2</v>
      </c>
      <c r="AN88" s="5"/>
      <c r="AO88" s="86"/>
      <c r="AP88" s="86"/>
      <c r="AQ88" s="86"/>
      <c r="AR88" s="86"/>
      <c r="AS88" s="86"/>
      <c r="AT88" s="86"/>
      <c r="AU88" s="86"/>
      <c r="AV88" s="86"/>
      <c r="AW88" s="1"/>
      <c r="AX88" s="221"/>
    </row>
    <row r="89" spans="1:50" ht="15.75" customHeight="1" x14ac:dyDescent="0.3">
      <c r="A89" s="1"/>
      <c r="B89" s="87" t="s">
        <v>59</v>
      </c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1"/>
      <c r="N89" s="1"/>
      <c r="O89" s="88">
        <v>1</v>
      </c>
      <c r="P89" s="88">
        <f t="shared" ref="P89:AM89" si="43">O89*(1+O88)</f>
        <v>1.0318000000000001</v>
      </c>
      <c r="Q89" s="88">
        <f t="shared" si="43"/>
        <v>1.073072</v>
      </c>
      <c r="R89" s="88">
        <f t="shared" si="43"/>
        <v>1.113848736</v>
      </c>
      <c r="S89" s="88">
        <f t="shared" si="43"/>
        <v>1.1553952938528</v>
      </c>
      <c r="T89" s="88">
        <f t="shared" si="43"/>
        <v>1.1984915383135095</v>
      </c>
      <c r="U89" s="88">
        <f t="shared" si="43"/>
        <v>1.2431952726926037</v>
      </c>
      <c r="V89" s="88">
        <f t="shared" si="43"/>
        <v>1.2895664563640379</v>
      </c>
      <c r="W89" s="88">
        <f t="shared" si="43"/>
        <v>1.3376672851864166</v>
      </c>
      <c r="X89" s="88">
        <f t="shared" si="43"/>
        <v>1.3875622749238701</v>
      </c>
      <c r="Y89" s="88">
        <f t="shared" si="43"/>
        <v>1.4393183477785305</v>
      </c>
      <c r="Z89" s="88">
        <f t="shared" si="43"/>
        <v>1.4930049221506698</v>
      </c>
      <c r="AA89" s="88">
        <f t="shared" si="43"/>
        <v>1.5486940057468899</v>
      </c>
      <c r="AB89" s="88">
        <f t="shared" si="43"/>
        <v>1.606460292161249</v>
      </c>
      <c r="AC89" s="88">
        <f t="shared" si="43"/>
        <v>1.6663812610588637</v>
      </c>
      <c r="AD89" s="88">
        <f t="shared" si="43"/>
        <v>1.7285372820963596</v>
      </c>
      <c r="AE89" s="88">
        <f t="shared" si="43"/>
        <v>1.793011722718554</v>
      </c>
      <c r="AF89" s="88">
        <f t="shared" si="43"/>
        <v>1.8598910599759564</v>
      </c>
      <c r="AG89" s="88">
        <f t="shared" si="43"/>
        <v>1.9292649965130597</v>
      </c>
      <c r="AH89" s="88">
        <f t="shared" si="43"/>
        <v>2.0012265808829972</v>
      </c>
      <c r="AI89" s="88">
        <f t="shared" si="43"/>
        <v>2.0758723323499333</v>
      </c>
      <c r="AJ89" s="88">
        <f t="shared" si="43"/>
        <v>2.1533023703465859</v>
      </c>
      <c r="AK89" s="88">
        <f t="shared" si="43"/>
        <v>2.2336205487605136</v>
      </c>
      <c r="AL89" s="88">
        <f t="shared" si="43"/>
        <v>2.3169345952292812</v>
      </c>
      <c r="AM89" s="88">
        <f t="shared" si="43"/>
        <v>2.4033562556313335</v>
      </c>
      <c r="AN89" s="5"/>
      <c r="AO89" s="88"/>
      <c r="AP89" s="88"/>
      <c r="AQ89" s="88"/>
      <c r="AR89" s="88"/>
      <c r="AS89" s="88"/>
      <c r="AT89" s="88"/>
      <c r="AU89" s="88"/>
      <c r="AV89" s="88"/>
      <c r="AW89" s="1"/>
      <c r="AX89" s="221"/>
    </row>
    <row r="90" spans="1:50" ht="15.75" customHeight="1" x14ac:dyDescent="0.3">
      <c r="A90" s="1"/>
      <c r="B90" s="51" t="s">
        <v>60</v>
      </c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1"/>
      <c r="N90" s="1"/>
      <c r="O90" s="85">
        <v>0.12</v>
      </c>
      <c r="P90" s="85">
        <v>0.105</v>
      </c>
      <c r="Q90" s="85">
        <v>0.1</v>
      </c>
      <c r="R90" s="85">
        <v>9.5000000000000001E-2</v>
      </c>
      <c r="S90" s="85">
        <f t="shared" ref="S90:AM90" si="44">R90</f>
        <v>9.5000000000000001E-2</v>
      </c>
      <c r="T90" s="85">
        <f t="shared" si="44"/>
        <v>9.5000000000000001E-2</v>
      </c>
      <c r="U90" s="85">
        <f t="shared" si="44"/>
        <v>9.5000000000000001E-2</v>
      </c>
      <c r="V90" s="85">
        <f t="shared" si="44"/>
        <v>9.5000000000000001E-2</v>
      </c>
      <c r="W90" s="85">
        <f t="shared" si="44"/>
        <v>9.5000000000000001E-2</v>
      </c>
      <c r="X90" s="85">
        <f t="shared" si="44"/>
        <v>9.5000000000000001E-2</v>
      </c>
      <c r="Y90" s="85">
        <f t="shared" si="44"/>
        <v>9.5000000000000001E-2</v>
      </c>
      <c r="Z90" s="85">
        <f t="shared" si="44"/>
        <v>9.5000000000000001E-2</v>
      </c>
      <c r="AA90" s="85">
        <f t="shared" si="44"/>
        <v>9.5000000000000001E-2</v>
      </c>
      <c r="AB90" s="85">
        <f t="shared" si="44"/>
        <v>9.5000000000000001E-2</v>
      </c>
      <c r="AC90" s="85">
        <f t="shared" si="44"/>
        <v>9.5000000000000001E-2</v>
      </c>
      <c r="AD90" s="85">
        <f t="shared" si="44"/>
        <v>9.5000000000000001E-2</v>
      </c>
      <c r="AE90" s="85">
        <f t="shared" si="44"/>
        <v>9.5000000000000001E-2</v>
      </c>
      <c r="AF90" s="85">
        <f t="shared" si="44"/>
        <v>9.5000000000000001E-2</v>
      </c>
      <c r="AG90" s="85">
        <f t="shared" si="44"/>
        <v>9.5000000000000001E-2</v>
      </c>
      <c r="AH90" s="85">
        <f t="shared" si="44"/>
        <v>9.5000000000000001E-2</v>
      </c>
      <c r="AI90" s="85">
        <f t="shared" si="44"/>
        <v>9.5000000000000001E-2</v>
      </c>
      <c r="AJ90" s="85">
        <f t="shared" si="44"/>
        <v>9.5000000000000001E-2</v>
      </c>
      <c r="AK90" s="85">
        <f t="shared" si="44"/>
        <v>9.5000000000000001E-2</v>
      </c>
      <c r="AL90" s="85">
        <f t="shared" si="44"/>
        <v>9.5000000000000001E-2</v>
      </c>
      <c r="AM90" s="85">
        <f t="shared" si="44"/>
        <v>9.5000000000000001E-2</v>
      </c>
      <c r="AN90" s="5"/>
      <c r="AO90" s="86"/>
      <c r="AP90" s="86"/>
      <c r="AQ90" s="86"/>
      <c r="AR90" s="86"/>
      <c r="AS90" s="86"/>
      <c r="AT90" s="86"/>
      <c r="AU90" s="86"/>
      <c r="AV90" s="86"/>
      <c r="AW90" s="1"/>
      <c r="AX90" s="221"/>
    </row>
    <row r="91" spans="1:50" ht="15.75" customHeight="1" x14ac:dyDescent="0.3">
      <c r="A91" s="1"/>
      <c r="B91" s="87" t="s">
        <v>61</v>
      </c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1"/>
      <c r="N91" s="1"/>
      <c r="O91" s="88">
        <v>1</v>
      </c>
      <c r="P91" s="88">
        <f t="shared" ref="P91:AM91" si="45">O91*(1+O90)</f>
        <v>1.1200000000000001</v>
      </c>
      <c r="Q91" s="88">
        <f t="shared" si="45"/>
        <v>1.2376</v>
      </c>
      <c r="R91" s="88">
        <f t="shared" si="45"/>
        <v>1.3613600000000001</v>
      </c>
      <c r="S91" s="88">
        <f t="shared" si="45"/>
        <v>1.4906892</v>
      </c>
      <c r="T91" s="88">
        <f t="shared" si="45"/>
        <v>1.632304674</v>
      </c>
      <c r="U91" s="88">
        <f t="shared" si="45"/>
        <v>1.7873736180299999</v>
      </c>
      <c r="V91" s="88">
        <f t="shared" si="45"/>
        <v>1.9571741117428498</v>
      </c>
      <c r="W91" s="88">
        <f t="shared" si="45"/>
        <v>2.1431056523584204</v>
      </c>
      <c r="X91" s="88">
        <f t="shared" si="45"/>
        <v>2.3467006893324704</v>
      </c>
      <c r="Y91" s="88">
        <f t="shared" si="45"/>
        <v>2.5696372548190549</v>
      </c>
      <c r="Z91" s="88">
        <f t="shared" si="45"/>
        <v>2.8137527940268652</v>
      </c>
      <c r="AA91" s="88">
        <f t="shared" si="45"/>
        <v>3.0810593094594174</v>
      </c>
      <c r="AB91" s="88">
        <f t="shared" si="45"/>
        <v>3.3737599438580621</v>
      </c>
      <c r="AC91" s="88">
        <f t="shared" si="45"/>
        <v>3.694267138524578</v>
      </c>
      <c r="AD91" s="88">
        <f t="shared" si="45"/>
        <v>4.0452225166844125</v>
      </c>
      <c r="AE91" s="88">
        <f t="shared" si="45"/>
        <v>4.4295186557694315</v>
      </c>
      <c r="AF91" s="88">
        <f t="shared" si="45"/>
        <v>4.8503229280675271</v>
      </c>
      <c r="AG91" s="88">
        <f t="shared" si="45"/>
        <v>5.3111036062339423</v>
      </c>
      <c r="AH91" s="88">
        <f t="shared" si="45"/>
        <v>5.8156584488261664</v>
      </c>
      <c r="AI91" s="88">
        <f t="shared" si="45"/>
        <v>6.3681460014646518</v>
      </c>
      <c r="AJ91" s="88">
        <f t="shared" si="45"/>
        <v>6.9731198716037932</v>
      </c>
      <c r="AK91" s="88">
        <f t="shared" si="45"/>
        <v>7.6355662594061533</v>
      </c>
      <c r="AL91" s="88">
        <f t="shared" si="45"/>
        <v>8.3609450540497381</v>
      </c>
      <c r="AM91" s="88">
        <f t="shared" si="45"/>
        <v>9.1552348341844638</v>
      </c>
      <c r="AN91" s="5"/>
      <c r="AO91" s="88"/>
      <c r="AP91" s="88"/>
      <c r="AQ91" s="88"/>
      <c r="AR91" s="88"/>
      <c r="AS91" s="88"/>
      <c r="AT91" s="88"/>
      <c r="AU91" s="88"/>
      <c r="AV91" s="88"/>
      <c r="AW91" s="1"/>
      <c r="AX91" s="221"/>
    </row>
    <row r="92" spans="1:50" ht="15.75" customHeight="1" x14ac:dyDescent="0.3">
      <c r="A92" s="1"/>
      <c r="B92" s="51" t="s">
        <v>62</v>
      </c>
      <c r="C92" s="51"/>
      <c r="D92" s="51"/>
      <c r="E92" s="51"/>
      <c r="F92" s="51" t="s">
        <v>63</v>
      </c>
      <c r="G92" s="89">
        <v>12</v>
      </c>
      <c r="H92" s="51"/>
      <c r="I92" s="51"/>
      <c r="J92" s="51"/>
      <c r="K92" s="51"/>
      <c r="L92" s="51"/>
      <c r="M92" s="1"/>
      <c r="N92" s="1"/>
      <c r="O92" s="85">
        <f t="shared" ref="O92:AM92" si="46">O84</f>
        <v>3.9100000000000003E-2</v>
      </c>
      <c r="P92" s="85">
        <f t="shared" si="46"/>
        <v>3.7900000000000003E-2</v>
      </c>
      <c r="Q92" s="85">
        <f t="shared" si="46"/>
        <v>3.5000000000000003E-2</v>
      </c>
      <c r="R92" s="85">
        <f t="shared" si="46"/>
        <v>3.5000000000000003E-2</v>
      </c>
      <c r="S92" s="85">
        <f t="shared" si="46"/>
        <v>3.5000000000000003E-2</v>
      </c>
      <c r="T92" s="85">
        <f t="shared" si="46"/>
        <v>3.5000000000000003E-2</v>
      </c>
      <c r="U92" s="85">
        <f t="shared" si="46"/>
        <v>3.5000000000000003E-2</v>
      </c>
      <c r="V92" s="85">
        <f t="shared" si="46"/>
        <v>3.5000000000000003E-2</v>
      </c>
      <c r="W92" s="85">
        <f t="shared" si="46"/>
        <v>3.5000000000000003E-2</v>
      </c>
      <c r="X92" s="85">
        <f t="shared" si="46"/>
        <v>3.5000000000000003E-2</v>
      </c>
      <c r="Y92" s="85">
        <f t="shared" si="46"/>
        <v>3.5000000000000003E-2</v>
      </c>
      <c r="Z92" s="85">
        <f t="shared" si="46"/>
        <v>3.5000000000000003E-2</v>
      </c>
      <c r="AA92" s="85">
        <f t="shared" si="46"/>
        <v>3.5000000000000003E-2</v>
      </c>
      <c r="AB92" s="85">
        <f t="shared" si="46"/>
        <v>3.5000000000000003E-2</v>
      </c>
      <c r="AC92" s="85">
        <f t="shared" si="46"/>
        <v>3.5000000000000003E-2</v>
      </c>
      <c r="AD92" s="85">
        <f t="shared" si="46"/>
        <v>3.5000000000000003E-2</v>
      </c>
      <c r="AE92" s="85">
        <f t="shared" si="46"/>
        <v>3.5000000000000003E-2</v>
      </c>
      <c r="AF92" s="85">
        <f t="shared" si="46"/>
        <v>3.5000000000000003E-2</v>
      </c>
      <c r="AG92" s="85">
        <f t="shared" si="46"/>
        <v>3.5000000000000003E-2</v>
      </c>
      <c r="AH92" s="85">
        <f t="shared" si="46"/>
        <v>3.5000000000000003E-2</v>
      </c>
      <c r="AI92" s="85">
        <f t="shared" si="46"/>
        <v>3.5000000000000003E-2</v>
      </c>
      <c r="AJ92" s="85">
        <f t="shared" si="46"/>
        <v>3.5000000000000003E-2</v>
      </c>
      <c r="AK92" s="85">
        <f t="shared" si="46"/>
        <v>3.5000000000000003E-2</v>
      </c>
      <c r="AL92" s="85">
        <f t="shared" si="46"/>
        <v>3.5000000000000003E-2</v>
      </c>
      <c r="AM92" s="85">
        <f t="shared" si="46"/>
        <v>3.5000000000000003E-2</v>
      </c>
      <c r="AN92" s="5"/>
      <c r="AO92" s="86"/>
      <c r="AP92" s="86"/>
      <c r="AQ92" s="86"/>
      <c r="AR92" s="86"/>
      <c r="AS92" s="86"/>
      <c r="AT92" s="86"/>
      <c r="AU92" s="86"/>
      <c r="AV92" s="86"/>
      <c r="AW92" s="1"/>
      <c r="AX92" s="221"/>
    </row>
    <row r="93" spans="1:50" ht="15.75" customHeight="1" x14ac:dyDescent="0.3">
      <c r="A93" s="1"/>
      <c r="B93" s="87" t="s">
        <v>64</v>
      </c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1"/>
      <c r="N93" s="1"/>
      <c r="O93" s="88">
        <v>1</v>
      </c>
      <c r="P93" s="88">
        <f t="shared" ref="P93:AM93" si="47">O93*(1+O92)</f>
        <v>1.0390999999999999</v>
      </c>
      <c r="Q93" s="88">
        <f t="shared" si="47"/>
        <v>1.0784818899999999</v>
      </c>
      <c r="R93" s="88">
        <f t="shared" si="47"/>
        <v>1.1162287561499999</v>
      </c>
      <c r="S93" s="88">
        <f t="shared" si="47"/>
        <v>1.1552967626152499</v>
      </c>
      <c r="T93" s="88">
        <f t="shared" si="47"/>
        <v>1.1957321493067836</v>
      </c>
      <c r="U93" s="88">
        <f t="shared" si="47"/>
        <v>1.237582774532521</v>
      </c>
      <c r="V93" s="88">
        <f t="shared" si="47"/>
        <v>1.2808981716411592</v>
      </c>
      <c r="W93" s="88">
        <f t="shared" si="47"/>
        <v>1.3257296076485996</v>
      </c>
      <c r="X93" s="88">
        <f t="shared" si="47"/>
        <v>1.3721301439163005</v>
      </c>
      <c r="Y93" s="88">
        <f t="shared" si="47"/>
        <v>1.4201546989533709</v>
      </c>
      <c r="Z93" s="88">
        <f t="shared" si="47"/>
        <v>1.4698601134167388</v>
      </c>
      <c r="AA93" s="88">
        <f t="shared" si="47"/>
        <v>1.5213052173863246</v>
      </c>
      <c r="AB93" s="88">
        <f t="shared" si="47"/>
        <v>1.5745508999948459</v>
      </c>
      <c r="AC93" s="88">
        <f t="shared" si="47"/>
        <v>1.6296601814946654</v>
      </c>
      <c r="AD93" s="88">
        <f t="shared" si="47"/>
        <v>1.6866982878469785</v>
      </c>
      <c r="AE93" s="88">
        <f t="shared" si="47"/>
        <v>1.7457327279216226</v>
      </c>
      <c r="AF93" s="88">
        <f t="shared" si="47"/>
        <v>1.8068333733988793</v>
      </c>
      <c r="AG93" s="88">
        <f t="shared" si="47"/>
        <v>1.8700725414678399</v>
      </c>
      <c r="AH93" s="88">
        <f t="shared" si="47"/>
        <v>1.9355250804192141</v>
      </c>
      <c r="AI93" s="88">
        <f t="shared" si="47"/>
        <v>2.0032684582338867</v>
      </c>
      <c r="AJ93" s="88">
        <f t="shared" si="47"/>
        <v>2.0733828542720727</v>
      </c>
      <c r="AK93" s="88">
        <f t="shared" si="47"/>
        <v>2.145951254171595</v>
      </c>
      <c r="AL93" s="88">
        <f t="shared" si="47"/>
        <v>2.2210595480676005</v>
      </c>
      <c r="AM93" s="88">
        <f t="shared" si="47"/>
        <v>2.2987966322499664</v>
      </c>
      <c r="AN93" s="5"/>
      <c r="AO93" s="88"/>
      <c r="AP93" s="88"/>
      <c r="AQ93" s="88"/>
      <c r="AR93" s="88"/>
      <c r="AS93" s="88"/>
      <c r="AT93" s="88"/>
      <c r="AU93" s="88"/>
      <c r="AV93" s="88"/>
      <c r="AW93" s="1"/>
      <c r="AX93" s="221"/>
    </row>
    <row r="94" spans="1:50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5"/>
      <c r="AO94" s="1"/>
      <c r="AP94" s="1"/>
      <c r="AQ94" s="1"/>
      <c r="AR94" s="1"/>
      <c r="AS94" s="1"/>
      <c r="AT94" s="1"/>
      <c r="AU94" s="1"/>
      <c r="AV94" s="1"/>
      <c r="AW94" s="1"/>
      <c r="AX94" s="221"/>
    </row>
    <row r="95" spans="1:50" ht="15.75" customHeight="1" x14ac:dyDescent="0.3">
      <c r="A95" s="1"/>
      <c r="B95" s="79" t="s">
        <v>65</v>
      </c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1"/>
      <c r="N95" s="1"/>
      <c r="O95" s="80">
        <f t="shared" ref="O95:AM95" si="48">O$3</f>
        <v>1</v>
      </c>
      <c r="P95" s="80">
        <f t="shared" si="48"/>
        <v>2</v>
      </c>
      <c r="Q95" s="80">
        <f t="shared" si="48"/>
        <v>3</v>
      </c>
      <c r="R95" s="80">
        <f t="shared" si="48"/>
        <v>4</v>
      </c>
      <c r="S95" s="80">
        <f t="shared" si="48"/>
        <v>5</v>
      </c>
      <c r="T95" s="80">
        <f t="shared" si="48"/>
        <v>6</v>
      </c>
      <c r="U95" s="80">
        <f t="shared" si="48"/>
        <v>7</v>
      </c>
      <c r="V95" s="80">
        <f t="shared" si="48"/>
        <v>8</v>
      </c>
      <c r="W95" s="80">
        <f t="shared" si="48"/>
        <v>9</v>
      </c>
      <c r="X95" s="80">
        <f t="shared" si="48"/>
        <v>10</v>
      </c>
      <c r="Y95" s="80">
        <f t="shared" si="48"/>
        <v>11</v>
      </c>
      <c r="Z95" s="80">
        <f t="shared" si="48"/>
        <v>12</v>
      </c>
      <c r="AA95" s="80">
        <f t="shared" si="48"/>
        <v>13</v>
      </c>
      <c r="AB95" s="80">
        <f t="shared" si="48"/>
        <v>14</v>
      </c>
      <c r="AC95" s="80">
        <f t="shared" si="48"/>
        <v>15</v>
      </c>
      <c r="AD95" s="80">
        <f t="shared" si="48"/>
        <v>16</v>
      </c>
      <c r="AE95" s="80">
        <f t="shared" si="48"/>
        <v>17</v>
      </c>
      <c r="AF95" s="80">
        <f t="shared" si="48"/>
        <v>18</v>
      </c>
      <c r="AG95" s="80">
        <f t="shared" si="48"/>
        <v>19</v>
      </c>
      <c r="AH95" s="80">
        <f t="shared" si="48"/>
        <v>20</v>
      </c>
      <c r="AI95" s="80">
        <f t="shared" si="48"/>
        <v>21</v>
      </c>
      <c r="AJ95" s="80">
        <f t="shared" si="48"/>
        <v>22</v>
      </c>
      <c r="AK95" s="80">
        <f t="shared" si="48"/>
        <v>23</v>
      </c>
      <c r="AL95" s="80">
        <f t="shared" si="48"/>
        <v>24</v>
      </c>
      <c r="AM95" s="80">
        <f t="shared" si="48"/>
        <v>25</v>
      </c>
      <c r="AN95" s="5"/>
      <c r="AO95" s="80"/>
      <c r="AP95" s="80"/>
      <c r="AQ95" s="80"/>
      <c r="AR95" s="80"/>
      <c r="AS95" s="80"/>
      <c r="AT95" s="80"/>
      <c r="AU95" s="80"/>
      <c r="AV95" s="80"/>
      <c r="AW95" s="1"/>
      <c r="AX95" s="221"/>
    </row>
    <row r="96" spans="1:50" ht="15.75" customHeight="1" x14ac:dyDescent="0.3">
      <c r="A96" s="1"/>
      <c r="B96" s="81"/>
      <c r="C96" s="81"/>
      <c r="D96" s="81"/>
      <c r="E96" s="81"/>
      <c r="F96" s="81"/>
      <c r="G96" s="81"/>
      <c r="H96" s="81"/>
      <c r="I96" s="81"/>
      <c r="J96" s="81"/>
      <c r="K96" s="90" t="s">
        <v>66</v>
      </c>
      <c r="L96" s="90" t="s">
        <v>67</v>
      </c>
      <c r="M96" s="1"/>
      <c r="N96" s="1"/>
      <c r="O96" s="91">
        <f t="shared" ref="O96:AM96" si="49">O$2</f>
        <v>46023</v>
      </c>
      <c r="P96" s="91">
        <f t="shared" si="49"/>
        <v>46388</v>
      </c>
      <c r="Q96" s="91">
        <f t="shared" si="49"/>
        <v>46753</v>
      </c>
      <c r="R96" s="91">
        <f t="shared" si="49"/>
        <v>47119</v>
      </c>
      <c r="S96" s="91">
        <f t="shared" si="49"/>
        <v>47484</v>
      </c>
      <c r="T96" s="91">
        <f t="shared" si="49"/>
        <v>47849</v>
      </c>
      <c r="U96" s="91">
        <f t="shared" si="49"/>
        <v>48214</v>
      </c>
      <c r="V96" s="91">
        <f t="shared" si="49"/>
        <v>48580</v>
      </c>
      <c r="W96" s="91">
        <f t="shared" si="49"/>
        <v>48945</v>
      </c>
      <c r="X96" s="91">
        <f t="shared" si="49"/>
        <v>49310</v>
      </c>
      <c r="Y96" s="91">
        <f t="shared" si="49"/>
        <v>49675</v>
      </c>
      <c r="Z96" s="91">
        <f t="shared" si="49"/>
        <v>50041</v>
      </c>
      <c r="AA96" s="91">
        <f t="shared" si="49"/>
        <v>50406</v>
      </c>
      <c r="AB96" s="91">
        <f t="shared" si="49"/>
        <v>50771</v>
      </c>
      <c r="AC96" s="91">
        <f t="shared" si="49"/>
        <v>51136</v>
      </c>
      <c r="AD96" s="91">
        <f t="shared" si="49"/>
        <v>51502</v>
      </c>
      <c r="AE96" s="91">
        <f t="shared" si="49"/>
        <v>51867</v>
      </c>
      <c r="AF96" s="91">
        <f t="shared" si="49"/>
        <v>52232</v>
      </c>
      <c r="AG96" s="91">
        <f t="shared" si="49"/>
        <v>52597</v>
      </c>
      <c r="AH96" s="91">
        <f t="shared" si="49"/>
        <v>52963</v>
      </c>
      <c r="AI96" s="91">
        <f t="shared" si="49"/>
        <v>53328</v>
      </c>
      <c r="AJ96" s="91">
        <f t="shared" si="49"/>
        <v>53693</v>
      </c>
      <c r="AK96" s="91">
        <f t="shared" si="49"/>
        <v>54058</v>
      </c>
      <c r="AL96" s="91">
        <f t="shared" si="49"/>
        <v>54424</v>
      </c>
      <c r="AM96" s="91">
        <f t="shared" si="49"/>
        <v>54789</v>
      </c>
      <c r="AN96" s="5"/>
      <c r="AO96" s="91"/>
      <c r="AP96" s="91"/>
      <c r="AQ96" s="91"/>
      <c r="AR96" s="91"/>
      <c r="AS96" s="91"/>
      <c r="AT96" s="91"/>
      <c r="AU96" s="91"/>
      <c r="AV96" s="91"/>
      <c r="AW96" s="1"/>
      <c r="AX96" s="221"/>
    </row>
    <row r="97" spans="1:56" ht="15.75" customHeight="1" x14ac:dyDescent="0.3">
      <c r="A97" s="1"/>
      <c r="B97" s="29" t="s">
        <v>68</v>
      </c>
      <c r="C97" s="29"/>
      <c r="D97" s="29"/>
      <c r="E97" s="29"/>
      <c r="F97" s="29"/>
      <c r="G97" s="29"/>
      <c r="H97" s="29"/>
      <c r="I97" s="92"/>
      <c r="J97" s="29"/>
      <c r="K97" s="31"/>
      <c r="L97" s="31"/>
      <c r="M97" s="1"/>
      <c r="N97" s="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5"/>
      <c r="AO97" s="31"/>
      <c r="AP97" s="31"/>
      <c r="AQ97" s="31"/>
      <c r="AR97" s="31"/>
      <c r="AS97" s="31"/>
      <c r="AT97" s="31"/>
      <c r="AU97" s="31"/>
      <c r="AV97" s="31"/>
      <c r="AW97" s="1"/>
      <c r="AX97" s="221"/>
    </row>
    <row r="98" spans="1:56" ht="15.75" customHeight="1" x14ac:dyDescent="0.3">
      <c r="A98" s="1"/>
      <c r="B98" s="68"/>
      <c r="C98" s="68" t="s">
        <v>69</v>
      </c>
      <c r="D98" s="68"/>
      <c r="E98" s="68"/>
      <c r="F98" s="68"/>
      <c r="G98" s="68"/>
      <c r="H98" s="68"/>
      <c r="I98" s="93"/>
      <c r="J98" s="68"/>
      <c r="K98" s="69">
        <f t="shared" ref="K98:L98" si="50">SUM(K99:K101)</f>
        <v>17031949.595538203</v>
      </c>
      <c r="L98" s="69">
        <f t="shared" si="50"/>
        <v>45488801.574791439</v>
      </c>
      <c r="M98" s="1"/>
      <c r="N98" s="1"/>
      <c r="O98" s="69">
        <f>SUM(O99:O101)</f>
        <v>3607196.9693828174</v>
      </c>
      <c r="P98" s="69">
        <f t="shared" ref="P98:AM98" si="51">SUM(P99:P100)</f>
        <v>1118361.7702672093</v>
      </c>
      <c r="Q98" s="69">
        <f t="shared" si="51"/>
        <v>1118361.7702672093</v>
      </c>
      <c r="R98" s="69">
        <f t="shared" si="51"/>
        <v>1118361.7702672093</v>
      </c>
      <c r="S98" s="69">
        <f t="shared" si="51"/>
        <v>2504368.8498900039</v>
      </c>
      <c r="T98" s="69">
        <f t="shared" si="51"/>
        <v>1118361.7702672093</v>
      </c>
      <c r="U98" s="69">
        <f t="shared" si="51"/>
        <v>1118361.7702672093</v>
      </c>
      <c r="V98" s="69">
        <f t="shared" si="51"/>
        <v>1252362.6090218197</v>
      </c>
      <c r="W98" s="69">
        <f t="shared" si="51"/>
        <v>1325821.5303922798</v>
      </c>
      <c r="X98" s="69">
        <f t="shared" si="51"/>
        <v>1118361.7702672093</v>
      </c>
      <c r="Y98" s="69">
        <f t="shared" si="51"/>
        <v>2494207.6177471457</v>
      </c>
      <c r="Z98" s="69">
        <f t="shared" si="51"/>
        <v>1118361.7702672093</v>
      </c>
      <c r="AA98" s="69">
        <f t="shared" si="51"/>
        <v>1690211.9420588585</v>
      </c>
      <c r="AB98" s="69">
        <f t="shared" si="51"/>
        <v>1118361.7702672093</v>
      </c>
      <c r="AC98" s="69">
        <f t="shared" si="51"/>
        <v>1118361.7702672093</v>
      </c>
      <c r="AD98" s="69">
        <f t="shared" si="51"/>
        <v>2628062.5926775625</v>
      </c>
      <c r="AE98" s="69">
        <f t="shared" si="51"/>
        <v>1159592.6685858744</v>
      </c>
      <c r="AF98" s="69">
        <f t="shared" si="51"/>
        <v>1284736.4958978079</v>
      </c>
      <c r="AG98" s="69">
        <f t="shared" si="51"/>
        <v>1118361.7702672093</v>
      </c>
      <c r="AH98" s="69">
        <f t="shared" si="51"/>
        <v>1118361.7702672093</v>
      </c>
      <c r="AI98" s="69">
        <f t="shared" si="51"/>
        <v>2504222.9860658105</v>
      </c>
      <c r="AJ98" s="69">
        <f t="shared" si="51"/>
        <v>1118361.7702672093</v>
      </c>
      <c r="AK98" s="69">
        <f t="shared" si="51"/>
        <v>1252362.6090218197</v>
      </c>
      <c r="AL98" s="69">
        <f t="shared" si="51"/>
        <v>1118361.7702672093</v>
      </c>
      <c r="AM98" s="69">
        <f t="shared" si="51"/>
        <v>1128377.1385858746</v>
      </c>
      <c r="AN98" s="5"/>
      <c r="AO98" s="69"/>
      <c r="AP98" s="69"/>
      <c r="AQ98" s="69"/>
      <c r="AR98" s="69"/>
      <c r="AS98" s="69"/>
      <c r="AT98" s="69"/>
      <c r="AU98" s="69"/>
      <c r="AV98" s="69"/>
      <c r="AW98" s="1"/>
      <c r="AX98" s="221"/>
    </row>
    <row r="99" spans="1:56" ht="15.75" customHeight="1" x14ac:dyDescent="0.3">
      <c r="A99" s="1"/>
      <c r="B99" s="94"/>
      <c r="C99" s="94"/>
      <c r="D99" s="94" t="s">
        <v>70</v>
      </c>
      <c r="E99" s="94"/>
      <c r="F99" s="94"/>
      <c r="G99" s="95" t="s">
        <v>34</v>
      </c>
      <c r="H99" s="96">
        <f>1-H63</f>
        <v>0.67421058</v>
      </c>
      <c r="I99" s="95"/>
      <c r="J99" s="94"/>
      <c r="K99" s="97">
        <f>NPV(WACC!$D$35,O99:AV99)</f>
        <v>9526442.196720589</v>
      </c>
      <c r="L99" s="97">
        <f t="shared" ref="L99:L101" si="52">SUM(O99:AV99)</f>
        <v>27213469.743168771</v>
      </c>
      <c r="M99" s="1"/>
      <c r="N99" s="1"/>
      <c r="O99" s="97">
        <f t="shared" ref="O99:AM99" si="53">$H$99*O76</f>
        <v>372787.25675573607</v>
      </c>
      <c r="P99" s="97">
        <f t="shared" si="53"/>
        <v>1118361.7702672093</v>
      </c>
      <c r="Q99" s="97">
        <f t="shared" si="53"/>
        <v>1118361.7702672093</v>
      </c>
      <c r="R99" s="97">
        <f t="shared" si="53"/>
        <v>1118361.7702672093</v>
      </c>
      <c r="S99" s="97">
        <f t="shared" si="53"/>
        <v>1118361.7702672093</v>
      </c>
      <c r="T99" s="97">
        <f t="shared" si="53"/>
        <v>1118361.7702672093</v>
      </c>
      <c r="U99" s="97">
        <f t="shared" si="53"/>
        <v>1118361.7702672093</v>
      </c>
      <c r="V99" s="97">
        <f t="shared" si="53"/>
        <v>1118361.7702672093</v>
      </c>
      <c r="W99" s="97">
        <f t="shared" si="53"/>
        <v>1118361.7702672093</v>
      </c>
      <c r="X99" s="97">
        <f t="shared" si="53"/>
        <v>1118361.7702672093</v>
      </c>
      <c r="Y99" s="97">
        <f t="shared" si="53"/>
        <v>1118361.7702672093</v>
      </c>
      <c r="Z99" s="97">
        <f t="shared" si="53"/>
        <v>1118361.7702672093</v>
      </c>
      <c r="AA99" s="97">
        <f t="shared" si="53"/>
        <v>1118361.7702672093</v>
      </c>
      <c r="AB99" s="97">
        <f t="shared" si="53"/>
        <v>1118361.7702672093</v>
      </c>
      <c r="AC99" s="97">
        <f t="shared" si="53"/>
        <v>1118361.7702672093</v>
      </c>
      <c r="AD99" s="97">
        <f t="shared" si="53"/>
        <v>1118361.7702672093</v>
      </c>
      <c r="AE99" s="97">
        <f t="shared" si="53"/>
        <v>1118361.7702672093</v>
      </c>
      <c r="AF99" s="97">
        <f t="shared" si="53"/>
        <v>1118361.7702672093</v>
      </c>
      <c r="AG99" s="97">
        <f t="shared" si="53"/>
        <v>1118361.7702672093</v>
      </c>
      <c r="AH99" s="97">
        <f t="shared" si="53"/>
        <v>1118361.7702672093</v>
      </c>
      <c r="AI99" s="97">
        <f t="shared" si="53"/>
        <v>1118361.7702672093</v>
      </c>
      <c r="AJ99" s="97">
        <f t="shared" si="53"/>
        <v>1118361.7702672093</v>
      </c>
      <c r="AK99" s="97">
        <f t="shared" si="53"/>
        <v>1118361.7702672093</v>
      </c>
      <c r="AL99" s="97">
        <f t="shared" si="53"/>
        <v>1118361.7702672093</v>
      </c>
      <c r="AM99" s="97">
        <f t="shared" si="53"/>
        <v>1118361.7702672093</v>
      </c>
      <c r="AN99" s="5"/>
      <c r="AO99" s="97"/>
      <c r="AP99" s="97"/>
      <c r="AQ99" s="97"/>
      <c r="AR99" s="97"/>
      <c r="AS99" s="97"/>
      <c r="AT99" s="97"/>
      <c r="AU99" s="97"/>
      <c r="AV99" s="97"/>
      <c r="AW99" s="1"/>
      <c r="AX99" s="221"/>
    </row>
    <row r="100" spans="1:56" ht="15.75" customHeight="1" x14ac:dyDescent="0.3">
      <c r="A100" s="1"/>
      <c r="B100" s="94"/>
      <c r="C100" s="94"/>
      <c r="D100" s="94" t="s">
        <v>71</v>
      </c>
      <c r="E100" s="94"/>
      <c r="F100" s="94"/>
      <c r="G100" s="95"/>
      <c r="H100" s="95"/>
      <c r="I100" s="95"/>
      <c r="J100" s="94"/>
      <c r="K100" s="97">
        <f>NPV(WACC!$D$35,O100:AV100)</f>
        <v>5185393.6683826335</v>
      </c>
      <c r="L100" s="97">
        <f t="shared" si="52"/>
        <v>10156757.279632637</v>
      </c>
      <c r="M100" s="1"/>
      <c r="N100" s="1"/>
      <c r="O100" s="97">
        <f>O29</f>
        <v>3234409.7126270812</v>
      </c>
      <c r="P100" s="97">
        <f t="shared" ref="P100:AM100" si="54">P29</f>
        <v>0</v>
      </c>
      <c r="Q100" s="97">
        <f t="shared" si="54"/>
        <v>0</v>
      </c>
      <c r="R100" s="97">
        <f t="shared" si="54"/>
        <v>0</v>
      </c>
      <c r="S100" s="97">
        <f t="shared" si="54"/>
        <v>1386007.0796227944</v>
      </c>
      <c r="T100" s="97">
        <f t="shared" si="54"/>
        <v>0</v>
      </c>
      <c r="U100" s="97">
        <f t="shared" si="54"/>
        <v>0</v>
      </c>
      <c r="V100" s="97">
        <f t="shared" si="54"/>
        <v>134000.83875461042</v>
      </c>
      <c r="W100" s="97">
        <f t="shared" si="54"/>
        <v>207459.76012507069</v>
      </c>
      <c r="X100" s="97">
        <f t="shared" si="54"/>
        <v>0</v>
      </c>
      <c r="Y100" s="97">
        <f t="shared" si="54"/>
        <v>1375845.8474799362</v>
      </c>
      <c r="Z100" s="97">
        <f t="shared" si="54"/>
        <v>0</v>
      </c>
      <c r="AA100" s="97">
        <f t="shared" si="54"/>
        <v>571850.17179164919</v>
      </c>
      <c r="AB100" s="97">
        <f t="shared" si="54"/>
        <v>0</v>
      </c>
      <c r="AC100" s="97">
        <f t="shared" si="54"/>
        <v>0</v>
      </c>
      <c r="AD100" s="97">
        <f t="shared" si="54"/>
        <v>1509700.8224103535</v>
      </c>
      <c r="AE100" s="97">
        <f t="shared" si="54"/>
        <v>41230.898318665204</v>
      </c>
      <c r="AF100" s="97">
        <f t="shared" si="54"/>
        <v>166374.72563059852</v>
      </c>
      <c r="AG100" s="97">
        <f t="shared" si="54"/>
        <v>0</v>
      </c>
      <c r="AH100" s="97">
        <f t="shared" si="54"/>
        <v>0</v>
      </c>
      <c r="AI100" s="97">
        <f t="shared" si="54"/>
        <v>1385861.2157986015</v>
      </c>
      <c r="AJ100" s="97">
        <f t="shared" si="54"/>
        <v>0</v>
      </c>
      <c r="AK100" s="97">
        <f t="shared" si="54"/>
        <v>134000.83875461042</v>
      </c>
      <c r="AL100" s="97">
        <f t="shared" si="54"/>
        <v>0</v>
      </c>
      <c r="AM100" s="97">
        <f t="shared" si="54"/>
        <v>10015.368318665205</v>
      </c>
      <c r="AN100" s="5"/>
      <c r="AO100" s="97"/>
      <c r="AP100" s="97"/>
      <c r="AQ100" s="97"/>
      <c r="AR100" s="97"/>
      <c r="AS100" s="97"/>
      <c r="AT100" s="97"/>
      <c r="AU100" s="97"/>
      <c r="AV100" s="97"/>
      <c r="AW100" s="1"/>
      <c r="AX100" s="221"/>
    </row>
    <row r="101" spans="1:56" ht="15.75" customHeight="1" x14ac:dyDescent="0.3">
      <c r="A101" s="1"/>
      <c r="B101" s="94"/>
      <c r="C101" s="94"/>
      <c r="D101" s="94" t="s">
        <v>72</v>
      </c>
      <c r="E101" s="94"/>
      <c r="F101" s="94"/>
      <c r="G101" s="95"/>
      <c r="H101" s="95"/>
      <c r="I101" s="95"/>
      <c r="J101" s="94"/>
      <c r="K101" s="97">
        <f>NPV(WACC!$D$35,O101:AV101)</f>
        <v>2320113.7304349788</v>
      </c>
      <c r="L101" s="97">
        <f t="shared" si="52"/>
        <v>8118574.5519900303</v>
      </c>
      <c r="M101" s="1"/>
      <c r="N101" s="1"/>
      <c r="O101" s="97">
        <f t="shared" ref="O101:AM101" si="55">O67</f>
        <v>0</v>
      </c>
      <c r="P101" s="97">
        <f t="shared" si="55"/>
        <v>1658772.2047720007</v>
      </c>
      <c r="Q101" s="97">
        <f t="shared" si="55"/>
        <v>-84928.32070895638</v>
      </c>
      <c r="R101" s="97">
        <f t="shared" si="55"/>
        <v>-39689.434519312192</v>
      </c>
      <c r="S101" s="97">
        <f t="shared" si="55"/>
        <v>10042.617837987325</v>
      </c>
      <c r="T101" s="97">
        <f t="shared" si="55"/>
        <v>-72945.346783523011</v>
      </c>
      <c r="U101" s="97">
        <f t="shared" si="55"/>
        <v>-26516.301030622853</v>
      </c>
      <c r="V101" s="97">
        <f t="shared" si="55"/>
        <v>24524.118589859536</v>
      </c>
      <c r="W101" s="97">
        <f t="shared" si="55"/>
        <v>67324.836044701544</v>
      </c>
      <c r="X101" s="97">
        <f t="shared" si="55"/>
        <v>107080.55358470773</v>
      </c>
      <c r="Y101" s="97">
        <f t="shared" si="55"/>
        <v>171389.93090557185</v>
      </c>
      <c r="Z101" s="97">
        <f t="shared" si="55"/>
        <v>105436.34660838854</v>
      </c>
      <c r="AA101" s="97">
        <f t="shared" si="55"/>
        <v>169582.41983888112</v>
      </c>
      <c r="AB101" s="97">
        <f t="shared" si="55"/>
        <v>183302.87318845955</v>
      </c>
      <c r="AC101" s="97">
        <f t="shared" si="55"/>
        <v>255182.71867310855</v>
      </c>
      <c r="AD101" s="97">
        <f t="shared" si="55"/>
        <v>334201.73395327403</v>
      </c>
      <c r="AE101" s="97">
        <f t="shared" si="55"/>
        <v>271124.16742261522</v>
      </c>
      <c r="AF101" s="97">
        <f t="shared" si="55"/>
        <v>347631.41221562884</v>
      </c>
      <c r="AG101" s="97">
        <f t="shared" si="55"/>
        <v>419308.0286379907</v>
      </c>
      <c r="AH101" s="97">
        <f t="shared" si="55"/>
        <v>514628.11479109386</v>
      </c>
      <c r="AI101" s="97">
        <f t="shared" si="55"/>
        <v>619415.47616414167</v>
      </c>
      <c r="AJ101" s="97">
        <f t="shared" si="55"/>
        <v>596965.44984283135</v>
      </c>
      <c r="AK101" s="97">
        <f t="shared" si="55"/>
        <v>709930.62811964843</v>
      </c>
      <c r="AL101" s="97">
        <f t="shared" si="55"/>
        <v>820806.52600222942</v>
      </c>
      <c r="AM101" s="97">
        <f t="shared" si="55"/>
        <v>956003.79783932539</v>
      </c>
      <c r="AN101" s="5"/>
      <c r="AO101" s="97"/>
      <c r="AP101" s="97"/>
      <c r="AQ101" s="97"/>
      <c r="AR101" s="97"/>
      <c r="AS101" s="97"/>
      <c r="AT101" s="97"/>
      <c r="AU101" s="97"/>
      <c r="AV101" s="97"/>
      <c r="AW101" s="1"/>
    </row>
    <row r="102" spans="1:56" ht="15.75" customHeight="1" x14ac:dyDescent="0.3">
      <c r="A102" s="1"/>
      <c r="B102" s="98"/>
      <c r="C102" s="98" t="s">
        <v>73</v>
      </c>
      <c r="D102" s="98"/>
      <c r="E102" s="98"/>
      <c r="F102" s="98"/>
      <c r="G102" s="98"/>
      <c r="H102" s="98"/>
      <c r="I102" s="98"/>
      <c r="J102" s="98"/>
      <c r="K102" s="97">
        <f>NPV(WACC!$D$35,O102:AV102)</f>
        <v>-798332.15330841183</v>
      </c>
      <c r="L102" s="99">
        <f t="shared" ref="L102" si="56">SUM(L103:L104)</f>
        <v>-2280535.3195273723</v>
      </c>
      <c r="M102" s="1"/>
      <c r="N102" s="1"/>
      <c r="O102" s="99">
        <f t="shared" ref="O102:AM102" si="57">SUM(O103:O104)</f>
        <v>-31240.209856539313</v>
      </c>
      <c r="P102" s="99">
        <f t="shared" si="57"/>
        <v>-93720.629569618031</v>
      </c>
      <c r="Q102" s="99">
        <f t="shared" si="57"/>
        <v>-93720.629569618031</v>
      </c>
      <c r="R102" s="99">
        <f t="shared" si="57"/>
        <v>-93720.629569618031</v>
      </c>
      <c r="S102" s="99">
        <f t="shared" si="57"/>
        <v>-93720.629569618031</v>
      </c>
      <c r="T102" s="99">
        <f t="shared" si="57"/>
        <v>-93720.629569618031</v>
      </c>
      <c r="U102" s="99">
        <f t="shared" si="57"/>
        <v>-93720.629569618031</v>
      </c>
      <c r="V102" s="99">
        <f t="shared" si="57"/>
        <v>-93720.629569618031</v>
      </c>
      <c r="W102" s="99">
        <f t="shared" si="57"/>
        <v>-93720.629569618031</v>
      </c>
      <c r="X102" s="99">
        <f t="shared" si="57"/>
        <v>-93720.629569618031</v>
      </c>
      <c r="Y102" s="99">
        <f t="shared" si="57"/>
        <v>-93720.629569618031</v>
      </c>
      <c r="Z102" s="99">
        <f t="shared" si="57"/>
        <v>-93720.629569618031</v>
      </c>
      <c r="AA102" s="99">
        <f t="shared" si="57"/>
        <v>-93720.629569618031</v>
      </c>
      <c r="AB102" s="99">
        <f t="shared" si="57"/>
        <v>-93720.629569618031</v>
      </c>
      <c r="AC102" s="99">
        <f t="shared" si="57"/>
        <v>-93720.629569618031</v>
      </c>
      <c r="AD102" s="99">
        <f t="shared" si="57"/>
        <v>-93720.629569618031</v>
      </c>
      <c r="AE102" s="99">
        <f t="shared" si="57"/>
        <v>-93720.629569618031</v>
      </c>
      <c r="AF102" s="99">
        <f t="shared" si="57"/>
        <v>-93720.629569618031</v>
      </c>
      <c r="AG102" s="99">
        <f t="shared" si="57"/>
        <v>-93720.629569618031</v>
      </c>
      <c r="AH102" s="99">
        <f t="shared" si="57"/>
        <v>-93720.629569618031</v>
      </c>
      <c r="AI102" s="99">
        <f t="shared" si="57"/>
        <v>-93720.629569618031</v>
      </c>
      <c r="AJ102" s="99">
        <f t="shared" si="57"/>
        <v>-93720.629569618031</v>
      </c>
      <c r="AK102" s="99">
        <f t="shared" si="57"/>
        <v>-93720.629569618031</v>
      </c>
      <c r="AL102" s="99">
        <f t="shared" si="57"/>
        <v>-93720.629569618031</v>
      </c>
      <c r="AM102" s="99">
        <f t="shared" si="57"/>
        <v>-93720.629569618031</v>
      </c>
      <c r="AN102" s="5"/>
      <c r="AO102" s="99"/>
      <c r="AP102" s="99"/>
      <c r="AQ102" s="99"/>
      <c r="AR102" s="99"/>
      <c r="AS102" s="99"/>
      <c r="AT102" s="99"/>
      <c r="AU102" s="99"/>
      <c r="AV102" s="99"/>
      <c r="AW102" s="1"/>
    </row>
    <row r="103" spans="1:56" ht="15.75" customHeight="1" x14ac:dyDescent="0.3">
      <c r="A103" s="1"/>
      <c r="B103" s="53"/>
      <c r="C103" s="53"/>
      <c r="D103" s="100" t="s">
        <v>74</v>
      </c>
      <c r="E103" s="53"/>
      <c r="F103" s="53"/>
      <c r="G103" s="98"/>
      <c r="H103" s="53"/>
      <c r="I103" s="53"/>
      <c r="J103" s="53"/>
      <c r="K103" s="97">
        <f>NPV(WACC!$D$35,O103:AV103)</f>
        <v>-515736.70080985909</v>
      </c>
      <c r="L103" s="54">
        <f t="shared" ref="L103:L104" si="58">SUM(O103:AV103)</f>
        <v>-1473266.1798716655</v>
      </c>
      <c r="M103" s="1"/>
      <c r="N103" s="1"/>
      <c r="O103" s="54">
        <f t="shared" ref="O103:AM104" si="59">-O205</f>
        <v>-20181.728491392652</v>
      </c>
      <c r="P103" s="54">
        <f t="shared" si="59"/>
        <v>-60545.185474178019</v>
      </c>
      <c r="Q103" s="54">
        <f t="shared" si="59"/>
        <v>-60545.185474178019</v>
      </c>
      <c r="R103" s="54">
        <f t="shared" si="59"/>
        <v>-60545.185474178019</v>
      </c>
      <c r="S103" s="54">
        <f t="shared" si="59"/>
        <v>-60545.185474178019</v>
      </c>
      <c r="T103" s="54">
        <f t="shared" si="59"/>
        <v>-60545.185474178019</v>
      </c>
      <c r="U103" s="54">
        <f t="shared" si="59"/>
        <v>-60545.185474178019</v>
      </c>
      <c r="V103" s="54">
        <f t="shared" si="59"/>
        <v>-60545.185474178019</v>
      </c>
      <c r="W103" s="54">
        <f t="shared" si="59"/>
        <v>-60545.185474178019</v>
      </c>
      <c r="X103" s="54">
        <f t="shared" si="59"/>
        <v>-60545.185474178019</v>
      </c>
      <c r="Y103" s="54">
        <f t="shared" si="59"/>
        <v>-60545.185474178019</v>
      </c>
      <c r="Z103" s="54">
        <f t="shared" si="59"/>
        <v>-60545.185474178019</v>
      </c>
      <c r="AA103" s="54">
        <f t="shared" si="59"/>
        <v>-60545.185474178019</v>
      </c>
      <c r="AB103" s="54">
        <f t="shared" si="59"/>
        <v>-60545.185474178019</v>
      </c>
      <c r="AC103" s="54">
        <f t="shared" si="59"/>
        <v>-60545.185474178019</v>
      </c>
      <c r="AD103" s="54">
        <f t="shared" si="59"/>
        <v>-60545.185474178019</v>
      </c>
      <c r="AE103" s="54">
        <f t="shared" si="59"/>
        <v>-60545.185474178019</v>
      </c>
      <c r="AF103" s="54">
        <f t="shared" si="59"/>
        <v>-60545.185474178019</v>
      </c>
      <c r="AG103" s="54">
        <f t="shared" si="59"/>
        <v>-60545.185474178019</v>
      </c>
      <c r="AH103" s="54">
        <f t="shared" si="59"/>
        <v>-60545.185474178019</v>
      </c>
      <c r="AI103" s="54">
        <f t="shared" si="59"/>
        <v>-60545.185474178019</v>
      </c>
      <c r="AJ103" s="54">
        <f t="shared" si="59"/>
        <v>-60545.185474178019</v>
      </c>
      <c r="AK103" s="54">
        <f t="shared" si="59"/>
        <v>-60545.185474178019</v>
      </c>
      <c r="AL103" s="54">
        <f t="shared" si="59"/>
        <v>-60545.185474178019</v>
      </c>
      <c r="AM103" s="54">
        <f t="shared" si="59"/>
        <v>-60545.185474178019</v>
      </c>
      <c r="AN103" s="5"/>
      <c r="AO103" s="54"/>
      <c r="AP103" s="54"/>
      <c r="AQ103" s="54"/>
      <c r="AR103" s="54"/>
      <c r="AS103" s="54"/>
      <c r="AT103" s="54"/>
      <c r="AU103" s="54"/>
      <c r="AV103" s="54"/>
      <c r="AW103" s="1"/>
    </row>
    <row r="104" spans="1:56" ht="15.75" customHeight="1" x14ac:dyDescent="0.3">
      <c r="A104" s="1"/>
      <c r="B104" s="101"/>
      <c r="C104" s="101"/>
      <c r="D104" s="101" t="s">
        <v>75</v>
      </c>
      <c r="E104" s="101"/>
      <c r="F104" s="101"/>
      <c r="G104" s="101"/>
      <c r="H104" s="101"/>
      <c r="I104" s="101"/>
      <c r="J104" s="101"/>
      <c r="K104" s="97">
        <f>NPV(WACC!$D$35,O104:AV104)</f>
        <v>-282595.45249855286</v>
      </c>
      <c r="L104" s="102">
        <f t="shared" si="58"/>
        <v>-807269.13965570682</v>
      </c>
      <c r="M104" s="1"/>
      <c r="N104" s="1"/>
      <c r="O104" s="102">
        <f t="shared" si="59"/>
        <v>-11058.481365146661</v>
      </c>
      <c r="P104" s="102">
        <f t="shared" si="59"/>
        <v>-33175.444095440012</v>
      </c>
      <c r="Q104" s="102">
        <f t="shared" si="59"/>
        <v>-33175.444095440012</v>
      </c>
      <c r="R104" s="102">
        <f t="shared" si="59"/>
        <v>-33175.444095440012</v>
      </c>
      <c r="S104" s="102">
        <f t="shared" si="59"/>
        <v>-33175.444095440012</v>
      </c>
      <c r="T104" s="102">
        <f t="shared" si="59"/>
        <v>-33175.444095440012</v>
      </c>
      <c r="U104" s="102">
        <f t="shared" si="59"/>
        <v>-33175.444095440012</v>
      </c>
      <c r="V104" s="102">
        <f t="shared" si="59"/>
        <v>-33175.444095440012</v>
      </c>
      <c r="W104" s="102">
        <f t="shared" si="59"/>
        <v>-33175.444095440012</v>
      </c>
      <c r="X104" s="102">
        <f t="shared" si="59"/>
        <v>-33175.444095440012</v>
      </c>
      <c r="Y104" s="102">
        <f t="shared" si="59"/>
        <v>-33175.444095440012</v>
      </c>
      <c r="Z104" s="102">
        <f t="shared" si="59"/>
        <v>-33175.444095440012</v>
      </c>
      <c r="AA104" s="102">
        <f t="shared" si="59"/>
        <v>-33175.444095440012</v>
      </c>
      <c r="AB104" s="102">
        <f t="shared" si="59"/>
        <v>-33175.444095440012</v>
      </c>
      <c r="AC104" s="102">
        <f t="shared" si="59"/>
        <v>-33175.444095440012</v>
      </c>
      <c r="AD104" s="102">
        <f t="shared" si="59"/>
        <v>-33175.444095440012</v>
      </c>
      <c r="AE104" s="102">
        <f t="shared" si="59"/>
        <v>-33175.444095440012</v>
      </c>
      <c r="AF104" s="102">
        <f t="shared" si="59"/>
        <v>-33175.444095440012</v>
      </c>
      <c r="AG104" s="102">
        <f t="shared" si="59"/>
        <v>-33175.444095440012</v>
      </c>
      <c r="AH104" s="102">
        <f t="shared" si="59"/>
        <v>-33175.444095440012</v>
      </c>
      <c r="AI104" s="102">
        <f t="shared" si="59"/>
        <v>-33175.444095440012</v>
      </c>
      <c r="AJ104" s="102">
        <f t="shared" si="59"/>
        <v>-33175.444095440012</v>
      </c>
      <c r="AK104" s="102">
        <f t="shared" si="59"/>
        <v>-33175.444095440012</v>
      </c>
      <c r="AL104" s="102">
        <f t="shared" si="59"/>
        <v>-33175.444095440012</v>
      </c>
      <c r="AM104" s="102">
        <f t="shared" si="59"/>
        <v>-33175.444095440012</v>
      </c>
      <c r="AN104" s="5"/>
      <c r="AO104" s="102"/>
      <c r="AP104" s="102"/>
      <c r="AQ104" s="102"/>
      <c r="AR104" s="102"/>
      <c r="AS104" s="102"/>
      <c r="AT104" s="102"/>
      <c r="AU104" s="102"/>
      <c r="AV104" s="102"/>
      <c r="AW104" s="1"/>
    </row>
    <row r="105" spans="1:56" ht="15.75" customHeight="1" x14ac:dyDescent="0.3">
      <c r="A105" s="1"/>
      <c r="B105" s="68"/>
      <c r="C105" s="68" t="s">
        <v>76</v>
      </c>
      <c r="D105" s="76"/>
      <c r="E105" s="76"/>
      <c r="F105" s="76"/>
      <c r="G105" s="76"/>
      <c r="H105" s="76"/>
      <c r="I105" s="76"/>
      <c r="J105" s="76"/>
      <c r="K105" s="69">
        <f t="shared" ref="K105:L105" si="60">K98+K102</f>
        <v>16233617.442229791</v>
      </c>
      <c r="L105" s="69">
        <f t="shared" si="60"/>
        <v>43208266.255264066</v>
      </c>
      <c r="M105" s="1"/>
      <c r="N105" s="1"/>
      <c r="O105" s="69">
        <f t="shared" ref="O105:AM105" si="61">O98+O102</f>
        <v>3575956.7595262779</v>
      </c>
      <c r="P105" s="69">
        <f t="shared" si="61"/>
        <v>1024641.1406975912</v>
      </c>
      <c r="Q105" s="69">
        <f t="shared" si="61"/>
        <v>1024641.1406975912</v>
      </c>
      <c r="R105" s="69">
        <f t="shared" si="61"/>
        <v>1024641.1406975912</v>
      </c>
      <c r="S105" s="69">
        <f t="shared" si="61"/>
        <v>2410648.2203203859</v>
      </c>
      <c r="T105" s="69">
        <f t="shared" si="61"/>
        <v>1024641.1406975912</v>
      </c>
      <c r="U105" s="69">
        <f t="shared" si="61"/>
        <v>1024641.1406975912</v>
      </c>
      <c r="V105" s="69">
        <f t="shared" si="61"/>
        <v>1158641.9794522016</v>
      </c>
      <c r="W105" s="69">
        <f t="shared" si="61"/>
        <v>1232100.9008226618</v>
      </c>
      <c r="X105" s="69">
        <f t="shared" si="61"/>
        <v>1024641.1406975912</v>
      </c>
      <c r="Y105" s="69">
        <f t="shared" si="61"/>
        <v>2400486.9881775277</v>
      </c>
      <c r="Z105" s="69">
        <f t="shared" si="61"/>
        <v>1024641.1406975912</v>
      </c>
      <c r="AA105" s="69">
        <f t="shared" si="61"/>
        <v>1596491.3124892404</v>
      </c>
      <c r="AB105" s="69">
        <f t="shared" si="61"/>
        <v>1024641.1406975912</v>
      </c>
      <c r="AC105" s="69">
        <f t="shared" si="61"/>
        <v>1024641.1406975912</v>
      </c>
      <c r="AD105" s="69">
        <f t="shared" si="61"/>
        <v>2534341.9631079445</v>
      </c>
      <c r="AE105" s="69">
        <f t="shared" si="61"/>
        <v>1065872.0390162563</v>
      </c>
      <c r="AF105" s="69">
        <f t="shared" si="61"/>
        <v>1191015.8663281898</v>
      </c>
      <c r="AG105" s="69">
        <f t="shared" si="61"/>
        <v>1024641.1406975912</v>
      </c>
      <c r="AH105" s="69">
        <f t="shared" si="61"/>
        <v>1024641.1406975912</v>
      </c>
      <c r="AI105" s="69">
        <f t="shared" si="61"/>
        <v>2410502.3564961925</v>
      </c>
      <c r="AJ105" s="69">
        <f t="shared" si="61"/>
        <v>1024641.1406975912</v>
      </c>
      <c r="AK105" s="69">
        <f t="shared" si="61"/>
        <v>1158641.9794522016</v>
      </c>
      <c r="AL105" s="69">
        <f t="shared" si="61"/>
        <v>1024641.1406975912</v>
      </c>
      <c r="AM105" s="69">
        <f t="shared" si="61"/>
        <v>1034656.5090162565</v>
      </c>
      <c r="AN105" s="5"/>
      <c r="AO105" s="69"/>
      <c r="AP105" s="69"/>
      <c r="AQ105" s="69"/>
      <c r="AR105" s="69"/>
      <c r="AS105" s="69"/>
      <c r="AT105" s="69"/>
      <c r="AU105" s="69"/>
      <c r="AV105" s="69"/>
      <c r="AW105" s="1"/>
      <c r="AY105" s="221"/>
      <c r="AZ105" s="221"/>
      <c r="BA105" s="221"/>
      <c r="BB105" s="221"/>
      <c r="BC105" s="221"/>
      <c r="BD105" s="221"/>
    </row>
    <row r="106" spans="1:56" ht="15.75" customHeight="1" x14ac:dyDescent="0.3">
      <c r="A106" s="1"/>
      <c r="B106" s="94"/>
      <c r="C106" s="94" t="s">
        <v>8</v>
      </c>
      <c r="D106" s="94"/>
      <c r="E106" s="94"/>
      <c r="F106" s="94"/>
      <c r="G106" s="94"/>
      <c r="H106" s="94"/>
      <c r="I106" s="94"/>
      <c r="J106" s="94"/>
      <c r="K106" s="97">
        <f>NPV(WACC!$D$35,O106:AV106)</f>
        <v>-6712656.3413145626</v>
      </c>
      <c r="L106" s="97">
        <f t="shared" ref="L106:L107" si="62">SUM(O106:AV106)</f>
        <v>-18747995.265310675</v>
      </c>
      <c r="M106" s="1"/>
      <c r="N106" s="1"/>
      <c r="O106" s="97">
        <f t="shared" ref="O106:AM106" si="63">-SUM(O11)</f>
        <v>-484307.14391802822</v>
      </c>
      <c r="P106" s="97">
        <f t="shared" si="63"/>
        <v>-759530.1378576773</v>
      </c>
      <c r="Q106" s="97">
        <f t="shared" si="63"/>
        <v>-775107.90724580677</v>
      </c>
      <c r="R106" s="97">
        <f t="shared" si="63"/>
        <v>-759032.50619624567</v>
      </c>
      <c r="S106" s="97">
        <f t="shared" si="63"/>
        <v>-763040.01558437513</v>
      </c>
      <c r="T106" s="97">
        <f t="shared" si="63"/>
        <v>-770105.13453481405</v>
      </c>
      <c r="U106" s="97">
        <f t="shared" si="63"/>
        <v>-762542.38392294361</v>
      </c>
      <c r="V106" s="97">
        <f t="shared" si="63"/>
        <v>-769607.50287338253</v>
      </c>
      <c r="W106" s="97">
        <f t="shared" si="63"/>
        <v>-762044.75226151198</v>
      </c>
      <c r="X106" s="97">
        <f t="shared" si="63"/>
        <v>-757539.61121195089</v>
      </c>
      <c r="Y106" s="97">
        <f t="shared" si="63"/>
        <v>-773117.38060008036</v>
      </c>
      <c r="Z106" s="97">
        <f t="shared" si="63"/>
        <v>-757041.97955051926</v>
      </c>
      <c r="AA106" s="97">
        <f t="shared" si="63"/>
        <v>-772619.74893864873</v>
      </c>
      <c r="AB106" s="97">
        <f t="shared" si="63"/>
        <v>-756544.34788908774</v>
      </c>
      <c r="AC106" s="97">
        <f t="shared" si="63"/>
        <v>-760551.8572772172</v>
      </c>
      <c r="AD106" s="97">
        <f t="shared" si="63"/>
        <v>-767616.97622765612</v>
      </c>
      <c r="AE106" s="97">
        <f t="shared" si="63"/>
        <v>-760054.22561578557</v>
      </c>
      <c r="AF106" s="97">
        <f t="shared" si="63"/>
        <v>-767119.34456622449</v>
      </c>
      <c r="AG106" s="97">
        <f t="shared" si="63"/>
        <v>-759556.59395435394</v>
      </c>
      <c r="AH106" s="97">
        <f t="shared" si="63"/>
        <v>-755051.45290479285</v>
      </c>
      <c r="AI106" s="97">
        <f t="shared" si="63"/>
        <v>-770629.22229292232</v>
      </c>
      <c r="AJ106" s="97">
        <f t="shared" si="63"/>
        <v>-754553.82124336134</v>
      </c>
      <c r="AK106" s="97">
        <f t="shared" si="63"/>
        <v>-770131.59063149081</v>
      </c>
      <c r="AL106" s="97">
        <f t="shared" si="63"/>
        <v>-754056.18958192971</v>
      </c>
      <c r="AM106" s="97">
        <f t="shared" si="63"/>
        <v>-706493.43842986459</v>
      </c>
      <c r="AN106" s="5"/>
      <c r="AO106" s="97"/>
      <c r="AP106" s="97"/>
      <c r="AQ106" s="97"/>
      <c r="AR106" s="97"/>
      <c r="AS106" s="97"/>
      <c r="AT106" s="97"/>
      <c r="AU106" s="97"/>
      <c r="AV106" s="97"/>
      <c r="AW106" s="1"/>
      <c r="AY106" s="221"/>
      <c r="AZ106" s="221"/>
      <c r="BA106" s="221"/>
      <c r="BB106" s="221"/>
      <c r="BC106" s="221"/>
      <c r="BD106" s="221"/>
    </row>
    <row r="107" spans="1:56" ht="15.75" customHeight="1" x14ac:dyDescent="0.3">
      <c r="A107" s="1"/>
      <c r="B107" s="101"/>
      <c r="C107" s="101" t="s">
        <v>77</v>
      </c>
      <c r="D107" s="101"/>
      <c r="E107" s="101"/>
      <c r="F107" s="101"/>
      <c r="G107" s="101"/>
      <c r="H107" s="101"/>
      <c r="I107" s="101"/>
      <c r="J107" s="101"/>
      <c r="K107" s="102">
        <f>NPV(WACC!$D$35,O107:AV107)</f>
        <v>-5185393.6683826335</v>
      </c>
      <c r="L107" s="102">
        <f t="shared" si="62"/>
        <v>-10156757.279632637</v>
      </c>
      <c r="M107" s="1"/>
      <c r="N107" s="1"/>
      <c r="O107" s="102">
        <f>-O29</f>
        <v>-3234409.7126270812</v>
      </c>
      <c r="P107" s="102">
        <f t="shared" ref="P107:AM107" si="64">-P29</f>
        <v>0</v>
      </c>
      <c r="Q107" s="102">
        <f t="shared" si="64"/>
        <v>0</v>
      </c>
      <c r="R107" s="102">
        <f t="shared" si="64"/>
        <v>0</v>
      </c>
      <c r="S107" s="102">
        <f t="shared" si="64"/>
        <v>-1386007.0796227944</v>
      </c>
      <c r="T107" s="102">
        <f t="shared" si="64"/>
        <v>0</v>
      </c>
      <c r="U107" s="102">
        <f t="shared" si="64"/>
        <v>0</v>
      </c>
      <c r="V107" s="102">
        <f t="shared" si="64"/>
        <v>-134000.83875461042</v>
      </c>
      <c r="W107" s="102">
        <f t="shared" si="64"/>
        <v>-207459.76012507069</v>
      </c>
      <c r="X107" s="102">
        <f t="shared" si="64"/>
        <v>0</v>
      </c>
      <c r="Y107" s="102">
        <f t="shared" si="64"/>
        <v>-1375845.8474799362</v>
      </c>
      <c r="Z107" s="102">
        <f t="shared" si="64"/>
        <v>0</v>
      </c>
      <c r="AA107" s="102">
        <f t="shared" si="64"/>
        <v>-571850.17179164919</v>
      </c>
      <c r="AB107" s="102">
        <f t="shared" si="64"/>
        <v>0</v>
      </c>
      <c r="AC107" s="102">
        <f t="shared" si="64"/>
        <v>0</v>
      </c>
      <c r="AD107" s="102">
        <f t="shared" si="64"/>
        <v>-1509700.8224103535</v>
      </c>
      <c r="AE107" s="102">
        <f t="shared" si="64"/>
        <v>-41230.898318665204</v>
      </c>
      <c r="AF107" s="102">
        <f t="shared" si="64"/>
        <v>-166374.72563059852</v>
      </c>
      <c r="AG107" s="102">
        <f t="shared" si="64"/>
        <v>0</v>
      </c>
      <c r="AH107" s="102">
        <f t="shared" si="64"/>
        <v>0</v>
      </c>
      <c r="AI107" s="102">
        <f t="shared" si="64"/>
        <v>-1385861.2157986015</v>
      </c>
      <c r="AJ107" s="102">
        <f t="shared" si="64"/>
        <v>0</v>
      </c>
      <c r="AK107" s="102">
        <f t="shared" si="64"/>
        <v>-134000.83875461042</v>
      </c>
      <c r="AL107" s="102">
        <f t="shared" si="64"/>
        <v>0</v>
      </c>
      <c r="AM107" s="102">
        <f t="shared" si="64"/>
        <v>-10015.368318665205</v>
      </c>
      <c r="AN107" s="5"/>
      <c r="AO107" s="102"/>
      <c r="AP107" s="102"/>
      <c r="AQ107" s="102"/>
      <c r="AR107" s="102"/>
      <c r="AS107" s="102"/>
      <c r="AT107" s="102"/>
      <c r="AU107" s="102"/>
      <c r="AV107" s="102"/>
      <c r="AW107" s="1"/>
      <c r="AY107" s="221"/>
      <c r="AZ107" s="221"/>
      <c r="BA107" s="221"/>
      <c r="BB107" s="221"/>
      <c r="BC107" s="221"/>
      <c r="BD107" s="221"/>
    </row>
    <row r="108" spans="1:56" ht="15.75" customHeight="1" x14ac:dyDescent="0.3">
      <c r="A108" s="1"/>
      <c r="B108" s="74"/>
      <c r="C108" s="74" t="s">
        <v>78</v>
      </c>
      <c r="D108" s="25"/>
      <c r="E108" s="25"/>
      <c r="F108" s="25"/>
      <c r="G108" s="25"/>
      <c r="H108" s="25"/>
      <c r="I108" s="25"/>
      <c r="J108" s="25"/>
      <c r="K108" s="75">
        <f t="shared" ref="K108:L108" si="65">K105+SUM(K106:K107)</f>
        <v>4335567.4325325955</v>
      </c>
      <c r="L108" s="75">
        <f t="shared" si="65"/>
        <v>14303513.710320756</v>
      </c>
      <c r="M108" s="1"/>
      <c r="N108" s="1"/>
      <c r="O108" s="75">
        <f t="shared" ref="O108:AM108" si="66">O105+SUM(O106:O107)</f>
        <v>-142760.09701883141</v>
      </c>
      <c r="P108" s="75">
        <f t="shared" si="66"/>
        <v>265111.00283991394</v>
      </c>
      <c r="Q108" s="75">
        <f t="shared" si="66"/>
        <v>249533.23345178447</v>
      </c>
      <c r="R108" s="75">
        <f t="shared" si="66"/>
        <v>265608.63450134557</v>
      </c>
      <c r="S108" s="75">
        <f t="shared" si="66"/>
        <v>261601.12511321623</v>
      </c>
      <c r="T108" s="75">
        <f t="shared" si="66"/>
        <v>254536.00616277719</v>
      </c>
      <c r="U108" s="75">
        <f t="shared" si="66"/>
        <v>262098.75677464763</v>
      </c>
      <c r="V108" s="75">
        <f t="shared" si="66"/>
        <v>255033.63782420871</v>
      </c>
      <c r="W108" s="75">
        <f t="shared" si="66"/>
        <v>262596.38843607914</v>
      </c>
      <c r="X108" s="75">
        <f t="shared" si="66"/>
        <v>267101.52948564035</v>
      </c>
      <c r="Y108" s="75">
        <f t="shared" si="66"/>
        <v>251523.76009751111</v>
      </c>
      <c r="Z108" s="75">
        <f t="shared" si="66"/>
        <v>267599.16114707198</v>
      </c>
      <c r="AA108" s="75">
        <f t="shared" si="66"/>
        <v>252021.39175894251</v>
      </c>
      <c r="AB108" s="75">
        <f t="shared" si="66"/>
        <v>268096.79280850349</v>
      </c>
      <c r="AC108" s="75">
        <f t="shared" si="66"/>
        <v>264089.28342037403</v>
      </c>
      <c r="AD108" s="75">
        <f t="shared" si="66"/>
        <v>257024.164469935</v>
      </c>
      <c r="AE108" s="75">
        <f t="shared" si="66"/>
        <v>264586.91508180555</v>
      </c>
      <c r="AF108" s="75">
        <f t="shared" si="66"/>
        <v>257521.79613136686</v>
      </c>
      <c r="AG108" s="75">
        <f t="shared" si="66"/>
        <v>265084.5467432373</v>
      </c>
      <c r="AH108" s="75">
        <f t="shared" si="66"/>
        <v>269589.68779279839</v>
      </c>
      <c r="AI108" s="75">
        <f t="shared" si="66"/>
        <v>254011.91840466857</v>
      </c>
      <c r="AJ108" s="75">
        <f t="shared" si="66"/>
        <v>270087.3194542299</v>
      </c>
      <c r="AK108" s="75">
        <f t="shared" si="66"/>
        <v>254509.55006610043</v>
      </c>
      <c r="AL108" s="75">
        <f t="shared" si="66"/>
        <v>270584.95111566153</v>
      </c>
      <c r="AM108" s="75">
        <f t="shared" si="66"/>
        <v>318147.70226772677</v>
      </c>
      <c r="AN108" s="5"/>
      <c r="AO108" s="75"/>
      <c r="AP108" s="75"/>
      <c r="AQ108" s="75"/>
      <c r="AR108" s="75"/>
      <c r="AS108" s="75"/>
      <c r="AT108" s="75"/>
      <c r="AU108" s="75"/>
      <c r="AV108" s="75"/>
      <c r="AW108" s="1"/>
      <c r="AY108" s="221"/>
      <c r="AZ108" s="221"/>
      <c r="BA108" s="221"/>
      <c r="BB108" s="221"/>
      <c r="BC108" s="221"/>
      <c r="BD108" s="221"/>
    </row>
    <row r="109" spans="1:56" ht="15.75" customHeight="1" x14ac:dyDescent="0.3">
      <c r="A109" s="1"/>
      <c r="B109" s="103"/>
      <c r="C109" s="103" t="s">
        <v>79</v>
      </c>
      <c r="D109" s="104"/>
      <c r="E109" s="104"/>
      <c r="F109" s="104"/>
      <c r="G109" s="104"/>
      <c r="H109" s="104"/>
      <c r="I109" s="104"/>
      <c r="J109" s="104"/>
      <c r="K109" s="105">
        <f t="shared" ref="K109:L109" si="67">IFERROR(K108/K$105,0)</f>
        <v>0.26707340172093386</v>
      </c>
      <c r="L109" s="105">
        <f t="shared" si="67"/>
        <v>0.33103651106524457</v>
      </c>
      <c r="M109" s="1"/>
      <c r="N109" s="1"/>
      <c r="O109" s="105">
        <f t="shared" ref="O109:AM109" si="68">IFERROR(O108/O$105,0)</f>
        <v>-3.9922210087837709E-2</v>
      </c>
      <c r="P109" s="105">
        <f t="shared" si="68"/>
        <v>0.25873546582310986</v>
      </c>
      <c r="Q109" s="105">
        <f t="shared" si="68"/>
        <v>0.24353231930732203</v>
      </c>
      <c r="R109" s="105">
        <f t="shared" si="68"/>
        <v>0.25922113016125353</v>
      </c>
      <c r="S109" s="105">
        <f t="shared" si="68"/>
        <v>0.10851899622187441</v>
      </c>
      <c r="T109" s="105">
        <f t="shared" si="68"/>
        <v>0.24841478255449045</v>
      </c>
      <c r="U109" s="105">
        <f t="shared" si="68"/>
        <v>0.25579565992851588</v>
      </c>
      <c r="V109" s="105">
        <f t="shared" si="68"/>
        <v>0.22011427373345038</v>
      </c>
      <c r="W109" s="105">
        <f t="shared" si="68"/>
        <v>0.21312896391906383</v>
      </c>
      <c r="X109" s="105">
        <f t="shared" si="68"/>
        <v>0.26067812317568428</v>
      </c>
      <c r="Y109" s="105">
        <f t="shared" si="68"/>
        <v>0.10478030555311209</v>
      </c>
      <c r="Z109" s="105">
        <f t="shared" si="68"/>
        <v>0.26116378751382791</v>
      </c>
      <c r="AA109" s="105">
        <f t="shared" si="68"/>
        <v>0.15785954473249977</v>
      </c>
      <c r="AB109" s="105">
        <f t="shared" si="68"/>
        <v>0.26164945185197142</v>
      </c>
      <c r="AC109" s="105">
        <f t="shared" si="68"/>
        <v>0.25773831728109026</v>
      </c>
      <c r="AD109" s="105">
        <f t="shared" si="68"/>
        <v>0.10141652871293583</v>
      </c>
      <c r="AE109" s="105">
        <f t="shared" si="68"/>
        <v>0.24823515900276857</v>
      </c>
      <c r="AF109" s="105">
        <f t="shared" si="68"/>
        <v>0.21622029010015351</v>
      </c>
      <c r="AG109" s="105">
        <f t="shared" si="68"/>
        <v>0.25870964595737755</v>
      </c>
      <c r="AH109" s="105">
        <f t="shared" si="68"/>
        <v>0.26310644486640233</v>
      </c>
      <c r="AI109" s="105">
        <f t="shared" si="68"/>
        <v>0.10537717074622151</v>
      </c>
      <c r="AJ109" s="105">
        <f t="shared" si="68"/>
        <v>0.26359210920454584</v>
      </c>
      <c r="AK109" s="105">
        <f t="shared" si="68"/>
        <v>0.21966194439669007</v>
      </c>
      <c r="AL109" s="105">
        <f t="shared" si="68"/>
        <v>0.26407777354268946</v>
      </c>
      <c r="AM109" s="105">
        <f t="shared" si="68"/>
        <v>0.30749113304300302</v>
      </c>
      <c r="AN109" s="5"/>
      <c r="AO109" s="105"/>
      <c r="AP109" s="105"/>
      <c r="AQ109" s="105"/>
      <c r="AR109" s="105"/>
      <c r="AS109" s="105"/>
      <c r="AT109" s="105"/>
      <c r="AU109" s="105"/>
      <c r="AV109" s="105"/>
      <c r="AW109" s="1"/>
      <c r="AY109" s="221"/>
      <c r="AZ109" s="221"/>
      <c r="BA109" s="221"/>
      <c r="BB109" s="221"/>
      <c r="BC109" s="221"/>
      <c r="BD109" s="221"/>
    </row>
    <row r="110" spans="1:56" ht="15.75" customHeight="1" x14ac:dyDescent="0.3">
      <c r="A110" s="1"/>
      <c r="B110" s="94"/>
      <c r="C110" s="94" t="s">
        <v>80</v>
      </c>
      <c r="D110" s="94"/>
      <c r="E110" s="94"/>
      <c r="F110" s="94"/>
      <c r="G110" s="94"/>
      <c r="H110" s="94"/>
      <c r="I110" s="94"/>
      <c r="J110" s="94"/>
      <c r="K110" s="97">
        <f>NPV(WACC!$D$35,O110:AV110)</f>
        <v>0</v>
      </c>
      <c r="L110" s="97">
        <f t="shared" ref="L110:L111" si="69">SUM(O110:AV110)</f>
        <v>0</v>
      </c>
      <c r="M110" s="1"/>
      <c r="N110" s="1"/>
      <c r="O110" s="97">
        <v>0</v>
      </c>
      <c r="P110" s="97">
        <v>0</v>
      </c>
      <c r="Q110" s="97">
        <v>0</v>
      </c>
      <c r="R110" s="97">
        <v>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0</v>
      </c>
      <c r="AG110" s="97">
        <v>0</v>
      </c>
      <c r="AH110" s="97">
        <v>0</v>
      </c>
      <c r="AI110" s="97">
        <v>0</v>
      </c>
      <c r="AJ110" s="97">
        <v>0</v>
      </c>
      <c r="AK110" s="97">
        <v>0</v>
      </c>
      <c r="AL110" s="97">
        <v>0</v>
      </c>
      <c r="AM110" s="97">
        <v>0</v>
      </c>
      <c r="AN110" s="5"/>
      <c r="AO110" s="97"/>
      <c r="AP110" s="97"/>
      <c r="AQ110" s="97"/>
      <c r="AR110" s="97"/>
      <c r="AS110" s="97"/>
      <c r="AT110" s="97"/>
      <c r="AU110" s="97"/>
      <c r="AV110" s="97"/>
      <c r="AW110" s="1"/>
      <c r="AY110" s="221"/>
      <c r="AZ110" s="221"/>
      <c r="BA110" s="221"/>
      <c r="BB110" s="221"/>
      <c r="BC110" s="221"/>
      <c r="BD110" s="221"/>
    </row>
    <row r="111" spans="1:56" ht="15.75" customHeight="1" x14ac:dyDescent="0.3">
      <c r="A111" s="1"/>
      <c r="B111" s="101"/>
      <c r="C111" s="101" t="s">
        <v>81</v>
      </c>
      <c r="D111" s="101"/>
      <c r="E111" s="101"/>
      <c r="F111" s="101"/>
      <c r="G111" s="101"/>
      <c r="H111" s="101"/>
      <c r="I111" s="101"/>
      <c r="J111" s="101"/>
      <c r="K111" s="102">
        <f>NPV(WACC!$D$35,O111:AV111)</f>
        <v>6923444.1586420331</v>
      </c>
      <c r="L111" s="102">
        <f t="shared" si="69"/>
        <v>21268561.79160662</v>
      </c>
      <c r="M111" s="1"/>
      <c r="N111" s="1"/>
      <c r="O111" s="102">
        <f t="shared" ref="O111:AM111" si="70">O70</f>
        <v>180136.81150159694</v>
      </c>
      <c r="P111" s="102">
        <f t="shared" si="70"/>
        <v>2199182.6392767918</v>
      </c>
      <c r="Q111" s="102">
        <f t="shared" si="70"/>
        <v>455482.11379583488</v>
      </c>
      <c r="R111" s="102">
        <f t="shared" si="70"/>
        <v>500720.99998547911</v>
      </c>
      <c r="S111" s="102">
        <f t="shared" si="70"/>
        <v>550453.05234277865</v>
      </c>
      <c r="T111" s="102">
        <f t="shared" si="70"/>
        <v>467465.0877212683</v>
      </c>
      <c r="U111" s="102">
        <f t="shared" si="70"/>
        <v>513894.13347416843</v>
      </c>
      <c r="V111" s="102">
        <f t="shared" si="70"/>
        <v>564934.55309465085</v>
      </c>
      <c r="W111" s="102">
        <f t="shared" si="70"/>
        <v>607735.27054949279</v>
      </c>
      <c r="X111" s="102">
        <f t="shared" si="70"/>
        <v>647490.98808949906</v>
      </c>
      <c r="Y111" s="102">
        <f t="shared" si="70"/>
        <v>711800.36541036307</v>
      </c>
      <c r="Z111" s="102">
        <f t="shared" si="70"/>
        <v>645846.78111317987</v>
      </c>
      <c r="AA111" s="102">
        <f t="shared" si="70"/>
        <v>709992.8543436724</v>
      </c>
      <c r="AB111" s="102">
        <f t="shared" si="70"/>
        <v>723713.30769325083</v>
      </c>
      <c r="AC111" s="102">
        <f t="shared" si="70"/>
        <v>795593.15317789977</v>
      </c>
      <c r="AD111" s="102">
        <f t="shared" si="70"/>
        <v>874612.16845806525</v>
      </c>
      <c r="AE111" s="102">
        <f t="shared" si="70"/>
        <v>811534.6019274065</v>
      </c>
      <c r="AF111" s="102">
        <f t="shared" si="70"/>
        <v>888041.84672042006</v>
      </c>
      <c r="AG111" s="102">
        <f t="shared" si="70"/>
        <v>959718.46314278198</v>
      </c>
      <c r="AH111" s="102">
        <f t="shared" si="70"/>
        <v>1055038.549295885</v>
      </c>
      <c r="AI111" s="102">
        <f t="shared" si="70"/>
        <v>1159825.9106689328</v>
      </c>
      <c r="AJ111" s="102">
        <f t="shared" si="70"/>
        <v>1137375.8843476227</v>
      </c>
      <c r="AK111" s="102">
        <f t="shared" si="70"/>
        <v>1250341.0626244396</v>
      </c>
      <c r="AL111" s="102">
        <f t="shared" si="70"/>
        <v>1361216.9605070208</v>
      </c>
      <c r="AM111" s="102">
        <f t="shared" si="70"/>
        <v>1496414.2323441165</v>
      </c>
      <c r="AN111" s="5"/>
      <c r="AO111" s="102"/>
      <c r="AP111" s="102"/>
      <c r="AQ111" s="102"/>
      <c r="AR111" s="102"/>
      <c r="AS111" s="102"/>
      <c r="AT111" s="102"/>
      <c r="AU111" s="102"/>
      <c r="AV111" s="102"/>
      <c r="AW111" s="1"/>
      <c r="AY111" s="221"/>
      <c r="AZ111" s="221"/>
      <c r="BA111" s="221"/>
      <c r="BB111" s="221"/>
      <c r="BC111" s="221"/>
      <c r="BD111" s="221"/>
    </row>
    <row r="112" spans="1:56" ht="15.75" customHeight="1" x14ac:dyDescent="0.3">
      <c r="A112" s="1"/>
      <c r="B112" s="74"/>
      <c r="C112" s="74" t="s">
        <v>82</v>
      </c>
      <c r="D112" s="25"/>
      <c r="E112" s="25"/>
      <c r="F112" s="25"/>
      <c r="G112" s="25"/>
      <c r="H112" s="25"/>
      <c r="I112" s="25"/>
      <c r="J112" s="25"/>
      <c r="K112" s="75">
        <f t="shared" ref="K112:L112" si="71">K108+K110+K111</f>
        <v>11259011.591174629</v>
      </c>
      <c r="L112" s="75">
        <f t="shared" si="71"/>
        <v>35572075.501927376</v>
      </c>
      <c r="M112" s="1"/>
      <c r="N112" s="1"/>
      <c r="O112" s="75">
        <f t="shared" ref="O112:AM112" si="72">O108+O110+O111</f>
        <v>37376.714482765528</v>
      </c>
      <c r="P112" s="75">
        <f t="shared" si="72"/>
        <v>2464293.6421167059</v>
      </c>
      <c r="Q112" s="75">
        <f t="shared" si="72"/>
        <v>705015.34724761941</v>
      </c>
      <c r="R112" s="75">
        <f t="shared" si="72"/>
        <v>766329.63448682474</v>
      </c>
      <c r="S112" s="75">
        <f t="shared" si="72"/>
        <v>812054.17745599488</v>
      </c>
      <c r="T112" s="75">
        <f t="shared" si="72"/>
        <v>722001.09388404549</v>
      </c>
      <c r="U112" s="75">
        <f t="shared" si="72"/>
        <v>775992.89024881599</v>
      </c>
      <c r="V112" s="75">
        <f t="shared" si="72"/>
        <v>819968.19091885956</v>
      </c>
      <c r="W112" s="75">
        <f t="shared" si="72"/>
        <v>870331.65898557194</v>
      </c>
      <c r="X112" s="75">
        <f t="shared" si="72"/>
        <v>914592.51757513941</v>
      </c>
      <c r="Y112" s="75">
        <f t="shared" si="72"/>
        <v>963324.12550787418</v>
      </c>
      <c r="Z112" s="75">
        <f t="shared" si="72"/>
        <v>913445.94226025185</v>
      </c>
      <c r="AA112" s="75">
        <f t="shared" si="72"/>
        <v>962014.24610261491</v>
      </c>
      <c r="AB112" s="75">
        <f t="shared" si="72"/>
        <v>991810.10050175432</v>
      </c>
      <c r="AC112" s="75">
        <f t="shared" si="72"/>
        <v>1059682.4365982739</v>
      </c>
      <c r="AD112" s="75">
        <f t="shared" si="72"/>
        <v>1131636.3329280003</v>
      </c>
      <c r="AE112" s="75">
        <f t="shared" si="72"/>
        <v>1076121.5170092122</v>
      </c>
      <c r="AF112" s="75">
        <f t="shared" si="72"/>
        <v>1145563.6428517869</v>
      </c>
      <c r="AG112" s="75">
        <f t="shared" si="72"/>
        <v>1224803.0098860194</v>
      </c>
      <c r="AH112" s="75">
        <f t="shared" si="72"/>
        <v>1324628.2370886835</v>
      </c>
      <c r="AI112" s="75">
        <f t="shared" si="72"/>
        <v>1413837.8290736014</v>
      </c>
      <c r="AJ112" s="75">
        <f t="shared" si="72"/>
        <v>1407463.2038018527</v>
      </c>
      <c r="AK112" s="75">
        <f t="shared" si="72"/>
        <v>1504850.61269054</v>
      </c>
      <c r="AL112" s="75">
        <f t="shared" si="72"/>
        <v>1631801.9116226824</v>
      </c>
      <c r="AM112" s="75">
        <f t="shared" si="72"/>
        <v>1814561.9346118434</v>
      </c>
      <c r="AN112" s="5"/>
      <c r="AO112" s="75"/>
      <c r="AP112" s="75"/>
      <c r="AQ112" s="75"/>
      <c r="AR112" s="75"/>
      <c r="AS112" s="75"/>
      <c r="AT112" s="75"/>
      <c r="AU112" s="75"/>
      <c r="AV112" s="75"/>
      <c r="AW112" s="1"/>
      <c r="AX112" s="221"/>
      <c r="AY112" s="221"/>
      <c r="AZ112" s="221"/>
      <c r="BA112" s="221"/>
      <c r="BB112" s="221"/>
      <c r="BC112" s="221"/>
      <c r="BD112" s="221"/>
    </row>
    <row r="113" spans="1:56" ht="15.75" customHeight="1" x14ac:dyDescent="0.3">
      <c r="A113" s="1"/>
      <c r="B113" s="103"/>
      <c r="C113" s="103" t="s">
        <v>83</v>
      </c>
      <c r="D113" s="104"/>
      <c r="E113" s="104"/>
      <c r="F113" s="104"/>
      <c r="G113" s="104"/>
      <c r="H113" s="104"/>
      <c r="I113" s="104"/>
      <c r="J113" s="104"/>
      <c r="K113" s="105">
        <f t="shared" ref="K113:L113" si="73">IFERROR(K112/K$105,0)</f>
        <v>0.69356147089469244</v>
      </c>
      <c r="L113" s="105">
        <f t="shared" si="73"/>
        <v>0.82327014214771066</v>
      </c>
      <c r="M113" s="1"/>
      <c r="N113" s="1"/>
      <c r="O113" s="105">
        <f t="shared" ref="O113:AM113" si="74">IFERROR(O112/O$105,0)</f>
        <v>1.0452227752249717E-2</v>
      </c>
      <c r="P113" s="105">
        <f t="shared" si="74"/>
        <v>2.405030936430073</v>
      </c>
      <c r="Q113" s="105">
        <f t="shared" si="74"/>
        <v>0.68806074560663677</v>
      </c>
      <c r="R113" s="105">
        <f t="shared" si="74"/>
        <v>0.74790051272496816</v>
      </c>
      <c r="S113" s="105">
        <f t="shared" si="74"/>
        <v>0.33686133489359527</v>
      </c>
      <c r="T113" s="105">
        <f t="shared" si="74"/>
        <v>0.70463800954985678</v>
      </c>
      <c r="U113" s="105">
        <f t="shared" si="74"/>
        <v>0.75733138113164988</v>
      </c>
      <c r="V113" s="105">
        <f t="shared" si="74"/>
        <v>0.70769763694090837</v>
      </c>
      <c r="W113" s="105">
        <f t="shared" si="74"/>
        <v>0.70638018234095923</v>
      </c>
      <c r="X113" s="105">
        <f t="shared" si="74"/>
        <v>0.89259788744425284</v>
      </c>
      <c r="Y113" s="105">
        <f t="shared" si="74"/>
        <v>0.401303623078265</v>
      </c>
      <c r="Z113" s="105">
        <f t="shared" si="74"/>
        <v>0.89147888561097988</v>
      </c>
      <c r="AA113" s="105">
        <f t="shared" si="74"/>
        <v>0.60258032009121776</v>
      </c>
      <c r="AB113" s="105">
        <f t="shared" si="74"/>
        <v>0.9679584989399459</v>
      </c>
      <c r="AC113" s="105">
        <f t="shared" si="74"/>
        <v>1.0341986033049835</v>
      </c>
      <c r="AD113" s="105">
        <f t="shared" si="74"/>
        <v>0.44652077320309153</v>
      </c>
      <c r="AE113" s="105">
        <f t="shared" si="74"/>
        <v>1.0096160492233341</v>
      </c>
      <c r="AF113" s="105">
        <f t="shared" si="74"/>
        <v>0.96183743242940278</v>
      </c>
      <c r="AG113" s="105">
        <f t="shared" si="74"/>
        <v>1.195348265102995</v>
      </c>
      <c r="AH113" s="105">
        <f t="shared" si="74"/>
        <v>1.2927728396566787</v>
      </c>
      <c r="AI113" s="105">
        <f t="shared" si="74"/>
        <v>0.58653244012119454</v>
      </c>
      <c r="AJ113" s="105">
        <f t="shared" si="74"/>
        <v>1.3736157449657256</v>
      </c>
      <c r="AK113" s="105">
        <f t="shared" si="74"/>
        <v>1.2988055321472329</v>
      </c>
      <c r="AL113" s="105">
        <f t="shared" si="74"/>
        <v>1.592559430623415</v>
      </c>
      <c r="AM113" s="105">
        <f t="shared" si="74"/>
        <v>1.7537819738234817</v>
      </c>
      <c r="AN113" s="5"/>
      <c r="AO113" s="105"/>
      <c r="AP113" s="105"/>
      <c r="AQ113" s="105"/>
      <c r="AR113" s="105"/>
      <c r="AS113" s="105"/>
      <c r="AT113" s="105"/>
      <c r="AU113" s="105"/>
      <c r="AV113" s="105"/>
      <c r="AW113" s="1"/>
      <c r="AX113" s="221"/>
      <c r="AY113" s="221"/>
      <c r="AZ113" s="221"/>
      <c r="BA113" s="221"/>
      <c r="BB113" s="221"/>
      <c r="BC113" s="221"/>
      <c r="BD113" s="221"/>
    </row>
    <row r="114" spans="1:56" ht="15.75" customHeight="1" x14ac:dyDescent="0.3">
      <c r="A114" s="1"/>
      <c r="B114" s="1"/>
      <c r="C114" s="1" t="s">
        <v>84</v>
      </c>
      <c r="D114" s="1"/>
      <c r="E114" s="1"/>
      <c r="F114" s="1"/>
      <c r="G114" s="106" t="s">
        <v>85</v>
      </c>
      <c r="H114" s="1"/>
      <c r="I114" s="1"/>
      <c r="J114" s="1"/>
      <c r="K114" s="107">
        <f>NPV(WACC!$D$35,O114:AV114)</f>
        <v>0</v>
      </c>
      <c r="L114" s="107">
        <f>SUM(O114:AV114)</f>
        <v>0</v>
      </c>
      <c r="M114" s="1"/>
      <c r="N114" s="1"/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7">
        <v>0</v>
      </c>
      <c r="Y114" s="107">
        <v>0</v>
      </c>
      <c r="Z114" s="107">
        <v>0</v>
      </c>
      <c r="AA114" s="107">
        <v>0</v>
      </c>
      <c r="AB114" s="107">
        <v>0</v>
      </c>
      <c r="AC114" s="107">
        <v>0</v>
      </c>
      <c r="AD114" s="107">
        <v>0</v>
      </c>
      <c r="AE114" s="107">
        <v>0</v>
      </c>
      <c r="AF114" s="107">
        <v>0</v>
      </c>
      <c r="AG114" s="107">
        <v>0</v>
      </c>
      <c r="AH114" s="107">
        <v>0</v>
      </c>
      <c r="AI114" s="107">
        <v>0</v>
      </c>
      <c r="AJ114" s="107">
        <v>0</v>
      </c>
      <c r="AK114" s="107">
        <v>0</v>
      </c>
      <c r="AL114" s="107">
        <v>0</v>
      </c>
      <c r="AM114" s="107">
        <v>0</v>
      </c>
      <c r="AN114" s="5"/>
      <c r="AO114" s="107"/>
      <c r="AP114" s="107"/>
      <c r="AQ114" s="107"/>
      <c r="AR114" s="107"/>
      <c r="AS114" s="107"/>
      <c r="AT114" s="107"/>
      <c r="AU114" s="107"/>
      <c r="AV114" s="107"/>
      <c r="AW114" s="1"/>
      <c r="AX114" s="221"/>
      <c r="AY114" s="221"/>
      <c r="AZ114" s="221"/>
      <c r="BA114" s="221"/>
      <c r="BB114" s="221"/>
      <c r="BC114" s="221"/>
      <c r="BD114" s="221"/>
    </row>
    <row r="115" spans="1:56" ht="15.75" customHeight="1" x14ac:dyDescent="0.3">
      <c r="A115" s="1"/>
      <c r="B115" s="74"/>
      <c r="C115" s="74" t="s">
        <v>86</v>
      </c>
      <c r="D115" s="25"/>
      <c r="E115" s="25"/>
      <c r="F115" s="25"/>
      <c r="G115" s="25"/>
      <c r="H115" s="25"/>
      <c r="I115" s="25"/>
      <c r="J115" s="25"/>
      <c r="K115" s="75">
        <f t="shared" ref="K115:L115" si="75">K112+K114</f>
        <v>11259011.591174629</v>
      </c>
      <c r="L115" s="75">
        <f t="shared" si="75"/>
        <v>35572075.501927376</v>
      </c>
      <c r="M115" s="1"/>
      <c r="N115" s="1"/>
      <c r="O115" s="75">
        <f t="shared" ref="O115:AM115" si="76">O112+O114</f>
        <v>37376.714482765528</v>
      </c>
      <c r="P115" s="75">
        <f t="shared" si="76"/>
        <v>2464293.6421167059</v>
      </c>
      <c r="Q115" s="75">
        <f t="shared" si="76"/>
        <v>705015.34724761941</v>
      </c>
      <c r="R115" s="75">
        <f t="shared" si="76"/>
        <v>766329.63448682474</v>
      </c>
      <c r="S115" s="75">
        <f t="shared" si="76"/>
        <v>812054.17745599488</v>
      </c>
      <c r="T115" s="75">
        <f t="shared" si="76"/>
        <v>722001.09388404549</v>
      </c>
      <c r="U115" s="75">
        <f t="shared" si="76"/>
        <v>775992.89024881599</v>
      </c>
      <c r="V115" s="75">
        <f t="shared" si="76"/>
        <v>819968.19091885956</v>
      </c>
      <c r="W115" s="75">
        <f t="shared" si="76"/>
        <v>870331.65898557194</v>
      </c>
      <c r="X115" s="75">
        <f t="shared" si="76"/>
        <v>914592.51757513941</v>
      </c>
      <c r="Y115" s="75">
        <f t="shared" si="76"/>
        <v>963324.12550787418</v>
      </c>
      <c r="Z115" s="75">
        <f t="shared" si="76"/>
        <v>913445.94226025185</v>
      </c>
      <c r="AA115" s="75">
        <f t="shared" si="76"/>
        <v>962014.24610261491</v>
      </c>
      <c r="AB115" s="75">
        <f t="shared" si="76"/>
        <v>991810.10050175432</v>
      </c>
      <c r="AC115" s="75">
        <f t="shared" si="76"/>
        <v>1059682.4365982739</v>
      </c>
      <c r="AD115" s="75">
        <f t="shared" si="76"/>
        <v>1131636.3329280003</v>
      </c>
      <c r="AE115" s="75">
        <f t="shared" si="76"/>
        <v>1076121.5170092122</v>
      </c>
      <c r="AF115" s="75">
        <f t="shared" si="76"/>
        <v>1145563.6428517869</v>
      </c>
      <c r="AG115" s="75">
        <f t="shared" si="76"/>
        <v>1224803.0098860194</v>
      </c>
      <c r="AH115" s="75">
        <f t="shared" si="76"/>
        <v>1324628.2370886835</v>
      </c>
      <c r="AI115" s="75">
        <f t="shared" si="76"/>
        <v>1413837.8290736014</v>
      </c>
      <c r="AJ115" s="75">
        <f t="shared" si="76"/>
        <v>1407463.2038018527</v>
      </c>
      <c r="AK115" s="75">
        <f t="shared" si="76"/>
        <v>1504850.61269054</v>
      </c>
      <c r="AL115" s="75">
        <f t="shared" si="76"/>
        <v>1631801.9116226824</v>
      </c>
      <c r="AM115" s="75">
        <f t="shared" si="76"/>
        <v>1814561.9346118434</v>
      </c>
      <c r="AN115" s="5"/>
      <c r="AO115" s="75"/>
      <c r="AP115" s="75"/>
      <c r="AQ115" s="75"/>
      <c r="AR115" s="75"/>
      <c r="AS115" s="75"/>
      <c r="AT115" s="75"/>
      <c r="AU115" s="75"/>
      <c r="AV115" s="75"/>
      <c r="AW115" s="1"/>
      <c r="AX115" s="221"/>
      <c r="AY115" s="221"/>
      <c r="AZ115" s="221"/>
      <c r="BA115" s="221"/>
      <c r="BB115" s="221"/>
      <c r="BC115" s="221"/>
      <c r="BD115" s="221"/>
    </row>
    <row r="116" spans="1:56" ht="15.75" customHeight="1" x14ac:dyDescent="0.3">
      <c r="A116" s="1"/>
      <c r="B116" s="103"/>
      <c r="C116" s="103" t="s">
        <v>87</v>
      </c>
      <c r="D116" s="104"/>
      <c r="E116" s="104"/>
      <c r="F116" s="104"/>
      <c r="G116" s="104"/>
      <c r="H116" s="104"/>
      <c r="I116" s="104"/>
      <c r="J116" s="104"/>
      <c r="K116" s="105">
        <f t="shared" ref="K116:L116" si="77">IFERROR(K115/K$105,0)</f>
        <v>0.69356147089469244</v>
      </c>
      <c r="L116" s="105">
        <f t="shared" si="77"/>
        <v>0.82327014214771066</v>
      </c>
      <c r="M116" s="1"/>
      <c r="N116" s="1"/>
      <c r="O116" s="105">
        <f t="shared" ref="O116:AM116" si="78">IFERROR(O115/O$105,0)</f>
        <v>1.0452227752249717E-2</v>
      </c>
      <c r="P116" s="105">
        <f t="shared" si="78"/>
        <v>2.405030936430073</v>
      </c>
      <c r="Q116" s="105">
        <f t="shared" si="78"/>
        <v>0.68806074560663677</v>
      </c>
      <c r="R116" s="105">
        <f t="shared" si="78"/>
        <v>0.74790051272496816</v>
      </c>
      <c r="S116" s="105">
        <f t="shared" si="78"/>
        <v>0.33686133489359527</v>
      </c>
      <c r="T116" s="105">
        <f t="shared" si="78"/>
        <v>0.70463800954985678</v>
      </c>
      <c r="U116" s="105">
        <f t="shared" si="78"/>
        <v>0.75733138113164988</v>
      </c>
      <c r="V116" s="105">
        <f t="shared" si="78"/>
        <v>0.70769763694090837</v>
      </c>
      <c r="W116" s="105">
        <f t="shared" si="78"/>
        <v>0.70638018234095923</v>
      </c>
      <c r="X116" s="105">
        <f t="shared" si="78"/>
        <v>0.89259788744425284</v>
      </c>
      <c r="Y116" s="105">
        <f t="shared" si="78"/>
        <v>0.401303623078265</v>
      </c>
      <c r="Z116" s="105">
        <f t="shared" si="78"/>
        <v>0.89147888561097988</v>
      </c>
      <c r="AA116" s="105">
        <f t="shared" si="78"/>
        <v>0.60258032009121776</v>
      </c>
      <c r="AB116" s="105">
        <f t="shared" si="78"/>
        <v>0.9679584989399459</v>
      </c>
      <c r="AC116" s="105">
        <f t="shared" si="78"/>
        <v>1.0341986033049835</v>
      </c>
      <c r="AD116" s="105">
        <f t="shared" si="78"/>
        <v>0.44652077320309153</v>
      </c>
      <c r="AE116" s="105">
        <f t="shared" si="78"/>
        <v>1.0096160492233341</v>
      </c>
      <c r="AF116" s="105">
        <f t="shared" si="78"/>
        <v>0.96183743242940278</v>
      </c>
      <c r="AG116" s="105">
        <f t="shared" si="78"/>
        <v>1.195348265102995</v>
      </c>
      <c r="AH116" s="105">
        <f t="shared" si="78"/>
        <v>1.2927728396566787</v>
      </c>
      <c r="AI116" s="105">
        <f t="shared" si="78"/>
        <v>0.58653244012119454</v>
      </c>
      <c r="AJ116" s="105">
        <f t="shared" si="78"/>
        <v>1.3736157449657256</v>
      </c>
      <c r="AK116" s="105">
        <f t="shared" si="78"/>
        <v>1.2988055321472329</v>
      </c>
      <c r="AL116" s="105">
        <f t="shared" si="78"/>
        <v>1.592559430623415</v>
      </c>
      <c r="AM116" s="105">
        <f t="shared" si="78"/>
        <v>1.7537819738234817</v>
      </c>
      <c r="AN116" s="5"/>
      <c r="AO116" s="105"/>
      <c r="AP116" s="105"/>
      <c r="AQ116" s="105"/>
      <c r="AR116" s="105"/>
      <c r="AS116" s="105"/>
      <c r="AT116" s="105"/>
      <c r="AU116" s="105"/>
      <c r="AV116" s="105"/>
      <c r="AW116" s="1"/>
      <c r="AX116" s="221"/>
      <c r="AY116" s="221"/>
      <c r="AZ116" s="221"/>
      <c r="BA116" s="221"/>
      <c r="BB116" s="221"/>
      <c r="BC116" s="221"/>
      <c r="BD116" s="221"/>
    </row>
    <row r="117" spans="1:56" ht="15.75" customHeight="1" x14ac:dyDescent="0.3">
      <c r="A117" s="1"/>
      <c r="B117" s="87"/>
      <c r="C117" s="87" t="s">
        <v>88</v>
      </c>
      <c r="D117" s="87"/>
      <c r="E117" s="87"/>
      <c r="F117" s="87"/>
      <c r="G117" s="87"/>
      <c r="H117" s="87"/>
      <c r="I117" s="87"/>
      <c r="J117" s="87"/>
      <c r="K117" s="108">
        <f>NPV(WACC!$D$35,O117:AV117)</f>
        <v>-1324064.4029224338</v>
      </c>
      <c r="L117" s="108">
        <f>SUM(O117:AV117)</f>
        <v>-3797850.5495428117</v>
      </c>
      <c r="M117" s="1"/>
      <c r="N117" s="1"/>
      <c r="O117" s="108">
        <f t="shared" ref="O117:AM117" si="79">-O207</f>
        <v>-42464.568442163181</v>
      </c>
      <c r="P117" s="108">
        <f t="shared" si="79"/>
        <v>-156474.41587919366</v>
      </c>
      <c r="Q117" s="108">
        <f t="shared" si="79"/>
        <v>-156474.41587919366</v>
      </c>
      <c r="R117" s="108">
        <f t="shared" si="79"/>
        <v>-156474.41587919366</v>
      </c>
      <c r="S117" s="108">
        <f t="shared" si="79"/>
        <v>-156474.41587919366</v>
      </c>
      <c r="T117" s="108">
        <f t="shared" si="79"/>
        <v>-156474.41587919366</v>
      </c>
      <c r="U117" s="108">
        <f t="shared" si="79"/>
        <v>-156474.41587919366</v>
      </c>
      <c r="V117" s="108">
        <f t="shared" si="79"/>
        <v>-156474.41587919366</v>
      </c>
      <c r="W117" s="108">
        <f t="shared" si="79"/>
        <v>-156474.41587919366</v>
      </c>
      <c r="X117" s="108">
        <f t="shared" si="79"/>
        <v>-156474.41587919366</v>
      </c>
      <c r="Y117" s="108">
        <f t="shared" si="79"/>
        <v>-156474.41587919366</v>
      </c>
      <c r="Z117" s="108">
        <f t="shared" si="79"/>
        <v>-156474.41587919366</v>
      </c>
      <c r="AA117" s="108">
        <f t="shared" si="79"/>
        <v>-156474.41587919366</v>
      </c>
      <c r="AB117" s="108">
        <f t="shared" si="79"/>
        <v>-156474.41587919366</v>
      </c>
      <c r="AC117" s="108">
        <f t="shared" si="79"/>
        <v>-156474.41587919366</v>
      </c>
      <c r="AD117" s="108">
        <f t="shared" si="79"/>
        <v>-156474.41587919366</v>
      </c>
      <c r="AE117" s="108">
        <f t="shared" si="79"/>
        <v>-156474.41587919366</v>
      </c>
      <c r="AF117" s="108">
        <f t="shared" si="79"/>
        <v>-156474.41587919366</v>
      </c>
      <c r="AG117" s="108">
        <f t="shared" si="79"/>
        <v>-156474.41587919366</v>
      </c>
      <c r="AH117" s="108">
        <f t="shared" si="79"/>
        <v>-156474.41587919366</v>
      </c>
      <c r="AI117" s="108">
        <f t="shared" si="79"/>
        <v>-156474.41587919366</v>
      </c>
      <c r="AJ117" s="108">
        <f t="shared" si="79"/>
        <v>-156474.41587919366</v>
      </c>
      <c r="AK117" s="108">
        <f t="shared" si="79"/>
        <v>-156474.41587919366</v>
      </c>
      <c r="AL117" s="108">
        <f t="shared" si="79"/>
        <v>-156474.41587919366</v>
      </c>
      <c r="AM117" s="108">
        <f t="shared" si="79"/>
        <v>-156474.41587919366</v>
      </c>
      <c r="AN117" s="5"/>
      <c r="AO117" s="108"/>
      <c r="AP117" s="108"/>
      <c r="AQ117" s="108"/>
      <c r="AR117" s="108"/>
      <c r="AS117" s="108"/>
      <c r="AT117" s="108"/>
      <c r="AU117" s="108"/>
      <c r="AV117" s="108"/>
      <c r="AW117" s="1"/>
      <c r="AX117" s="221"/>
      <c r="AY117" s="221"/>
      <c r="AZ117" s="221"/>
      <c r="BA117" s="221"/>
      <c r="BB117" s="221"/>
      <c r="BC117" s="221"/>
      <c r="BD117" s="221"/>
    </row>
    <row r="118" spans="1:56" ht="15.75" customHeight="1" x14ac:dyDescent="0.3">
      <c r="A118" s="1"/>
      <c r="B118" s="60"/>
      <c r="C118" s="60" t="s">
        <v>89</v>
      </c>
      <c r="D118" s="1"/>
      <c r="E118" s="1"/>
      <c r="F118" s="1"/>
      <c r="G118" s="1"/>
      <c r="H118" s="1"/>
      <c r="I118" s="1"/>
      <c r="J118" s="1"/>
      <c r="K118" s="109">
        <f t="shared" ref="K118:L118" si="80">K115+K117</f>
        <v>9934947.1882521957</v>
      </c>
      <c r="L118" s="109">
        <f t="shared" si="80"/>
        <v>31774224.952384565</v>
      </c>
      <c r="M118" s="1"/>
      <c r="N118" s="1"/>
      <c r="O118" s="109">
        <f t="shared" ref="O118:AM118" si="81">O115+O117</f>
        <v>-5087.8539593976529</v>
      </c>
      <c r="P118" s="109">
        <f t="shared" si="81"/>
        <v>2307819.2262375122</v>
      </c>
      <c r="Q118" s="109">
        <f t="shared" si="81"/>
        <v>548540.93136842572</v>
      </c>
      <c r="R118" s="109">
        <f t="shared" si="81"/>
        <v>609855.21860763105</v>
      </c>
      <c r="S118" s="109">
        <f t="shared" si="81"/>
        <v>655579.76157680119</v>
      </c>
      <c r="T118" s="109">
        <f t="shared" si="81"/>
        <v>565526.6780048518</v>
      </c>
      <c r="U118" s="109">
        <f t="shared" si="81"/>
        <v>619518.4743696223</v>
      </c>
      <c r="V118" s="109">
        <f t="shared" si="81"/>
        <v>663493.77503966587</v>
      </c>
      <c r="W118" s="109">
        <f t="shared" si="81"/>
        <v>713857.24310637824</v>
      </c>
      <c r="X118" s="109">
        <f t="shared" si="81"/>
        <v>758118.10169594572</v>
      </c>
      <c r="Y118" s="109">
        <f t="shared" si="81"/>
        <v>806849.70962868049</v>
      </c>
      <c r="Z118" s="109">
        <f t="shared" si="81"/>
        <v>756971.52638105815</v>
      </c>
      <c r="AA118" s="109">
        <f t="shared" si="81"/>
        <v>805539.83022342122</v>
      </c>
      <c r="AB118" s="109">
        <f t="shared" si="81"/>
        <v>835335.68462256063</v>
      </c>
      <c r="AC118" s="109">
        <f t="shared" si="81"/>
        <v>903208.02071908023</v>
      </c>
      <c r="AD118" s="109">
        <f t="shared" si="81"/>
        <v>975161.91704880656</v>
      </c>
      <c r="AE118" s="109">
        <f t="shared" si="81"/>
        <v>919647.10113001848</v>
      </c>
      <c r="AF118" s="109">
        <f t="shared" si="81"/>
        <v>989089.22697259323</v>
      </c>
      <c r="AG118" s="109">
        <f t="shared" si="81"/>
        <v>1068328.5940068257</v>
      </c>
      <c r="AH118" s="109">
        <f t="shared" si="81"/>
        <v>1168153.8212094898</v>
      </c>
      <c r="AI118" s="109">
        <f t="shared" si="81"/>
        <v>1257363.4131944077</v>
      </c>
      <c r="AJ118" s="109">
        <f t="shared" si="81"/>
        <v>1250988.787922659</v>
      </c>
      <c r="AK118" s="109">
        <f t="shared" si="81"/>
        <v>1348376.1968113463</v>
      </c>
      <c r="AL118" s="109">
        <f t="shared" si="81"/>
        <v>1475327.4957434887</v>
      </c>
      <c r="AM118" s="109">
        <f t="shared" si="81"/>
        <v>1658087.5187326497</v>
      </c>
      <c r="AN118" s="5"/>
      <c r="AO118" s="109"/>
      <c r="AP118" s="109"/>
      <c r="AQ118" s="109"/>
      <c r="AR118" s="109"/>
      <c r="AS118" s="109"/>
      <c r="AT118" s="109"/>
      <c r="AU118" s="109"/>
      <c r="AV118" s="109"/>
      <c r="AW118" s="1"/>
      <c r="AX118" s="221"/>
      <c r="AY118" s="221"/>
      <c r="AZ118" s="221"/>
      <c r="BA118" s="221"/>
      <c r="BB118" s="221"/>
      <c r="BC118" s="221"/>
      <c r="BD118" s="221"/>
    </row>
    <row r="119" spans="1:56" ht="15.75" customHeight="1" x14ac:dyDescent="0.3">
      <c r="A119" s="1"/>
      <c r="B119" s="103"/>
      <c r="C119" s="103" t="s">
        <v>90</v>
      </c>
      <c r="D119" s="104"/>
      <c r="E119" s="104"/>
      <c r="F119" s="104"/>
      <c r="G119" s="104"/>
      <c r="H119" s="104"/>
      <c r="I119" s="104"/>
      <c r="J119" s="104"/>
      <c r="K119" s="105">
        <f t="shared" ref="K119:L119" si="82">IFERROR(K118/K$105,0)</f>
        <v>0.61199835610315867</v>
      </c>
      <c r="L119" s="105">
        <f t="shared" si="82"/>
        <v>0.73537375382455916</v>
      </c>
      <c r="M119" s="1"/>
      <c r="N119" s="1"/>
      <c r="O119" s="105">
        <f t="shared" ref="O119:AM119" si="83">IFERROR(O118/O$105,0)</f>
        <v>-1.4227951570845233E-3</v>
      </c>
      <c r="P119" s="105">
        <f t="shared" si="83"/>
        <v>2.2523195044328532</v>
      </c>
      <c r="Q119" s="105">
        <f t="shared" si="83"/>
        <v>0.53534931360941718</v>
      </c>
      <c r="R119" s="105">
        <f t="shared" si="83"/>
        <v>0.59518908072774857</v>
      </c>
      <c r="S119" s="105">
        <f t="shared" si="83"/>
        <v>0.27195165020372475</v>
      </c>
      <c r="T119" s="105">
        <f t="shared" si="83"/>
        <v>0.5519265775526373</v>
      </c>
      <c r="U119" s="105">
        <f t="shared" si="83"/>
        <v>0.60461994913443029</v>
      </c>
      <c r="V119" s="105">
        <f t="shared" si="83"/>
        <v>0.57264779526921805</v>
      </c>
      <c r="W119" s="105">
        <f t="shared" si="83"/>
        <v>0.57938212903646336</v>
      </c>
      <c r="X119" s="105">
        <f t="shared" si="83"/>
        <v>0.73988645544703335</v>
      </c>
      <c r="Y119" s="105">
        <f t="shared" si="83"/>
        <v>0.33611917648478834</v>
      </c>
      <c r="Z119" s="105">
        <f t="shared" si="83"/>
        <v>0.73876745361376028</v>
      </c>
      <c r="AA119" s="105">
        <f t="shared" si="83"/>
        <v>0.50456887796490912</v>
      </c>
      <c r="AB119" s="105">
        <f t="shared" si="83"/>
        <v>0.81524706694272631</v>
      </c>
      <c r="AC119" s="105">
        <f t="shared" si="83"/>
        <v>0.88148717130776388</v>
      </c>
      <c r="AD119" s="105">
        <f t="shared" si="83"/>
        <v>0.38477913842887024</v>
      </c>
      <c r="AE119" s="105">
        <f t="shared" si="83"/>
        <v>0.86281192063055168</v>
      </c>
      <c r="AF119" s="105">
        <f t="shared" si="83"/>
        <v>0.83045848081090567</v>
      </c>
      <c r="AG119" s="105">
        <f t="shared" si="83"/>
        <v>1.0426368331057754</v>
      </c>
      <c r="AH119" s="105">
        <f t="shared" si="83"/>
        <v>1.1400614076594591</v>
      </c>
      <c r="AI119" s="105">
        <f t="shared" si="83"/>
        <v>0.52161882762979728</v>
      </c>
      <c r="AJ119" s="105">
        <f t="shared" si="83"/>
        <v>1.220904312968506</v>
      </c>
      <c r="AK119" s="105">
        <f t="shared" si="83"/>
        <v>1.1637556904755426</v>
      </c>
      <c r="AL119" s="105">
        <f t="shared" si="83"/>
        <v>1.4398479986261954</v>
      </c>
      <c r="AM119" s="105">
        <f t="shared" si="83"/>
        <v>1.6025487727411551</v>
      </c>
      <c r="AN119" s="5"/>
      <c r="AO119" s="105"/>
      <c r="AP119" s="105"/>
      <c r="AQ119" s="105"/>
      <c r="AR119" s="105"/>
      <c r="AS119" s="105"/>
      <c r="AT119" s="105"/>
      <c r="AU119" s="105"/>
      <c r="AV119" s="105"/>
      <c r="AW119" s="1"/>
      <c r="AX119" s="221"/>
      <c r="AY119" s="221"/>
      <c r="AZ119" s="221"/>
      <c r="BA119" s="221"/>
      <c r="BB119" s="221"/>
      <c r="BC119" s="221"/>
      <c r="BD119" s="221"/>
    </row>
    <row r="120" spans="1:5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5"/>
      <c r="AO120" s="1"/>
      <c r="AP120" s="1"/>
      <c r="AQ120" s="1"/>
      <c r="AR120" s="1"/>
      <c r="AS120" s="1"/>
      <c r="AT120" s="1"/>
      <c r="AU120" s="1"/>
      <c r="AV120" s="1"/>
      <c r="AW120" s="1"/>
      <c r="AX120" s="221"/>
      <c r="AZ120" s="221"/>
      <c r="BA120" s="221"/>
      <c r="BB120" s="221"/>
      <c r="BC120" s="221"/>
      <c r="BD120" s="221"/>
    </row>
    <row r="121" spans="1:56" ht="15.75" customHeight="1" x14ac:dyDescent="0.3">
      <c r="A121" s="1"/>
      <c r="B121" s="29" t="s">
        <v>91</v>
      </c>
      <c r="C121" s="29"/>
      <c r="D121" s="29"/>
      <c r="E121" s="29"/>
      <c r="F121" s="29"/>
      <c r="G121" s="29"/>
      <c r="H121" s="29"/>
      <c r="I121" s="92"/>
      <c r="J121" s="29"/>
      <c r="K121" s="31"/>
      <c r="L121" s="31"/>
      <c r="M121" s="1"/>
      <c r="N121" s="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5"/>
      <c r="AO121" s="31"/>
      <c r="AP121" s="31"/>
      <c r="AQ121" s="31"/>
      <c r="AR121" s="31"/>
      <c r="AS121" s="31"/>
      <c r="AT121" s="31"/>
      <c r="AU121" s="31"/>
      <c r="AV121" s="31"/>
      <c r="AW121" s="1"/>
      <c r="AX121" s="221"/>
      <c r="AZ121" s="221"/>
      <c r="BA121" s="221"/>
      <c r="BB121" s="221"/>
      <c r="BC121" s="221"/>
      <c r="BD121" s="221"/>
    </row>
    <row r="122" spans="1:56" ht="15.75" customHeight="1" x14ac:dyDescent="0.3">
      <c r="A122" s="1"/>
      <c r="B122" s="68"/>
      <c r="C122" s="68" t="s">
        <v>69</v>
      </c>
      <c r="D122" s="68"/>
      <c r="E122" s="68"/>
      <c r="F122" s="68"/>
      <c r="G122" s="68"/>
      <c r="H122" s="68"/>
      <c r="I122" s="93"/>
      <c r="J122" s="68"/>
      <c r="K122" s="69">
        <f t="shared" ref="K122:L122" si="84">SUM(K123)</f>
        <v>14129772.624927646</v>
      </c>
      <c r="L122" s="69">
        <f t="shared" si="84"/>
        <v>40363456.982785352</v>
      </c>
      <c r="M122" s="1"/>
      <c r="N122" s="1"/>
      <c r="O122" s="69">
        <f t="shared" ref="O122:AM122" si="85">SUM(O123)</f>
        <v>552924.06825733301</v>
      </c>
      <c r="P122" s="69">
        <f t="shared" si="85"/>
        <v>1658772.2047720007</v>
      </c>
      <c r="Q122" s="69">
        <f t="shared" si="85"/>
        <v>1658772.2047720007</v>
      </c>
      <c r="R122" s="69">
        <f t="shared" si="85"/>
        <v>1658772.2047720007</v>
      </c>
      <c r="S122" s="69">
        <f t="shared" si="85"/>
        <v>1658772.2047720007</v>
      </c>
      <c r="T122" s="69">
        <f t="shared" si="85"/>
        <v>1658772.2047720007</v>
      </c>
      <c r="U122" s="69">
        <f t="shared" si="85"/>
        <v>1658772.2047720007</v>
      </c>
      <c r="V122" s="69">
        <f t="shared" si="85"/>
        <v>1658772.2047720007</v>
      </c>
      <c r="W122" s="69">
        <f t="shared" si="85"/>
        <v>1658772.2047720007</v>
      </c>
      <c r="X122" s="69">
        <f t="shared" si="85"/>
        <v>1658772.2047720007</v>
      </c>
      <c r="Y122" s="69">
        <f t="shared" si="85"/>
        <v>1658772.2047720007</v>
      </c>
      <c r="Z122" s="69">
        <f t="shared" si="85"/>
        <v>1658772.2047720007</v>
      </c>
      <c r="AA122" s="69">
        <f t="shared" si="85"/>
        <v>1658772.2047720007</v>
      </c>
      <c r="AB122" s="69">
        <f t="shared" si="85"/>
        <v>1658772.2047720007</v>
      </c>
      <c r="AC122" s="69">
        <f t="shared" si="85"/>
        <v>1658772.2047720007</v>
      </c>
      <c r="AD122" s="69">
        <f t="shared" si="85"/>
        <v>1658772.2047720007</v>
      </c>
      <c r="AE122" s="69">
        <f t="shared" si="85"/>
        <v>1658772.2047720007</v>
      </c>
      <c r="AF122" s="69">
        <f t="shared" si="85"/>
        <v>1658772.2047720007</v>
      </c>
      <c r="AG122" s="69">
        <f t="shared" si="85"/>
        <v>1658772.2047720007</v>
      </c>
      <c r="AH122" s="69">
        <f t="shared" si="85"/>
        <v>1658772.2047720007</v>
      </c>
      <c r="AI122" s="69">
        <f t="shared" si="85"/>
        <v>1658772.2047720007</v>
      </c>
      <c r="AJ122" s="69">
        <f t="shared" si="85"/>
        <v>1658772.2047720007</v>
      </c>
      <c r="AK122" s="69">
        <f t="shared" si="85"/>
        <v>1658772.2047720007</v>
      </c>
      <c r="AL122" s="69">
        <f t="shared" si="85"/>
        <v>1658772.2047720007</v>
      </c>
      <c r="AM122" s="69">
        <f t="shared" si="85"/>
        <v>1658772.2047720007</v>
      </c>
      <c r="AN122" s="5"/>
      <c r="AO122" s="69"/>
      <c r="AP122" s="69"/>
      <c r="AQ122" s="69"/>
      <c r="AR122" s="69"/>
      <c r="AS122" s="69"/>
      <c r="AT122" s="69"/>
      <c r="AU122" s="69"/>
      <c r="AV122" s="69"/>
      <c r="AW122" s="1"/>
      <c r="AX122" s="221"/>
      <c r="AZ122" s="221"/>
      <c r="BA122" s="221"/>
      <c r="BB122" s="221"/>
      <c r="BC122" s="221"/>
      <c r="BD122" s="221"/>
    </row>
    <row r="123" spans="1:56" ht="15.75" customHeight="1" x14ac:dyDescent="0.3">
      <c r="A123" s="1"/>
      <c r="B123" s="94"/>
      <c r="C123" s="94"/>
      <c r="D123" s="94" t="s">
        <v>70</v>
      </c>
      <c r="E123" s="94"/>
      <c r="F123" s="94"/>
      <c r="G123" s="110"/>
      <c r="H123" s="95"/>
      <c r="I123" s="95"/>
      <c r="J123" s="94"/>
      <c r="K123" s="97">
        <f>NPV(WACC!$D$35,O123:AV123)</f>
        <v>14129772.624927646</v>
      </c>
      <c r="L123" s="97">
        <f>SUM(O123:AV123)</f>
        <v>40363456.982785352</v>
      </c>
      <c r="M123" s="1"/>
      <c r="N123" s="1"/>
      <c r="O123" s="97">
        <f t="shared" ref="O123:AM123" si="86">O75</f>
        <v>552924.06825733301</v>
      </c>
      <c r="P123" s="97">
        <f t="shared" si="86"/>
        <v>1658772.2047720007</v>
      </c>
      <c r="Q123" s="97">
        <f t="shared" si="86"/>
        <v>1658772.2047720007</v>
      </c>
      <c r="R123" s="97">
        <f t="shared" si="86"/>
        <v>1658772.2047720007</v>
      </c>
      <c r="S123" s="97">
        <f t="shared" si="86"/>
        <v>1658772.2047720007</v>
      </c>
      <c r="T123" s="97">
        <f t="shared" si="86"/>
        <v>1658772.2047720007</v>
      </c>
      <c r="U123" s="97">
        <f t="shared" si="86"/>
        <v>1658772.2047720007</v>
      </c>
      <c r="V123" s="97">
        <f t="shared" si="86"/>
        <v>1658772.2047720007</v>
      </c>
      <c r="W123" s="97">
        <f t="shared" si="86"/>
        <v>1658772.2047720007</v>
      </c>
      <c r="X123" s="97">
        <f t="shared" si="86"/>
        <v>1658772.2047720007</v>
      </c>
      <c r="Y123" s="97">
        <f t="shared" si="86"/>
        <v>1658772.2047720007</v>
      </c>
      <c r="Z123" s="97">
        <f t="shared" si="86"/>
        <v>1658772.2047720007</v>
      </c>
      <c r="AA123" s="97">
        <f t="shared" si="86"/>
        <v>1658772.2047720007</v>
      </c>
      <c r="AB123" s="97">
        <f t="shared" si="86"/>
        <v>1658772.2047720007</v>
      </c>
      <c r="AC123" s="97">
        <f t="shared" si="86"/>
        <v>1658772.2047720007</v>
      </c>
      <c r="AD123" s="97">
        <f t="shared" si="86"/>
        <v>1658772.2047720007</v>
      </c>
      <c r="AE123" s="97">
        <f t="shared" si="86"/>
        <v>1658772.2047720007</v>
      </c>
      <c r="AF123" s="97">
        <f t="shared" si="86"/>
        <v>1658772.2047720007</v>
      </c>
      <c r="AG123" s="97">
        <f t="shared" si="86"/>
        <v>1658772.2047720007</v>
      </c>
      <c r="AH123" s="97">
        <f t="shared" si="86"/>
        <v>1658772.2047720007</v>
      </c>
      <c r="AI123" s="97">
        <f t="shared" si="86"/>
        <v>1658772.2047720007</v>
      </c>
      <c r="AJ123" s="97">
        <f t="shared" si="86"/>
        <v>1658772.2047720007</v>
      </c>
      <c r="AK123" s="97">
        <f t="shared" si="86"/>
        <v>1658772.2047720007</v>
      </c>
      <c r="AL123" s="97">
        <f t="shared" si="86"/>
        <v>1658772.2047720007</v>
      </c>
      <c r="AM123" s="97">
        <f t="shared" si="86"/>
        <v>1658772.2047720007</v>
      </c>
      <c r="AN123" s="5"/>
      <c r="AO123" s="97"/>
      <c r="AP123" s="97"/>
      <c r="AQ123" s="97"/>
      <c r="AR123" s="97"/>
      <c r="AS123" s="97"/>
      <c r="AT123" s="97"/>
      <c r="AU123" s="97"/>
      <c r="AV123" s="97"/>
      <c r="AW123" s="1"/>
      <c r="AX123" s="221"/>
      <c r="AZ123" s="221"/>
      <c r="BA123" s="221"/>
      <c r="BB123" s="221"/>
      <c r="BC123" s="221"/>
      <c r="BD123" s="221"/>
    </row>
    <row r="124" spans="1:56" ht="15.75" customHeight="1" x14ac:dyDescent="0.3">
      <c r="A124" s="1"/>
      <c r="B124" s="98"/>
      <c r="C124" s="98" t="s">
        <v>73</v>
      </c>
      <c r="D124" s="98"/>
      <c r="E124" s="98"/>
      <c r="F124" s="98"/>
      <c r="G124" s="98"/>
      <c r="H124" s="98"/>
      <c r="I124" s="98"/>
      <c r="J124" s="98"/>
      <c r="K124" s="99">
        <f t="shared" ref="K124:L124" si="87">SUM(K125:K126)</f>
        <v>-798332.15330841194</v>
      </c>
      <c r="L124" s="99">
        <f t="shared" si="87"/>
        <v>-2280535.3195273723</v>
      </c>
      <c r="M124" s="111"/>
      <c r="N124" s="1"/>
      <c r="O124" s="99">
        <f t="shared" ref="O124:AM124" si="88">SUM(O125:O126)</f>
        <v>-31240.209856539313</v>
      </c>
      <c r="P124" s="99">
        <f t="shared" si="88"/>
        <v>-93720.629569618031</v>
      </c>
      <c r="Q124" s="99">
        <f t="shared" si="88"/>
        <v>-93720.629569618031</v>
      </c>
      <c r="R124" s="99">
        <f t="shared" si="88"/>
        <v>-93720.629569618031</v>
      </c>
      <c r="S124" s="99">
        <f t="shared" si="88"/>
        <v>-93720.629569618031</v>
      </c>
      <c r="T124" s="99">
        <f t="shared" si="88"/>
        <v>-93720.629569618031</v>
      </c>
      <c r="U124" s="99">
        <f t="shared" si="88"/>
        <v>-93720.629569618031</v>
      </c>
      <c r="V124" s="99">
        <f t="shared" si="88"/>
        <v>-93720.629569618031</v>
      </c>
      <c r="W124" s="99">
        <f t="shared" si="88"/>
        <v>-93720.629569618031</v>
      </c>
      <c r="X124" s="99">
        <f t="shared" si="88"/>
        <v>-93720.629569618031</v>
      </c>
      <c r="Y124" s="99">
        <f t="shared" si="88"/>
        <v>-93720.629569618031</v>
      </c>
      <c r="Z124" s="99">
        <f t="shared" si="88"/>
        <v>-93720.629569618031</v>
      </c>
      <c r="AA124" s="99">
        <f t="shared" si="88"/>
        <v>-93720.629569618031</v>
      </c>
      <c r="AB124" s="99">
        <f t="shared" si="88"/>
        <v>-93720.629569618031</v>
      </c>
      <c r="AC124" s="99">
        <f t="shared" si="88"/>
        <v>-93720.629569618031</v>
      </c>
      <c r="AD124" s="99">
        <f t="shared" si="88"/>
        <v>-93720.629569618031</v>
      </c>
      <c r="AE124" s="99">
        <f t="shared" si="88"/>
        <v>-93720.629569618031</v>
      </c>
      <c r="AF124" s="99">
        <f t="shared" si="88"/>
        <v>-93720.629569618031</v>
      </c>
      <c r="AG124" s="99">
        <f t="shared" si="88"/>
        <v>-93720.629569618031</v>
      </c>
      <c r="AH124" s="99">
        <f t="shared" si="88"/>
        <v>-93720.629569618031</v>
      </c>
      <c r="AI124" s="99">
        <f t="shared" si="88"/>
        <v>-93720.629569618031</v>
      </c>
      <c r="AJ124" s="99">
        <f t="shared" si="88"/>
        <v>-93720.629569618031</v>
      </c>
      <c r="AK124" s="99">
        <f t="shared" si="88"/>
        <v>-93720.629569618031</v>
      </c>
      <c r="AL124" s="99">
        <f t="shared" si="88"/>
        <v>-93720.629569618031</v>
      </c>
      <c r="AM124" s="99">
        <f t="shared" si="88"/>
        <v>-93720.629569618031</v>
      </c>
      <c r="AN124" s="5"/>
      <c r="AO124" s="99"/>
      <c r="AP124" s="99"/>
      <c r="AQ124" s="99"/>
      <c r="AR124" s="99"/>
      <c r="AS124" s="99"/>
      <c r="AT124" s="99"/>
      <c r="AU124" s="99"/>
      <c r="AV124" s="99"/>
      <c r="AW124" s="1"/>
      <c r="AX124" s="221"/>
      <c r="AZ124" s="221"/>
      <c r="BA124" s="221"/>
      <c r="BB124" s="221"/>
      <c r="BC124" s="221"/>
      <c r="BD124" s="221"/>
    </row>
    <row r="125" spans="1:56" ht="15.75" customHeight="1" x14ac:dyDescent="0.3">
      <c r="A125" s="1"/>
      <c r="B125" s="53"/>
      <c r="C125" s="53"/>
      <c r="D125" s="53" t="s">
        <v>92</v>
      </c>
      <c r="E125" s="53"/>
      <c r="F125" s="53"/>
      <c r="G125" s="98"/>
      <c r="H125" s="400"/>
      <c r="I125" s="53"/>
      <c r="J125" s="53"/>
      <c r="K125" s="54">
        <f>NPV(WACC!$D$35,O125:AV125)</f>
        <v>-515736.70080985909</v>
      </c>
      <c r="L125" s="54">
        <f t="shared" ref="L125:L126" si="89">SUM(O125:AV125)</f>
        <v>-1473266.1798716655</v>
      </c>
      <c r="M125" s="1"/>
      <c r="N125" s="1"/>
      <c r="O125" s="54">
        <f t="shared" ref="O125:AM126" si="90">O103</f>
        <v>-20181.728491392652</v>
      </c>
      <c r="P125" s="54">
        <f t="shared" si="90"/>
        <v>-60545.185474178019</v>
      </c>
      <c r="Q125" s="54">
        <f t="shared" si="90"/>
        <v>-60545.185474178019</v>
      </c>
      <c r="R125" s="54">
        <f t="shared" si="90"/>
        <v>-60545.185474178019</v>
      </c>
      <c r="S125" s="54">
        <f t="shared" si="90"/>
        <v>-60545.185474178019</v>
      </c>
      <c r="T125" s="54">
        <f t="shared" si="90"/>
        <v>-60545.185474178019</v>
      </c>
      <c r="U125" s="54">
        <f t="shared" si="90"/>
        <v>-60545.185474178019</v>
      </c>
      <c r="V125" s="54">
        <f t="shared" si="90"/>
        <v>-60545.185474178019</v>
      </c>
      <c r="W125" s="54">
        <f t="shared" si="90"/>
        <v>-60545.185474178019</v>
      </c>
      <c r="X125" s="54">
        <f t="shared" si="90"/>
        <v>-60545.185474178019</v>
      </c>
      <c r="Y125" s="54">
        <f t="shared" si="90"/>
        <v>-60545.185474178019</v>
      </c>
      <c r="Z125" s="54">
        <f t="shared" si="90"/>
        <v>-60545.185474178019</v>
      </c>
      <c r="AA125" s="54">
        <f t="shared" si="90"/>
        <v>-60545.185474178019</v>
      </c>
      <c r="AB125" s="54">
        <f t="shared" si="90"/>
        <v>-60545.185474178019</v>
      </c>
      <c r="AC125" s="54">
        <f t="shared" si="90"/>
        <v>-60545.185474178019</v>
      </c>
      <c r="AD125" s="54">
        <f t="shared" si="90"/>
        <v>-60545.185474178019</v>
      </c>
      <c r="AE125" s="54">
        <f t="shared" si="90"/>
        <v>-60545.185474178019</v>
      </c>
      <c r="AF125" s="54">
        <f t="shared" si="90"/>
        <v>-60545.185474178019</v>
      </c>
      <c r="AG125" s="54">
        <f t="shared" si="90"/>
        <v>-60545.185474178019</v>
      </c>
      <c r="AH125" s="54">
        <f t="shared" si="90"/>
        <v>-60545.185474178019</v>
      </c>
      <c r="AI125" s="54">
        <f t="shared" si="90"/>
        <v>-60545.185474178019</v>
      </c>
      <c r="AJ125" s="54">
        <f t="shared" si="90"/>
        <v>-60545.185474178019</v>
      </c>
      <c r="AK125" s="54">
        <f t="shared" si="90"/>
        <v>-60545.185474178019</v>
      </c>
      <c r="AL125" s="54">
        <f t="shared" si="90"/>
        <v>-60545.185474178019</v>
      </c>
      <c r="AM125" s="54">
        <f t="shared" si="90"/>
        <v>-60545.185474178019</v>
      </c>
      <c r="AN125" s="5"/>
      <c r="AO125" s="54"/>
      <c r="AP125" s="54"/>
      <c r="AQ125" s="54"/>
      <c r="AR125" s="54"/>
      <c r="AS125" s="54"/>
      <c r="AT125" s="54"/>
      <c r="AU125" s="54"/>
      <c r="AV125" s="54"/>
      <c r="AW125" s="1"/>
      <c r="AX125" s="221"/>
      <c r="AZ125" s="221"/>
      <c r="BA125" s="221"/>
      <c r="BB125" s="221"/>
      <c r="BC125" s="221"/>
      <c r="BD125" s="221"/>
    </row>
    <row r="126" spans="1:56" ht="15.75" customHeight="1" x14ac:dyDescent="0.3">
      <c r="A126" s="1"/>
      <c r="B126" s="101"/>
      <c r="C126" s="101"/>
      <c r="D126" s="101" t="s">
        <v>75</v>
      </c>
      <c r="E126" s="101"/>
      <c r="F126" s="101"/>
      <c r="G126" s="101"/>
      <c r="H126" s="183"/>
      <c r="I126" s="101"/>
      <c r="J126" s="101"/>
      <c r="K126" s="108">
        <f>NPV(WACC!$D$35,O126:AV126)</f>
        <v>-282595.45249855286</v>
      </c>
      <c r="L126" s="102">
        <f t="shared" si="89"/>
        <v>-807269.13965570682</v>
      </c>
      <c r="M126" s="1"/>
      <c r="N126" s="1"/>
      <c r="O126" s="54">
        <f t="shared" si="90"/>
        <v>-11058.481365146661</v>
      </c>
      <c r="P126" s="54">
        <f t="shared" si="90"/>
        <v>-33175.444095440012</v>
      </c>
      <c r="Q126" s="54">
        <f t="shared" si="90"/>
        <v>-33175.444095440012</v>
      </c>
      <c r="R126" s="54">
        <f t="shared" si="90"/>
        <v>-33175.444095440012</v>
      </c>
      <c r="S126" s="54">
        <f t="shared" si="90"/>
        <v>-33175.444095440012</v>
      </c>
      <c r="T126" s="54">
        <f t="shared" si="90"/>
        <v>-33175.444095440012</v>
      </c>
      <c r="U126" s="54">
        <f t="shared" si="90"/>
        <v>-33175.444095440012</v>
      </c>
      <c r="V126" s="54">
        <f t="shared" si="90"/>
        <v>-33175.444095440012</v>
      </c>
      <c r="W126" s="54">
        <f t="shared" si="90"/>
        <v>-33175.444095440012</v>
      </c>
      <c r="X126" s="54">
        <f t="shared" si="90"/>
        <v>-33175.444095440012</v>
      </c>
      <c r="Y126" s="54">
        <f t="shared" si="90"/>
        <v>-33175.444095440012</v>
      </c>
      <c r="Z126" s="54">
        <f t="shared" si="90"/>
        <v>-33175.444095440012</v>
      </c>
      <c r="AA126" s="54">
        <f t="shared" si="90"/>
        <v>-33175.444095440012</v>
      </c>
      <c r="AB126" s="54">
        <f t="shared" si="90"/>
        <v>-33175.444095440012</v>
      </c>
      <c r="AC126" s="54">
        <f t="shared" si="90"/>
        <v>-33175.444095440012</v>
      </c>
      <c r="AD126" s="54">
        <f t="shared" si="90"/>
        <v>-33175.444095440012</v>
      </c>
      <c r="AE126" s="54">
        <f t="shared" si="90"/>
        <v>-33175.444095440012</v>
      </c>
      <c r="AF126" s="54">
        <f t="shared" si="90"/>
        <v>-33175.444095440012</v>
      </c>
      <c r="AG126" s="54">
        <f t="shared" si="90"/>
        <v>-33175.444095440012</v>
      </c>
      <c r="AH126" s="54">
        <f t="shared" si="90"/>
        <v>-33175.444095440012</v>
      </c>
      <c r="AI126" s="54">
        <f t="shared" si="90"/>
        <v>-33175.444095440012</v>
      </c>
      <c r="AJ126" s="54">
        <f t="shared" si="90"/>
        <v>-33175.444095440012</v>
      </c>
      <c r="AK126" s="54">
        <f t="shared" si="90"/>
        <v>-33175.444095440012</v>
      </c>
      <c r="AL126" s="54">
        <f t="shared" si="90"/>
        <v>-33175.444095440012</v>
      </c>
      <c r="AM126" s="54">
        <f t="shared" si="90"/>
        <v>-33175.444095440012</v>
      </c>
      <c r="AN126" s="5"/>
      <c r="AO126" s="54"/>
      <c r="AP126" s="54"/>
      <c r="AQ126" s="54"/>
      <c r="AR126" s="54"/>
      <c r="AS126" s="54"/>
      <c r="AT126" s="54"/>
      <c r="AU126" s="54"/>
      <c r="AV126" s="54"/>
      <c r="AW126" s="1"/>
      <c r="AX126" s="221"/>
      <c r="AZ126" s="221"/>
      <c r="BA126" s="221"/>
      <c r="BB126" s="221"/>
      <c r="BC126" s="221"/>
      <c r="BD126" s="221"/>
    </row>
    <row r="127" spans="1:56" ht="15.75" customHeight="1" x14ac:dyDescent="0.3">
      <c r="A127" s="1"/>
      <c r="B127" s="68"/>
      <c r="C127" s="68" t="s">
        <v>76</v>
      </c>
      <c r="D127" s="76"/>
      <c r="E127" s="76"/>
      <c r="F127" s="76"/>
      <c r="G127" s="76"/>
      <c r="H127" s="76"/>
      <c r="I127" s="76"/>
      <c r="J127" s="76"/>
      <c r="K127" s="69">
        <f t="shared" ref="K127:L127" si="91">K122+K124</f>
        <v>13331440.471619233</v>
      </c>
      <c r="L127" s="69">
        <f t="shared" si="91"/>
        <v>38082921.663257979</v>
      </c>
      <c r="M127" s="1"/>
      <c r="N127" s="1"/>
      <c r="O127" s="69">
        <f t="shared" ref="O127:AM127" si="92">O122+O124</f>
        <v>521683.85840079369</v>
      </c>
      <c r="P127" s="69">
        <f t="shared" si="92"/>
        <v>1565051.5752023826</v>
      </c>
      <c r="Q127" s="69">
        <f t="shared" si="92"/>
        <v>1565051.5752023826</v>
      </c>
      <c r="R127" s="69">
        <f t="shared" si="92"/>
        <v>1565051.5752023826</v>
      </c>
      <c r="S127" s="69">
        <f t="shared" si="92"/>
        <v>1565051.5752023826</v>
      </c>
      <c r="T127" s="69">
        <f t="shared" si="92"/>
        <v>1565051.5752023826</v>
      </c>
      <c r="U127" s="69">
        <f t="shared" si="92"/>
        <v>1565051.5752023826</v>
      </c>
      <c r="V127" s="69">
        <f t="shared" si="92"/>
        <v>1565051.5752023826</v>
      </c>
      <c r="W127" s="69">
        <f t="shared" si="92"/>
        <v>1565051.5752023826</v>
      </c>
      <c r="X127" s="69">
        <f t="shared" si="92"/>
        <v>1565051.5752023826</v>
      </c>
      <c r="Y127" s="69">
        <f t="shared" si="92"/>
        <v>1565051.5752023826</v>
      </c>
      <c r="Z127" s="69">
        <f t="shared" si="92"/>
        <v>1565051.5752023826</v>
      </c>
      <c r="AA127" s="69">
        <f t="shared" si="92"/>
        <v>1565051.5752023826</v>
      </c>
      <c r="AB127" s="69">
        <f t="shared" si="92"/>
        <v>1565051.5752023826</v>
      </c>
      <c r="AC127" s="69">
        <f t="shared" si="92"/>
        <v>1565051.5752023826</v>
      </c>
      <c r="AD127" s="69">
        <f t="shared" si="92"/>
        <v>1565051.5752023826</v>
      </c>
      <c r="AE127" s="69">
        <f t="shared" si="92"/>
        <v>1565051.5752023826</v>
      </c>
      <c r="AF127" s="69">
        <f t="shared" si="92"/>
        <v>1565051.5752023826</v>
      </c>
      <c r="AG127" s="69">
        <f t="shared" si="92"/>
        <v>1565051.5752023826</v>
      </c>
      <c r="AH127" s="69">
        <f t="shared" si="92"/>
        <v>1565051.5752023826</v>
      </c>
      <c r="AI127" s="69">
        <f t="shared" si="92"/>
        <v>1565051.5752023826</v>
      </c>
      <c r="AJ127" s="69">
        <f t="shared" si="92"/>
        <v>1565051.5752023826</v>
      </c>
      <c r="AK127" s="69">
        <f t="shared" si="92"/>
        <v>1565051.5752023826</v>
      </c>
      <c r="AL127" s="69">
        <f t="shared" si="92"/>
        <v>1565051.5752023826</v>
      </c>
      <c r="AM127" s="69">
        <f t="shared" si="92"/>
        <v>1565051.5752023826</v>
      </c>
      <c r="AN127" s="5"/>
      <c r="AO127" s="69"/>
      <c r="AP127" s="69"/>
      <c r="AQ127" s="69"/>
      <c r="AR127" s="69"/>
      <c r="AS127" s="69"/>
      <c r="AT127" s="69"/>
      <c r="AU127" s="69"/>
      <c r="AV127" s="69"/>
      <c r="AW127" s="1"/>
      <c r="AX127" s="221"/>
      <c r="AZ127" s="221"/>
      <c r="BA127" s="221"/>
      <c r="BB127" s="221"/>
      <c r="BC127" s="221"/>
      <c r="BD127" s="221"/>
    </row>
    <row r="128" spans="1:56" ht="15.75" customHeight="1" x14ac:dyDescent="0.3">
      <c r="A128" s="1"/>
      <c r="B128" s="94"/>
      <c r="C128" s="94" t="s">
        <v>8</v>
      </c>
      <c r="D128" s="94"/>
      <c r="E128" s="94"/>
      <c r="F128" s="94"/>
      <c r="G128" s="94"/>
      <c r="H128" s="94"/>
      <c r="I128" s="94"/>
      <c r="J128" s="94"/>
      <c r="K128" s="108">
        <f>NPV(WACC!$D$35,O128:AV128)</f>
        <v>-6712656.3413145626</v>
      </c>
      <c r="L128" s="97">
        <f>SUM(O128:AV128)</f>
        <v>-18747995.265310675</v>
      </c>
      <c r="M128" s="1"/>
      <c r="N128" s="1"/>
      <c r="O128" s="54">
        <f>-O11</f>
        <v>-484307.14391802822</v>
      </c>
      <c r="P128" s="54">
        <f t="shared" ref="P128:AM128" si="93">-P11</f>
        <v>-759530.1378576773</v>
      </c>
      <c r="Q128" s="54">
        <f t="shared" si="93"/>
        <v>-775107.90724580677</v>
      </c>
      <c r="R128" s="54">
        <f t="shared" si="93"/>
        <v>-759032.50619624567</v>
      </c>
      <c r="S128" s="54">
        <f t="shared" si="93"/>
        <v>-763040.01558437513</v>
      </c>
      <c r="T128" s="54">
        <f t="shared" si="93"/>
        <v>-770105.13453481405</v>
      </c>
      <c r="U128" s="54">
        <f t="shared" si="93"/>
        <v>-762542.38392294361</v>
      </c>
      <c r="V128" s="54">
        <f t="shared" si="93"/>
        <v>-769607.50287338253</v>
      </c>
      <c r="W128" s="54">
        <f t="shared" si="93"/>
        <v>-762044.75226151198</v>
      </c>
      <c r="X128" s="54">
        <f t="shared" si="93"/>
        <v>-757539.61121195089</v>
      </c>
      <c r="Y128" s="54">
        <f t="shared" si="93"/>
        <v>-773117.38060008036</v>
      </c>
      <c r="Z128" s="54">
        <f t="shared" si="93"/>
        <v>-757041.97955051926</v>
      </c>
      <c r="AA128" s="54">
        <f t="shared" si="93"/>
        <v>-772619.74893864873</v>
      </c>
      <c r="AB128" s="54">
        <f t="shared" si="93"/>
        <v>-756544.34788908774</v>
      </c>
      <c r="AC128" s="54">
        <f t="shared" si="93"/>
        <v>-760551.8572772172</v>
      </c>
      <c r="AD128" s="54">
        <f t="shared" si="93"/>
        <v>-767616.97622765612</v>
      </c>
      <c r="AE128" s="54">
        <f t="shared" si="93"/>
        <v>-760054.22561578557</v>
      </c>
      <c r="AF128" s="54">
        <f t="shared" si="93"/>
        <v>-767119.34456622449</v>
      </c>
      <c r="AG128" s="54">
        <f t="shared" si="93"/>
        <v>-759556.59395435394</v>
      </c>
      <c r="AH128" s="54">
        <f t="shared" si="93"/>
        <v>-755051.45290479285</v>
      </c>
      <c r="AI128" s="54">
        <f t="shared" si="93"/>
        <v>-770629.22229292232</v>
      </c>
      <c r="AJ128" s="54">
        <f t="shared" si="93"/>
        <v>-754553.82124336134</v>
      </c>
      <c r="AK128" s="54">
        <f t="shared" si="93"/>
        <v>-770131.59063149081</v>
      </c>
      <c r="AL128" s="54">
        <f t="shared" si="93"/>
        <v>-754056.18958192971</v>
      </c>
      <c r="AM128" s="54">
        <f t="shared" si="93"/>
        <v>-706493.43842986459</v>
      </c>
      <c r="AN128" s="5"/>
      <c r="AO128" s="54"/>
      <c r="AP128" s="54"/>
      <c r="AQ128" s="54"/>
      <c r="AR128" s="54"/>
      <c r="AS128" s="54"/>
      <c r="AT128" s="54"/>
      <c r="AU128" s="54"/>
      <c r="AV128" s="54"/>
      <c r="AW128" s="1"/>
      <c r="AX128" s="221"/>
      <c r="AZ128" s="221"/>
      <c r="BA128" s="221"/>
      <c r="BB128" s="221"/>
      <c r="BC128" s="221"/>
      <c r="BD128" s="221"/>
    </row>
    <row r="129" spans="1:56" ht="15.75" customHeight="1" x14ac:dyDescent="0.3">
      <c r="A129" s="1"/>
      <c r="B129" s="74"/>
      <c r="C129" s="74" t="s">
        <v>78</v>
      </c>
      <c r="D129" s="25"/>
      <c r="E129" s="25"/>
      <c r="F129" s="25"/>
      <c r="G129" s="25"/>
      <c r="H129" s="25"/>
      <c r="I129" s="25"/>
      <c r="J129" s="25"/>
      <c r="K129" s="75">
        <f t="shared" ref="K129:L129" si="94">K127+SUM(K128)</f>
        <v>6618784.1303046709</v>
      </c>
      <c r="L129" s="75">
        <f t="shared" si="94"/>
        <v>19334926.397947304</v>
      </c>
      <c r="M129" s="1"/>
      <c r="N129" s="1"/>
      <c r="O129" s="75">
        <f t="shared" ref="O129:AM129" si="95">O127+SUM(O128)</f>
        <v>37376.71448276547</v>
      </c>
      <c r="P129" s="75">
        <f t="shared" si="95"/>
        <v>805521.43734470534</v>
      </c>
      <c r="Q129" s="75">
        <f t="shared" si="95"/>
        <v>789943.66795657587</v>
      </c>
      <c r="R129" s="75">
        <f t="shared" si="95"/>
        <v>806019.06900613697</v>
      </c>
      <c r="S129" s="75">
        <f t="shared" si="95"/>
        <v>802011.55961800751</v>
      </c>
      <c r="T129" s="75">
        <f t="shared" si="95"/>
        <v>794946.44066756859</v>
      </c>
      <c r="U129" s="75">
        <f t="shared" si="95"/>
        <v>802509.19127943902</v>
      </c>
      <c r="V129" s="75">
        <f t="shared" si="95"/>
        <v>795444.0723290001</v>
      </c>
      <c r="W129" s="75">
        <f t="shared" si="95"/>
        <v>803006.82294087065</v>
      </c>
      <c r="X129" s="75">
        <f t="shared" si="95"/>
        <v>807511.96399043174</v>
      </c>
      <c r="Y129" s="75">
        <f t="shared" si="95"/>
        <v>791934.19460230228</v>
      </c>
      <c r="Z129" s="75">
        <f t="shared" si="95"/>
        <v>808009.59565186338</v>
      </c>
      <c r="AA129" s="75">
        <f t="shared" si="95"/>
        <v>792431.82626373391</v>
      </c>
      <c r="AB129" s="75">
        <f t="shared" si="95"/>
        <v>808507.22731329489</v>
      </c>
      <c r="AC129" s="75">
        <f t="shared" si="95"/>
        <v>804499.71792516543</v>
      </c>
      <c r="AD129" s="75">
        <f t="shared" si="95"/>
        <v>797434.59897472651</v>
      </c>
      <c r="AE129" s="75">
        <f t="shared" si="95"/>
        <v>804997.34958659706</v>
      </c>
      <c r="AF129" s="75">
        <f t="shared" si="95"/>
        <v>797932.23063615814</v>
      </c>
      <c r="AG129" s="75">
        <f t="shared" si="95"/>
        <v>805494.98124802869</v>
      </c>
      <c r="AH129" s="75">
        <f t="shared" si="95"/>
        <v>810000.12229758978</v>
      </c>
      <c r="AI129" s="75">
        <f t="shared" si="95"/>
        <v>794422.35290946031</v>
      </c>
      <c r="AJ129" s="75">
        <f t="shared" si="95"/>
        <v>810497.7539590213</v>
      </c>
      <c r="AK129" s="75">
        <f t="shared" si="95"/>
        <v>794919.98457089183</v>
      </c>
      <c r="AL129" s="75">
        <f t="shared" si="95"/>
        <v>810995.38562045293</v>
      </c>
      <c r="AM129" s="75">
        <f t="shared" si="95"/>
        <v>858558.13677251805</v>
      </c>
      <c r="AN129" s="5"/>
      <c r="AO129" s="75"/>
      <c r="AP129" s="75"/>
      <c r="AQ129" s="75"/>
      <c r="AR129" s="75"/>
      <c r="AS129" s="75"/>
      <c r="AT129" s="75"/>
      <c r="AU129" s="75"/>
      <c r="AV129" s="75"/>
      <c r="AW129" s="1"/>
      <c r="AX129" s="221"/>
      <c r="AZ129" s="221"/>
      <c r="BA129" s="221"/>
      <c r="BB129" s="221"/>
      <c r="BC129" s="221"/>
      <c r="BD129" s="221"/>
    </row>
    <row r="130" spans="1:56" ht="15.75" customHeight="1" x14ac:dyDescent="0.3">
      <c r="A130" s="1"/>
      <c r="B130" s="103"/>
      <c r="C130" s="103" t="s">
        <v>79</v>
      </c>
      <c r="D130" s="104"/>
      <c r="E130" s="104"/>
      <c r="F130" s="104"/>
      <c r="G130" s="104"/>
      <c r="H130" s="104"/>
      <c r="I130" s="104"/>
      <c r="J130" s="104"/>
      <c r="K130" s="105">
        <f t="shared" ref="K130:L130" si="96">IFERROR(K129/K$105,0)</f>
        <v>0.40772083941603215</v>
      </c>
      <c r="L130" s="105">
        <f t="shared" si="96"/>
        <v>0.44748211566095247</v>
      </c>
      <c r="M130" s="1"/>
      <c r="N130" s="1"/>
      <c r="O130" s="105">
        <f t="shared" ref="O130:AM130" si="97">O129/O127</f>
        <v>7.1646292828270883E-2</v>
      </c>
      <c r="P130" s="105">
        <f t="shared" si="97"/>
        <v>0.51469322168538778</v>
      </c>
      <c r="Q130" s="105">
        <f t="shared" si="97"/>
        <v>0.50473970345317554</v>
      </c>
      <c r="R130" s="105">
        <f t="shared" si="97"/>
        <v>0.51501118670923518</v>
      </c>
      <c r="S130" s="105">
        <f t="shared" si="97"/>
        <v>0.51245056222143759</v>
      </c>
      <c r="T130" s="105">
        <f t="shared" si="97"/>
        <v>0.50793625798866793</v>
      </c>
      <c r="U130" s="105">
        <f t="shared" si="97"/>
        <v>0.51276852724528488</v>
      </c>
      <c r="V130" s="105">
        <f t="shared" si="97"/>
        <v>0.50825422301251533</v>
      </c>
      <c r="W130" s="105">
        <f t="shared" si="97"/>
        <v>0.51308649226913228</v>
      </c>
      <c r="X130" s="105">
        <f t="shared" si="97"/>
        <v>0.51596508178077738</v>
      </c>
      <c r="Y130" s="105">
        <f t="shared" si="97"/>
        <v>0.50601156354856502</v>
      </c>
      <c r="Z130" s="105">
        <f t="shared" si="97"/>
        <v>0.51628304680462478</v>
      </c>
      <c r="AA130" s="105">
        <f t="shared" si="97"/>
        <v>0.50632952857241242</v>
      </c>
      <c r="AB130" s="105">
        <f t="shared" si="97"/>
        <v>0.51660101182847207</v>
      </c>
      <c r="AC130" s="105">
        <f t="shared" si="97"/>
        <v>0.51404038734067448</v>
      </c>
      <c r="AD130" s="105">
        <f t="shared" si="97"/>
        <v>0.50952608310790481</v>
      </c>
      <c r="AE130" s="105">
        <f t="shared" si="97"/>
        <v>0.51435835236452188</v>
      </c>
      <c r="AF130" s="105">
        <f t="shared" si="97"/>
        <v>0.50984404813175221</v>
      </c>
      <c r="AG130" s="105">
        <f t="shared" si="97"/>
        <v>0.51467631738836928</v>
      </c>
      <c r="AH130" s="105">
        <f t="shared" si="97"/>
        <v>0.51755490690001427</v>
      </c>
      <c r="AI130" s="105">
        <f t="shared" si="97"/>
        <v>0.50760138866780191</v>
      </c>
      <c r="AJ130" s="105">
        <f t="shared" si="97"/>
        <v>0.51787287192386156</v>
      </c>
      <c r="AK130" s="105">
        <f t="shared" si="97"/>
        <v>0.50791935369164931</v>
      </c>
      <c r="AL130" s="105">
        <f t="shared" si="97"/>
        <v>0.51819083694770895</v>
      </c>
      <c r="AM130" s="105">
        <f t="shared" si="97"/>
        <v>0.54858136969798887</v>
      </c>
      <c r="AN130" s="5"/>
      <c r="AO130" s="105"/>
      <c r="AP130" s="105"/>
      <c r="AQ130" s="105"/>
      <c r="AR130" s="105"/>
      <c r="AS130" s="105"/>
      <c r="AT130" s="105"/>
      <c r="AU130" s="105"/>
      <c r="AV130" s="105"/>
      <c r="AW130" s="1"/>
      <c r="AX130" s="221"/>
      <c r="BB130" s="221"/>
      <c r="BC130" s="221"/>
      <c r="BD130" s="221"/>
    </row>
    <row r="131" spans="1:56" ht="15.75" customHeight="1" x14ac:dyDescent="0.3">
      <c r="A131" s="1"/>
      <c r="B131" s="94"/>
      <c r="C131" s="94" t="s">
        <v>93</v>
      </c>
      <c r="D131" s="94"/>
      <c r="E131" s="94"/>
      <c r="F131" s="94"/>
      <c r="G131" s="94"/>
      <c r="H131" s="94"/>
      <c r="I131" s="94"/>
      <c r="J131" s="94"/>
      <c r="K131" s="108">
        <f>NPV(WACC!$D$35,O131:AV131)</f>
        <v>2320113.7304349779</v>
      </c>
      <c r="L131" s="97">
        <f>SUM(O131:AV131)</f>
        <v>8118574.5519900285</v>
      </c>
      <c r="M131" s="1"/>
      <c r="N131" s="1"/>
      <c r="O131" s="54">
        <f t="shared" ref="O131:AM131" si="98">O132-O129</f>
        <v>5.8207660913467407E-11</v>
      </c>
      <c r="P131" s="54">
        <f t="shared" si="98"/>
        <v>1658772.2047720007</v>
      </c>
      <c r="Q131" s="54">
        <f t="shared" si="98"/>
        <v>-84928.320708956453</v>
      </c>
      <c r="R131" s="54">
        <f t="shared" si="98"/>
        <v>-39689.434519312228</v>
      </c>
      <c r="S131" s="54">
        <f t="shared" si="98"/>
        <v>10042.617837987375</v>
      </c>
      <c r="T131" s="54">
        <f t="shared" si="98"/>
        <v>-72945.346783523099</v>
      </c>
      <c r="U131" s="54">
        <f t="shared" si="98"/>
        <v>-26516.301030623028</v>
      </c>
      <c r="V131" s="54">
        <f t="shared" si="98"/>
        <v>24524.118589859456</v>
      </c>
      <c r="W131" s="54">
        <f t="shared" si="98"/>
        <v>67324.836044701282</v>
      </c>
      <c r="X131" s="54">
        <f t="shared" si="98"/>
        <v>107080.55358470767</v>
      </c>
      <c r="Y131" s="54">
        <f t="shared" si="98"/>
        <v>171389.93090557191</v>
      </c>
      <c r="Z131" s="54">
        <f t="shared" si="98"/>
        <v>105436.34660838847</v>
      </c>
      <c r="AA131" s="54">
        <f t="shared" si="98"/>
        <v>169582.419838881</v>
      </c>
      <c r="AB131" s="54">
        <f t="shared" si="98"/>
        <v>183302.87318845943</v>
      </c>
      <c r="AC131" s="54">
        <f t="shared" si="98"/>
        <v>255182.71867310849</v>
      </c>
      <c r="AD131" s="54">
        <f t="shared" si="98"/>
        <v>334201.73395327374</v>
      </c>
      <c r="AE131" s="54">
        <f t="shared" si="98"/>
        <v>271124.16742261511</v>
      </c>
      <c r="AF131" s="54">
        <f t="shared" si="98"/>
        <v>347631.41221562878</v>
      </c>
      <c r="AG131" s="54">
        <f t="shared" si="98"/>
        <v>419308.0286379907</v>
      </c>
      <c r="AH131" s="54">
        <f t="shared" si="98"/>
        <v>514628.11479109374</v>
      </c>
      <c r="AI131" s="54">
        <f t="shared" si="98"/>
        <v>619415.47616414109</v>
      </c>
      <c r="AJ131" s="54">
        <f t="shared" si="98"/>
        <v>596965.44984283135</v>
      </c>
      <c r="AK131" s="54">
        <f t="shared" si="98"/>
        <v>709930.6281196482</v>
      </c>
      <c r="AL131" s="54">
        <f t="shared" si="98"/>
        <v>820806.52600222942</v>
      </c>
      <c r="AM131" s="54">
        <f t="shared" si="98"/>
        <v>956003.79783932539</v>
      </c>
      <c r="AN131" s="5"/>
      <c r="AO131" s="54"/>
      <c r="AP131" s="54"/>
      <c r="AQ131" s="54"/>
      <c r="AR131" s="54"/>
      <c r="AS131" s="54"/>
      <c r="AT131" s="54"/>
      <c r="AU131" s="54"/>
      <c r="AV131" s="54"/>
      <c r="AW131" s="1"/>
      <c r="AX131" s="221"/>
    </row>
    <row r="132" spans="1:56" ht="15.75" customHeight="1" x14ac:dyDescent="0.3">
      <c r="A132" s="1"/>
      <c r="B132" s="74"/>
      <c r="C132" s="74" t="s">
        <v>82</v>
      </c>
      <c r="D132" s="25"/>
      <c r="E132" s="25"/>
      <c r="F132" s="25"/>
      <c r="G132" s="25"/>
      <c r="H132" s="25"/>
      <c r="I132" s="25"/>
      <c r="J132" s="25"/>
      <c r="K132" s="75">
        <f t="shared" ref="K132:L132" si="99">K115</f>
        <v>11259011.591174629</v>
      </c>
      <c r="L132" s="75">
        <f t="shared" si="99"/>
        <v>35572075.501927376</v>
      </c>
      <c r="M132" s="1"/>
      <c r="N132" s="1"/>
      <c r="O132" s="75">
        <f t="shared" ref="O132:AM132" si="100">O115</f>
        <v>37376.714482765528</v>
      </c>
      <c r="P132" s="75">
        <f t="shared" si="100"/>
        <v>2464293.6421167059</v>
      </c>
      <c r="Q132" s="75">
        <f t="shared" si="100"/>
        <v>705015.34724761941</v>
      </c>
      <c r="R132" s="75">
        <f t="shared" si="100"/>
        <v>766329.63448682474</v>
      </c>
      <c r="S132" s="75">
        <f t="shared" si="100"/>
        <v>812054.17745599488</v>
      </c>
      <c r="T132" s="75">
        <f t="shared" si="100"/>
        <v>722001.09388404549</v>
      </c>
      <c r="U132" s="75">
        <f t="shared" si="100"/>
        <v>775992.89024881599</v>
      </c>
      <c r="V132" s="75">
        <f t="shared" si="100"/>
        <v>819968.19091885956</v>
      </c>
      <c r="W132" s="75">
        <f t="shared" si="100"/>
        <v>870331.65898557194</v>
      </c>
      <c r="X132" s="75">
        <f t="shared" si="100"/>
        <v>914592.51757513941</v>
      </c>
      <c r="Y132" s="75">
        <f t="shared" si="100"/>
        <v>963324.12550787418</v>
      </c>
      <c r="Z132" s="75">
        <f t="shared" si="100"/>
        <v>913445.94226025185</v>
      </c>
      <c r="AA132" s="75">
        <f t="shared" si="100"/>
        <v>962014.24610261491</v>
      </c>
      <c r="AB132" s="75">
        <f t="shared" si="100"/>
        <v>991810.10050175432</v>
      </c>
      <c r="AC132" s="75">
        <f t="shared" si="100"/>
        <v>1059682.4365982739</v>
      </c>
      <c r="AD132" s="75">
        <f t="shared" si="100"/>
        <v>1131636.3329280003</v>
      </c>
      <c r="AE132" s="75">
        <f t="shared" si="100"/>
        <v>1076121.5170092122</v>
      </c>
      <c r="AF132" s="75">
        <f t="shared" si="100"/>
        <v>1145563.6428517869</v>
      </c>
      <c r="AG132" s="75">
        <f t="shared" si="100"/>
        <v>1224803.0098860194</v>
      </c>
      <c r="AH132" s="75">
        <f t="shared" si="100"/>
        <v>1324628.2370886835</v>
      </c>
      <c r="AI132" s="75">
        <f t="shared" si="100"/>
        <v>1413837.8290736014</v>
      </c>
      <c r="AJ132" s="75">
        <f t="shared" si="100"/>
        <v>1407463.2038018527</v>
      </c>
      <c r="AK132" s="75">
        <f t="shared" si="100"/>
        <v>1504850.61269054</v>
      </c>
      <c r="AL132" s="75">
        <f t="shared" si="100"/>
        <v>1631801.9116226824</v>
      </c>
      <c r="AM132" s="75">
        <f t="shared" si="100"/>
        <v>1814561.9346118434</v>
      </c>
      <c r="AN132" s="5"/>
      <c r="AO132" s="75"/>
      <c r="AP132" s="75"/>
      <c r="AQ132" s="75"/>
      <c r="AR132" s="75"/>
      <c r="AS132" s="75"/>
      <c r="AT132" s="75"/>
      <c r="AU132" s="75"/>
      <c r="AV132" s="75"/>
      <c r="AW132" s="1"/>
      <c r="AX132" s="221"/>
    </row>
    <row r="133" spans="1:56" ht="15.75" customHeight="1" x14ac:dyDescent="0.3">
      <c r="A133" s="1"/>
      <c r="B133" s="103"/>
      <c r="C133" s="103" t="s">
        <v>83</v>
      </c>
      <c r="D133" s="104"/>
      <c r="E133" s="104"/>
      <c r="F133" s="104"/>
      <c r="G133" s="104"/>
      <c r="H133" s="104"/>
      <c r="I133" s="104"/>
      <c r="J133" s="104"/>
      <c r="K133" s="105">
        <f t="shared" ref="K133:L133" si="101">IFERROR(K132/K$105,0)</f>
        <v>0.69356147089469244</v>
      </c>
      <c r="L133" s="105">
        <f t="shared" si="101"/>
        <v>0.82327014214771066</v>
      </c>
      <c r="M133" s="1"/>
      <c r="N133" s="1"/>
      <c r="O133" s="105">
        <f t="shared" ref="O133:AM133" si="102">IFERROR(O132/O$105,0)</f>
        <v>1.0452227752249717E-2</v>
      </c>
      <c r="P133" s="105">
        <f t="shared" si="102"/>
        <v>2.405030936430073</v>
      </c>
      <c r="Q133" s="105">
        <f t="shared" si="102"/>
        <v>0.68806074560663677</v>
      </c>
      <c r="R133" s="105">
        <f t="shared" si="102"/>
        <v>0.74790051272496816</v>
      </c>
      <c r="S133" s="105">
        <f t="shared" si="102"/>
        <v>0.33686133489359527</v>
      </c>
      <c r="T133" s="105">
        <f t="shared" si="102"/>
        <v>0.70463800954985678</v>
      </c>
      <c r="U133" s="105">
        <f t="shared" si="102"/>
        <v>0.75733138113164988</v>
      </c>
      <c r="V133" s="105">
        <f t="shared" si="102"/>
        <v>0.70769763694090837</v>
      </c>
      <c r="W133" s="105">
        <f t="shared" si="102"/>
        <v>0.70638018234095923</v>
      </c>
      <c r="X133" s="105">
        <f t="shared" si="102"/>
        <v>0.89259788744425284</v>
      </c>
      <c r="Y133" s="105">
        <f t="shared" si="102"/>
        <v>0.401303623078265</v>
      </c>
      <c r="Z133" s="105">
        <f t="shared" si="102"/>
        <v>0.89147888561097988</v>
      </c>
      <c r="AA133" s="105">
        <f t="shared" si="102"/>
        <v>0.60258032009121776</v>
      </c>
      <c r="AB133" s="105">
        <f t="shared" si="102"/>
        <v>0.9679584989399459</v>
      </c>
      <c r="AC133" s="105">
        <f t="shared" si="102"/>
        <v>1.0341986033049835</v>
      </c>
      <c r="AD133" s="105">
        <f t="shared" si="102"/>
        <v>0.44652077320309153</v>
      </c>
      <c r="AE133" s="105">
        <f t="shared" si="102"/>
        <v>1.0096160492233341</v>
      </c>
      <c r="AF133" s="105">
        <f t="shared" si="102"/>
        <v>0.96183743242940278</v>
      </c>
      <c r="AG133" s="105">
        <f t="shared" si="102"/>
        <v>1.195348265102995</v>
      </c>
      <c r="AH133" s="105">
        <f t="shared" si="102"/>
        <v>1.2927728396566787</v>
      </c>
      <c r="AI133" s="105">
        <f t="shared" si="102"/>
        <v>0.58653244012119454</v>
      </c>
      <c r="AJ133" s="105">
        <f t="shared" si="102"/>
        <v>1.3736157449657256</v>
      </c>
      <c r="AK133" s="105">
        <f t="shared" si="102"/>
        <v>1.2988055321472329</v>
      </c>
      <c r="AL133" s="105">
        <f t="shared" si="102"/>
        <v>1.592559430623415</v>
      </c>
      <c r="AM133" s="105">
        <f t="shared" si="102"/>
        <v>1.7537819738234817</v>
      </c>
      <c r="AN133" s="5"/>
      <c r="AO133" s="105"/>
      <c r="AP133" s="105"/>
      <c r="AQ133" s="105"/>
      <c r="AR133" s="105"/>
      <c r="AS133" s="105"/>
      <c r="AT133" s="105"/>
      <c r="AU133" s="105"/>
      <c r="AV133" s="105"/>
      <c r="AW133" s="1"/>
      <c r="AX133" s="221"/>
    </row>
    <row r="134" spans="1:56" ht="15.75" customHeight="1" x14ac:dyDescent="0.3">
      <c r="A134" s="1"/>
      <c r="B134" s="1"/>
      <c r="C134" s="1" t="s">
        <v>84</v>
      </c>
      <c r="D134" s="1"/>
      <c r="E134" s="1"/>
      <c r="F134" s="1"/>
      <c r="G134" s="1"/>
      <c r="H134" s="1"/>
      <c r="I134" s="1"/>
      <c r="J134" s="1"/>
      <c r="K134" s="108">
        <f>NPV(WACC!$D$35,O134:AV134)</f>
        <v>0</v>
      </c>
      <c r="L134" s="107">
        <f>SUM(O134:AV134)</f>
        <v>0</v>
      </c>
      <c r="M134" s="1"/>
      <c r="N134" s="1"/>
      <c r="O134" s="107">
        <v>0</v>
      </c>
      <c r="P134" s="107">
        <v>0</v>
      </c>
      <c r="Q134" s="107">
        <v>0</v>
      </c>
      <c r="R134" s="107">
        <v>0</v>
      </c>
      <c r="S134" s="107">
        <v>0</v>
      </c>
      <c r="T134" s="107">
        <v>0</v>
      </c>
      <c r="U134" s="107">
        <v>0</v>
      </c>
      <c r="V134" s="107">
        <v>0</v>
      </c>
      <c r="W134" s="107">
        <v>0</v>
      </c>
      <c r="X134" s="107">
        <v>0</v>
      </c>
      <c r="Y134" s="107">
        <v>0</v>
      </c>
      <c r="Z134" s="107">
        <v>0</v>
      </c>
      <c r="AA134" s="107">
        <v>0</v>
      </c>
      <c r="AB134" s="107">
        <v>0</v>
      </c>
      <c r="AC134" s="107">
        <v>0</v>
      </c>
      <c r="AD134" s="107">
        <v>0</v>
      </c>
      <c r="AE134" s="107">
        <v>0</v>
      </c>
      <c r="AF134" s="107">
        <v>0</v>
      </c>
      <c r="AG134" s="107">
        <v>0</v>
      </c>
      <c r="AH134" s="107">
        <v>0</v>
      </c>
      <c r="AI134" s="107">
        <v>0</v>
      </c>
      <c r="AJ134" s="107">
        <v>0</v>
      </c>
      <c r="AK134" s="107">
        <v>0</v>
      </c>
      <c r="AL134" s="107">
        <v>0</v>
      </c>
      <c r="AM134" s="107">
        <v>0</v>
      </c>
      <c r="AN134" s="5"/>
      <c r="AO134" s="107"/>
      <c r="AP134" s="107"/>
      <c r="AQ134" s="107"/>
      <c r="AR134" s="107"/>
      <c r="AS134" s="107"/>
      <c r="AT134" s="107"/>
      <c r="AU134" s="107"/>
      <c r="AV134" s="107"/>
      <c r="AW134" s="1"/>
      <c r="AX134" s="221"/>
    </row>
    <row r="135" spans="1:56" ht="15.75" customHeight="1" x14ac:dyDescent="0.3">
      <c r="A135" s="1"/>
      <c r="B135" s="74"/>
      <c r="C135" s="74" t="s">
        <v>86</v>
      </c>
      <c r="D135" s="25"/>
      <c r="E135" s="25"/>
      <c r="F135" s="25"/>
      <c r="G135" s="25"/>
      <c r="H135" s="25"/>
      <c r="I135" s="25"/>
      <c r="J135" s="25"/>
      <c r="K135" s="75">
        <f t="shared" ref="K135:L135" si="103">K132+K134</f>
        <v>11259011.591174629</v>
      </c>
      <c r="L135" s="75">
        <f t="shared" si="103"/>
        <v>35572075.501927376</v>
      </c>
      <c r="M135" s="1"/>
      <c r="N135" s="1"/>
      <c r="O135" s="75">
        <f t="shared" ref="O135:AM135" si="104">O132+O134</f>
        <v>37376.714482765528</v>
      </c>
      <c r="P135" s="75">
        <f t="shared" si="104"/>
        <v>2464293.6421167059</v>
      </c>
      <c r="Q135" s="75">
        <f t="shared" si="104"/>
        <v>705015.34724761941</v>
      </c>
      <c r="R135" s="75">
        <f t="shared" si="104"/>
        <v>766329.63448682474</v>
      </c>
      <c r="S135" s="75">
        <f t="shared" si="104"/>
        <v>812054.17745599488</v>
      </c>
      <c r="T135" s="75">
        <f t="shared" si="104"/>
        <v>722001.09388404549</v>
      </c>
      <c r="U135" s="75">
        <f t="shared" si="104"/>
        <v>775992.89024881599</v>
      </c>
      <c r="V135" s="75">
        <f t="shared" si="104"/>
        <v>819968.19091885956</v>
      </c>
      <c r="W135" s="75">
        <f t="shared" si="104"/>
        <v>870331.65898557194</v>
      </c>
      <c r="X135" s="75">
        <f t="shared" si="104"/>
        <v>914592.51757513941</v>
      </c>
      <c r="Y135" s="75">
        <f t="shared" si="104"/>
        <v>963324.12550787418</v>
      </c>
      <c r="Z135" s="75">
        <f t="shared" si="104"/>
        <v>913445.94226025185</v>
      </c>
      <c r="AA135" s="75">
        <f t="shared" si="104"/>
        <v>962014.24610261491</v>
      </c>
      <c r="AB135" s="75">
        <f t="shared" si="104"/>
        <v>991810.10050175432</v>
      </c>
      <c r="AC135" s="75">
        <f t="shared" si="104"/>
        <v>1059682.4365982739</v>
      </c>
      <c r="AD135" s="75">
        <f t="shared" si="104"/>
        <v>1131636.3329280003</v>
      </c>
      <c r="AE135" s="75">
        <f t="shared" si="104"/>
        <v>1076121.5170092122</v>
      </c>
      <c r="AF135" s="75">
        <f t="shared" si="104"/>
        <v>1145563.6428517869</v>
      </c>
      <c r="AG135" s="75">
        <f t="shared" si="104"/>
        <v>1224803.0098860194</v>
      </c>
      <c r="AH135" s="75">
        <f t="shared" si="104"/>
        <v>1324628.2370886835</v>
      </c>
      <c r="AI135" s="75">
        <f t="shared" si="104"/>
        <v>1413837.8290736014</v>
      </c>
      <c r="AJ135" s="75">
        <f t="shared" si="104"/>
        <v>1407463.2038018527</v>
      </c>
      <c r="AK135" s="75">
        <f t="shared" si="104"/>
        <v>1504850.61269054</v>
      </c>
      <c r="AL135" s="75">
        <f t="shared" si="104"/>
        <v>1631801.9116226824</v>
      </c>
      <c r="AM135" s="75">
        <f t="shared" si="104"/>
        <v>1814561.9346118434</v>
      </c>
      <c r="AN135" s="5"/>
      <c r="AO135" s="75"/>
      <c r="AP135" s="75"/>
      <c r="AQ135" s="75"/>
      <c r="AR135" s="75"/>
      <c r="AS135" s="75"/>
      <c r="AT135" s="75"/>
      <c r="AU135" s="75"/>
      <c r="AV135" s="75"/>
      <c r="AW135" s="1"/>
      <c r="AX135" s="221"/>
    </row>
    <row r="136" spans="1:56" ht="15.75" customHeight="1" x14ac:dyDescent="0.3">
      <c r="A136" s="1"/>
      <c r="B136" s="103"/>
      <c r="C136" s="103" t="s">
        <v>87</v>
      </c>
      <c r="D136" s="104"/>
      <c r="E136" s="104"/>
      <c r="F136" s="104"/>
      <c r="G136" s="104"/>
      <c r="H136" s="104"/>
      <c r="I136" s="104"/>
      <c r="J136" s="104"/>
      <c r="K136" s="105">
        <f t="shared" ref="K136:L136" si="105">IFERROR(K135/K$105,0)</f>
        <v>0.69356147089469244</v>
      </c>
      <c r="L136" s="105">
        <f t="shared" si="105"/>
        <v>0.82327014214771066</v>
      </c>
      <c r="M136" s="1"/>
      <c r="N136" s="1"/>
      <c r="O136" s="105">
        <f t="shared" ref="O136:AM136" si="106">O135/O127</f>
        <v>7.1646292828270994E-2</v>
      </c>
      <c r="P136" s="105">
        <f t="shared" si="106"/>
        <v>1.574576634509977</v>
      </c>
      <c r="Q136" s="105">
        <f t="shared" si="106"/>
        <v>0.4504741942171786</v>
      </c>
      <c r="R136" s="105">
        <f t="shared" si="106"/>
        <v>0.48965136141773974</v>
      </c>
      <c r="S136" s="105">
        <f t="shared" si="106"/>
        <v>0.51886735895651559</v>
      </c>
      <c r="T136" s="105">
        <f t="shared" si="106"/>
        <v>0.46132734877486758</v>
      </c>
      <c r="U136" s="105">
        <f t="shared" si="106"/>
        <v>0.495825762258646</v>
      </c>
      <c r="V136" s="105">
        <f t="shared" si="106"/>
        <v>0.52392406992263274</v>
      </c>
      <c r="W136" s="105">
        <f t="shared" si="106"/>
        <v>0.55610413917063795</v>
      </c>
      <c r="X136" s="105">
        <f t="shared" si="106"/>
        <v>0.58438490594590797</v>
      </c>
      <c r="Y136" s="105">
        <f t="shared" si="106"/>
        <v>0.61552228742576942</v>
      </c>
      <c r="Z136" s="105">
        <f t="shared" si="106"/>
        <v>0.58365229410547115</v>
      </c>
      <c r="AA136" s="105">
        <f t="shared" si="106"/>
        <v>0.61468533136245895</v>
      </c>
      <c r="AB136" s="105">
        <f t="shared" si="106"/>
        <v>0.63372358854915034</v>
      </c>
      <c r="AC136" s="105">
        <f t="shared" si="106"/>
        <v>0.67709106421061072</v>
      </c>
      <c r="AD136" s="105">
        <f t="shared" si="106"/>
        <v>0.72306647963449011</v>
      </c>
      <c r="AE136" s="105">
        <f t="shared" si="106"/>
        <v>0.68759492278716428</v>
      </c>
      <c r="AF136" s="105">
        <f t="shared" si="106"/>
        <v>0.73196542593406211</v>
      </c>
      <c r="AG136" s="105">
        <f t="shared" si="106"/>
        <v>0.78259594079360328</v>
      </c>
      <c r="AH136" s="105">
        <f t="shared" si="106"/>
        <v>0.8463799264362204</v>
      </c>
      <c r="AI136" s="105">
        <f t="shared" si="106"/>
        <v>0.903380982119246</v>
      </c>
      <c r="AJ136" s="105">
        <f t="shared" si="106"/>
        <v>0.89930787336503482</v>
      </c>
      <c r="AK136" s="105">
        <f t="shared" si="106"/>
        <v>0.96153419895823067</v>
      </c>
      <c r="AL136" s="105">
        <f t="shared" si="106"/>
        <v>1.0426505665870263</v>
      </c>
      <c r="AM136" s="105">
        <f t="shared" si="106"/>
        <v>1.1594262856016075</v>
      </c>
      <c r="AN136" s="5"/>
      <c r="AO136" s="105"/>
      <c r="AP136" s="105"/>
      <c r="AQ136" s="105"/>
      <c r="AR136" s="105"/>
      <c r="AS136" s="105"/>
      <c r="AT136" s="105"/>
      <c r="AU136" s="105"/>
      <c r="AV136" s="105"/>
      <c r="AW136" s="1"/>
      <c r="AX136" s="221"/>
    </row>
    <row r="137" spans="1:56" ht="15.75" customHeight="1" x14ac:dyDescent="0.3">
      <c r="A137" s="1"/>
      <c r="B137" s="87"/>
      <c r="C137" s="87" t="s">
        <v>88</v>
      </c>
      <c r="D137" s="87"/>
      <c r="E137" s="87"/>
      <c r="F137" s="87"/>
      <c r="G137" s="87"/>
      <c r="H137" s="87"/>
      <c r="I137" s="87"/>
      <c r="J137" s="87"/>
      <c r="K137" s="108">
        <f>NPV(WACC!$D$35,O137:AV137)</f>
        <v>-1324064.4029224338</v>
      </c>
      <c r="L137" s="108">
        <f>SUM(O137:AV137)</f>
        <v>-3797850.5495428117</v>
      </c>
      <c r="M137" s="1"/>
      <c r="N137" s="1"/>
      <c r="O137" s="54">
        <f t="shared" ref="O137:AM137" si="107">O117</f>
        <v>-42464.568442163181</v>
      </c>
      <c r="P137" s="54">
        <f t="shared" si="107"/>
        <v>-156474.41587919366</v>
      </c>
      <c r="Q137" s="54">
        <f t="shared" si="107"/>
        <v>-156474.41587919366</v>
      </c>
      <c r="R137" s="54">
        <f t="shared" si="107"/>
        <v>-156474.41587919366</v>
      </c>
      <c r="S137" s="54">
        <f t="shared" si="107"/>
        <v>-156474.41587919366</v>
      </c>
      <c r="T137" s="54">
        <f t="shared" si="107"/>
        <v>-156474.41587919366</v>
      </c>
      <c r="U137" s="54">
        <f t="shared" si="107"/>
        <v>-156474.41587919366</v>
      </c>
      <c r="V137" s="54">
        <f t="shared" si="107"/>
        <v>-156474.41587919366</v>
      </c>
      <c r="W137" s="54">
        <f t="shared" si="107"/>
        <v>-156474.41587919366</v>
      </c>
      <c r="X137" s="54">
        <f t="shared" si="107"/>
        <v>-156474.41587919366</v>
      </c>
      <c r="Y137" s="54">
        <f t="shared" si="107"/>
        <v>-156474.41587919366</v>
      </c>
      <c r="Z137" s="54">
        <f t="shared" si="107"/>
        <v>-156474.41587919366</v>
      </c>
      <c r="AA137" s="54">
        <f t="shared" si="107"/>
        <v>-156474.41587919366</v>
      </c>
      <c r="AB137" s="54">
        <f t="shared" si="107"/>
        <v>-156474.41587919366</v>
      </c>
      <c r="AC137" s="54">
        <f t="shared" si="107"/>
        <v>-156474.41587919366</v>
      </c>
      <c r="AD137" s="54">
        <f t="shared" si="107"/>
        <v>-156474.41587919366</v>
      </c>
      <c r="AE137" s="54">
        <f t="shared" si="107"/>
        <v>-156474.41587919366</v>
      </c>
      <c r="AF137" s="54">
        <f t="shared" si="107"/>
        <v>-156474.41587919366</v>
      </c>
      <c r="AG137" s="54">
        <f t="shared" si="107"/>
        <v>-156474.41587919366</v>
      </c>
      <c r="AH137" s="54">
        <f t="shared" si="107"/>
        <v>-156474.41587919366</v>
      </c>
      <c r="AI137" s="54">
        <f t="shared" si="107"/>
        <v>-156474.41587919366</v>
      </c>
      <c r="AJ137" s="54">
        <f t="shared" si="107"/>
        <v>-156474.41587919366</v>
      </c>
      <c r="AK137" s="54">
        <f t="shared" si="107"/>
        <v>-156474.41587919366</v>
      </c>
      <c r="AL137" s="54">
        <f t="shared" si="107"/>
        <v>-156474.41587919366</v>
      </c>
      <c r="AM137" s="54">
        <f t="shared" si="107"/>
        <v>-156474.41587919366</v>
      </c>
      <c r="AN137" s="5"/>
      <c r="AO137" s="54"/>
      <c r="AP137" s="54"/>
      <c r="AQ137" s="54"/>
      <c r="AR137" s="54"/>
      <c r="AS137" s="54"/>
      <c r="AT137" s="54"/>
      <c r="AU137" s="54"/>
      <c r="AV137" s="54"/>
      <c r="AW137" s="1"/>
      <c r="AX137" s="221"/>
    </row>
    <row r="138" spans="1:56" ht="15.75" customHeight="1" x14ac:dyDescent="0.3">
      <c r="A138" s="1"/>
      <c r="B138" s="60"/>
      <c r="C138" s="60" t="s">
        <v>89</v>
      </c>
      <c r="D138" s="1"/>
      <c r="E138" s="1"/>
      <c r="F138" s="1"/>
      <c r="G138" s="1"/>
      <c r="H138" s="1"/>
      <c r="I138" s="1"/>
      <c r="J138" s="1"/>
      <c r="K138" s="109">
        <f t="shared" ref="K138:L138" si="108">K135+K137</f>
        <v>9934947.1882521957</v>
      </c>
      <c r="L138" s="109">
        <f t="shared" si="108"/>
        <v>31774224.952384565</v>
      </c>
      <c r="M138" s="1"/>
      <c r="N138" s="1"/>
      <c r="O138" s="109">
        <f t="shared" ref="O138:AM138" si="109">O135+O137</f>
        <v>-5087.8539593976529</v>
      </c>
      <c r="P138" s="109">
        <f t="shared" si="109"/>
        <v>2307819.2262375122</v>
      </c>
      <c r="Q138" s="109">
        <f t="shared" si="109"/>
        <v>548540.93136842572</v>
      </c>
      <c r="R138" s="109">
        <f t="shared" si="109"/>
        <v>609855.21860763105</v>
      </c>
      <c r="S138" s="109">
        <f t="shared" si="109"/>
        <v>655579.76157680119</v>
      </c>
      <c r="T138" s="109">
        <f t="shared" si="109"/>
        <v>565526.6780048518</v>
      </c>
      <c r="U138" s="109">
        <f t="shared" si="109"/>
        <v>619518.4743696223</v>
      </c>
      <c r="V138" s="109">
        <f t="shared" si="109"/>
        <v>663493.77503966587</v>
      </c>
      <c r="W138" s="109">
        <f t="shared" si="109"/>
        <v>713857.24310637824</v>
      </c>
      <c r="X138" s="109">
        <f t="shared" si="109"/>
        <v>758118.10169594572</v>
      </c>
      <c r="Y138" s="109">
        <f t="shared" si="109"/>
        <v>806849.70962868049</v>
      </c>
      <c r="Z138" s="109">
        <f t="shared" si="109"/>
        <v>756971.52638105815</v>
      </c>
      <c r="AA138" s="109">
        <f t="shared" si="109"/>
        <v>805539.83022342122</v>
      </c>
      <c r="AB138" s="109">
        <f t="shared" si="109"/>
        <v>835335.68462256063</v>
      </c>
      <c r="AC138" s="109">
        <f t="shared" si="109"/>
        <v>903208.02071908023</v>
      </c>
      <c r="AD138" s="109">
        <f t="shared" si="109"/>
        <v>975161.91704880656</v>
      </c>
      <c r="AE138" s="109">
        <f t="shared" si="109"/>
        <v>919647.10113001848</v>
      </c>
      <c r="AF138" s="109">
        <f t="shared" si="109"/>
        <v>989089.22697259323</v>
      </c>
      <c r="AG138" s="109">
        <f t="shared" si="109"/>
        <v>1068328.5940068257</v>
      </c>
      <c r="AH138" s="109">
        <f t="shared" si="109"/>
        <v>1168153.8212094898</v>
      </c>
      <c r="AI138" s="109">
        <f t="shared" si="109"/>
        <v>1257363.4131944077</v>
      </c>
      <c r="AJ138" s="109">
        <f t="shared" si="109"/>
        <v>1250988.787922659</v>
      </c>
      <c r="AK138" s="109">
        <f t="shared" si="109"/>
        <v>1348376.1968113463</v>
      </c>
      <c r="AL138" s="109">
        <f t="shared" si="109"/>
        <v>1475327.4957434887</v>
      </c>
      <c r="AM138" s="109">
        <f t="shared" si="109"/>
        <v>1658087.5187326497</v>
      </c>
      <c r="AN138" s="5"/>
      <c r="AO138" s="109"/>
      <c r="AP138" s="109"/>
      <c r="AQ138" s="109"/>
      <c r="AR138" s="109"/>
      <c r="AS138" s="109"/>
      <c r="AT138" s="109"/>
      <c r="AU138" s="109"/>
      <c r="AV138" s="109"/>
      <c r="AW138" s="1"/>
      <c r="AX138" s="221"/>
    </row>
    <row r="139" spans="1:56" ht="15.75" customHeight="1" x14ac:dyDescent="0.3">
      <c r="A139" s="1"/>
      <c r="B139" s="103"/>
      <c r="C139" s="103" t="s">
        <v>90</v>
      </c>
      <c r="D139" s="104"/>
      <c r="E139" s="104"/>
      <c r="F139" s="104"/>
      <c r="G139" s="104"/>
      <c r="H139" s="104"/>
      <c r="I139" s="104"/>
      <c r="J139" s="104"/>
      <c r="K139" s="105">
        <f t="shared" ref="K139:L139" si="110">IFERROR(K138/K$105,0)</f>
        <v>0.61199835610315867</v>
      </c>
      <c r="L139" s="105">
        <f t="shared" si="110"/>
        <v>0.73537375382455916</v>
      </c>
      <c r="M139" s="1"/>
      <c r="N139" s="1"/>
      <c r="O139" s="105">
        <f t="shared" ref="O139:AM139" si="111">O138/O127</f>
        <v>-9.7527532766574707E-3</v>
      </c>
      <c r="P139" s="105">
        <f t="shared" si="111"/>
        <v>1.4745962770837628</v>
      </c>
      <c r="Q139" s="105">
        <f t="shared" si="111"/>
        <v>0.35049383679096446</v>
      </c>
      <c r="R139" s="105">
        <f t="shared" si="111"/>
        <v>0.3896710039915256</v>
      </c>
      <c r="S139" s="105">
        <f t="shared" si="111"/>
        <v>0.41888700153030145</v>
      </c>
      <c r="T139" s="105">
        <f t="shared" si="111"/>
        <v>0.36134699134865345</v>
      </c>
      <c r="U139" s="105">
        <f t="shared" si="111"/>
        <v>0.39584540483243186</v>
      </c>
      <c r="V139" s="105">
        <f t="shared" si="111"/>
        <v>0.42394371249641855</v>
      </c>
      <c r="W139" s="105">
        <f t="shared" si="111"/>
        <v>0.45612378174442381</v>
      </c>
      <c r="X139" s="105">
        <f t="shared" si="111"/>
        <v>0.48440454851969378</v>
      </c>
      <c r="Y139" s="105">
        <f t="shared" si="111"/>
        <v>0.51554192999955528</v>
      </c>
      <c r="Z139" s="105">
        <f t="shared" si="111"/>
        <v>0.48367193667925695</v>
      </c>
      <c r="AA139" s="105">
        <f t="shared" si="111"/>
        <v>0.51470497393624481</v>
      </c>
      <c r="AB139" s="105">
        <f t="shared" si="111"/>
        <v>0.5337432311229362</v>
      </c>
      <c r="AC139" s="105">
        <f t="shared" si="111"/>
        <v>0.57711070678439658</v>
      </c>
      <c r="AD139" s="105">
        <f t="shared" si="111"/>
        <v>0.62308612220827597</v>
      </c>
      <c r="AE139" s="105">
        <f t="shared" si="111"/>
        <v>0.58761456536095014</v>
      </c>
      <c r="AF139" s="105">
        <f t="shared" si="111"/>
        <v>0.63198506850784797</v>
      </c>
      <c r="AG139" s="105">
        <f t="shared" si="111"/>
        <v>0.68261558336738914</v>
      </c>
      <c r="AH139" s="105">
        <f t="shared" si="111"/>
        <v>0.74639956901000626</v>
      </c>
      <c r="AI139" s="105">
        <f t="shared" si="111"/>
        <v>0.80340062469303186</v>
      </c>
      <c r="AJ139" s="105">
        <f t="shared" si="111"/>
        <v>0.79932751593882068</v>
      </c>
      <c r="AK139" s="105">
        <f t="shared" si="111"/>
        <v>0.86155384153201653</v>
      </c>
      <c r="AL139" s="105">
        <f t="shared" si="111"/>
        <v>0.94267020916081223</v>
      </c>
      <c r="AM139" s="105">
        <f t="shared" si="111"/>
        <v>1.0594459281753934</v>
      </c>
      <c r="AN139" s="5"/>
      <c r="AO139" s="105"/>
      <c r="AP139" s="105"/>
      <c r="AQ139" s="105"/>
      <c r="AR139" s="105"/>
      <c r="AS139" s="105"/>
      <c r="AT139" s="105"/>
      <c r="AU139" s="105"/>
      <c r="AV139" s="105"/>
      <c r="AW139" s="1"/>
      <c r="AX139" s="221"/>
    </row>
    <row r="140" spans="1:5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5"/>
      <c r="AO140" s="1"/>
      <c r="AP140" s="1"/>
      <c r="AQ140" s="1"/>
      <c r="AR140" s="1"/>
      <c r="AS140" s="1"/>
      <c r="AT140" s="1"/>
      <c r="AU140" s="1"/>
      <c r="AV140" s="1"/>
      <c r="AW140" s="1"/>
      <c r="AX140" s="221"/>
    </row>
    <row r="141" spans="1:56" ht="15.75" customHeight="1" x14ac:dyDescent="0.3">
      <c r="A141" s="1"/>
      <c r="B141" s="79" t="s">
        <v>94</v>
      </c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1"/>
      <c r="N141" s="1"/>
      <c r="O141" s="80">
        <f t="shared" ref="O141:AM141" si="112">O$3</f>
        <v>1</v>
      </c>
      <c r="P141" s="80">
        <f t="shared" si="112"/>
        <v>2</v>
      </c>
      <c r="Q141" s="80">
        <f t="shared" si="112"/>
        <v>3</v>
      </c>
      <c r="R141" s="80">
        <f t="shared" si="112"/>
        <v>4</v>
      </c>
      <c r="S141" s="80">
        <f t="shared" si="112"/>
        <v>5</v>
      </c>
      <c r="T141" s="80">
        <f t="shared" si="112"/>
        <v>6</v>
      </c>
      <c r="U141" s="80">
        <f t="shared" si="112"/>
        <v>7</v>
      </c>
      <c r="V141" s="80">
        <f t="shared" si="112"/>
        <v>8</v>
      </c>
      <c r="W141" s="80">
        <f t="shared" si="112"/>
        <v>9</v>
      </c>
      <c r="X141" s="80">
        <f t="shared" si="112"/>
        <v>10</v>
      </c>
      <c r="Y141" s="80">
        <f t="shared" si="112"/>
        <v>11</v>
      </c>
      <c r="Z141" s="80">
        <f t="shared" si="112"/>
        <v>12</v>
      </c>
      <c r="AA141" s="80">
        <f t="shared" si="112"/>
        <v>13</v>
      </c>
      <c r="AB141" s="80">
        <f t="shared" si="112"/>
        <v>14</v>
      </c>
      <c r="AC141" s="80">
        <f t="shared" si="112"/>
        <v>15</v>
      </c>
      <c r="AD141" s="80">
        <f t="shared" si="112"/>
        <v>16</v>
      </c>
      <c r="AE141" s="80">
        <f t="shared" si="112"/>
        <v>17</v>
      </c>
      <c r="AF141" s="80">
        <f t="shared" si="112"/>
        <v>18</v>
      </c>
      <c r="AG141" s="80">
        <f t="shared" si="112"/>
        <v>19</v>
      </c>
      <c r="AH141" s="80">
        <f t="shared" si="112"/>
        <v>20</v>
      </c>
      <c r="AI141" s="80">
        <f t="shared" si="112"/>
        <v>21</v>
      </c>
      <c r="AJ141" s="80">
        <f t="shared" si="112"/>
        <v>22</v>
      </c>
      <c r="AK141" s="80">
        <f t="shared" si="112"/>
        <v>23</v>
      </c>
      <c r="AL141" s="80">
        <f t="shared" si="112"/>
        <v>24</v>
      </c>
      <c r="AM141" s="80">
        <f t="shared" si="112"/>
        <v>25</v>
      </c>
      <c r="AN141" s="5"/>
      <c r="AO141" s="80"/>
      <c r="AP141" s="80"/>
      <c r="AQ141" s="80"/>
      <c r="AR141" s="80"/>
      <c r="AS141" s="80"/>
      <c r="AT141" s="80"/>
      <c r="AU141" s="80"/>
      <c r="AV141" s="80"/>
      <c r="AW141" s="1"/>
      <c r="AX141" s="221"/>
    </row>
    <row r="142" spans="1:56" ht="15.75" customHeight="1" x14ac:dyDescent="0.3">
      <c r="A142" s="1"/>
      <c r="B142" s="81"/>
      <c r="C142" s="81"/>
      <c r="D142" s="81"/>
      <c r="E142" s="81"/>
      <c r="F142" s="81"/>
      <c r="G142" s="83"/>
      <c r="H142" s="83"/>
      <c r="I142" s="83"/>
      <c r="J142" s="81"/>
      <c r="K142" s="90" t="s">
        <v>66</v>
      </c>
      <c r="L142" s="90" t="s">
        <v>67</v>
      </c>
      <c r="M142" s="1"/>
      <c r="N142" s="1"/>
      <c r="O142" s="84">
        <f t="shared" ref="O142:AM142" si="113">O$2</f>
        <v>46023</v>
      </c>
      <c r="P142" s="84">
        <f t="shared" si="113"/>
        <v>46388</v>
      </c>
      <c r="Q142" s="84">
        <f t="shared" si="113"/>
        <v>46753</v>
      </c>
      <c r="R142" s="84">
        <f t="shared" si="113"/>
        <v>47119</v>
      </c>
      <c r="S142" s="84">
        <f t="shared" si="113"/>
        <v>47484</v>
      </c>
      <c r="T142" s="84">
        <f t="shared" si="113"/>
        <v>47849</v>
      </c>
      <c r="U142" s="84">
        <f t="shared" si="113"/>
        <v>48214</v>
      </c>
      <c r="V142" s="84">
        <f t="shared" si="113"/>
        <v>48580</v>
      </c>
      <c r="W142" s="84">
        <f t="shared" si="113"/>
        <v>48945</v>
      </c>
      <c r="X142" s="84">
        <f t="shared" si="113"/>
        <v>49310</v>
      </c>
      <c r="Y142" s="84">
        <f t="shared" si="113"/>
        <v>49675</v>
      </c>
      <c r="Z142" s="84">
        <f t="shared" si="113"/>
        <v>50041</v>
      </c>
      <c r="AA142" s="84">
        <f t="shared" si="113"/>
        <v>50406</v>
      </c>
      <c r="AB142" s="84">
        <f t="shared" si="113"/>
        <v>50771</v>
      </c>
      <c r="AC142" s="84">
        <f t="shared" si="113"/>
        <v>51136</v>
      </c>
      <c r="AD142" s="84">
        <f t="shared" si="113"/>
        <v>51502</v>
      </c>
      <c r="AE142" s="84">
        <f t="shared" si="113"/>
        <v>51867</v>
      </c>
      <c r="AF142" s="84">
        <f t="shared" si="113"/>
        <v>52232</v>
      </c>
      <c r="AG142" s="84">
        <f t="shared" si="113"/>
        <v>52597</v>
      </c>
      <c r="AH142" s="84">
        <f t="shared" si="113"/>
        <v>52963</v>
      </c>
      <c r="AI142" s="84">
        <f t="shared" si="113"/>
        <v>53328</v>
      </c>
      <c r="AJ142" s="84">
        <f t="shared" si="113"/>
        <v>53693</v>
      </c>
      <c r="AK142" s="84">
        <f t="shared" si="113"/>
        <v>54058</v>
      </c>
      <c r="AL142" s="84">
        <f t="shared" si="113"/>
        <v>54424</v>
      </c>
      <c r="AM142" s="84">
        <f t="shared" si="113"/>
        <v>54789</v>
      </c>
      <c r="AN142" s="5"/>
      <c r="AO142" s="84"/>
      <c r="AP142" s="84"/>
      <c r="AQ142" s="84"/>
      <c r="AR142" s="84"/>
      <c r="AS142" s="84"/>
      <c r="AT142" s="84"/>
      <c r="AU142" s="84"/>
      <c r="AV142" s="84"/>
      <c r="AW142" s="1"/>
      <c r="AX142" s="221"/>
    </row>
    <row r="143" spans="1:56" ht="15.75" customHeight="1" x14ac:dyDescent="0.3">
      <c r="A143" s="1"/>
      <c r="B143" s="61" t="s">
        <v>95</v>
      </c>
      <c r="C143" s="61"/>
      <c r="D143" s="61"/>
      <c r="E143" s="61"/>
      <c r="F143" s="61"/>
      <c r="G143" s="61"/>
      <c r="H143" s="61"/>
      <c r="I143" s="61"/>
      <c r="J143" s="61"/>
      <c r="K143" s="331">
        <f>NPV(WACC!$D$35,O143:AV143)</f>
        <v>14129772.624927646</v>
      </c>
      <c r="L143" s="62">
        <f t="shared" ref="L143:L147" si="114">SUM(O143:AV143)</f>
        <v>40363456.982785352</v>
      </c>
      <c r="M143" s="1"/>
      <c r="N143" s="1"/>
      <c r="O143" s="112">
        <f t="shared" ref="O143:AM143" si="115">O75</f>
        <v>552924.06825733301</v>
      </c>
      <c r="P143" s="112">
        <f t="shared" si="115"/>
        <v>1658772.2047720007</v>
      </c>
      <c r="Q143" s="112">
        <f t="shared" si="115"/>
        <v>1658772.2047720007</v>
      </c>
      <c r="R143" s="112">
        <f t="shared" si="115"/>
        <v>1658772.2047720007</v>
      </c>
      <c r="S143" s="112">
        <f t="shared" si="115"/>
        <v>1658772.2047720007</v>
      </c>
      <c r="T143" s="112">
        <f t="shared" si="115"/>
        <v>1658772.2047720007</v>
      </c>
      <c r="U143" s="112">
        <f t="shared" si="115"/>
        <v>1658772.2047720007</v>
      </c>
      <c r="V143" s="112">
        <f t="shared" si="115"/>
        <v>1658772.2047720007</v>
      </c>
      <c r="W143" s="112">
        <f t="shared" si="115"/>
        <v>1658772.2047720007</v>
      </c>
      <c r="X143" s="112">
        <f t="shared" si="115"/>
        <v>1658772.2047720007</v>
      </c>
      <c r="Y143" s="112">
        <f t="shared" si="115"/>
        <v>1658772.2047720007</v>
      </c>
      <c r="Z143" s="112">
        <f t="shared" si="115"/>
        <v>1658772.2047720007</v>
      </c>
      <c r="AA143" s="112">
        <f t="shared" si="115"/>
        <v>1658772.2047720007</v>
      </c>
      <c r="AB143" s="112">
        <f t="shared" si="115"/>
        <v>1658772.2047720007</v>
      </c>
      <c r="AC143" s="112">
        <f t="shared" si="115"/>
        <v>1658772.2047720007</v>
      </c>
      <c r="AD143" s="112">
        <f t="shared" si="115"/>
        <v>1658772.2047720007</v>
      </c>
      <c r="AE143" s="112">
        <f t="shared" si="115"/>
        <v>1658772.2047720007</v>
      </c>
      <c r="AF143" s="112">
        <f t="shared" si="115"/>
        <v>1658772.2047720007</v>
      </c>
      <c r="AG143" s="112">
        <f t="shared" si="115"/>
        <v>1658772.2047720007</v>
      </c>
      <c r="AH143" s="112">
        <f t="shared" si="115"/>
        <v>1658772.2047720007</v>
      </c>
      <c r="AI143" s="112">
        <f t="shared" si="115"/>
        <v>1658772.2047720007</v>
      </c>
      <c r="AJ143" s="112">
        <f t="shared" si="115"/>
        <v>1658772.2047720007</v>
      </c>
      <c r="AK143" s="112">
        <f t="shared" si="115"/>
        <v>1658772.2047720007</v>
      </c>
      <c r="AL143" s="112">
        <f t="shared" si="115"/>
        <v>1658772.2047720007</v>
      </c>
      <c r="AM143" s="112">
        <f t="shared" si="115"/>
        <v>1658772.2047720007</v>
      </c>
      <c r="AN143" s="5"/>
      <c r="AO143" s="112"/>
      <c r="AP143" s="112"/>
      <c r="AQ143" s="112"/>
      <c r="AR143" s="112"/>
      <c r="AS143" s="112"/>
      <c r="AT143" s="112"/>
      <c r="AU143" s="112"/>
      <c r="AV143" s="112"/>
      <c r="AW143" s="60"/>
      <c r="AX143" s="221"/>
    </row>
    <row r="144" spans="1:56" ht="15.75" customHeight="1" x14ac:dyDescent="0.3">
      <c r="A144" s="1"/>
      <c r="B144" s="94" t="s">
        <v>73</v>
      </c>
      <c r="C144" s="94"/>
      <c r="D144" s="94"/>
      <c r="E144" s="94"/>
      <c r="F144" s="94"/>
      <c r="G144" s="94"/>
      <c r="H144" s="94"/>
      <c r="I144" s="94"/>
      <c r="J144" s="94"/>
      <c r="K144" s="54">
        <f>NPV(WACC!$D$35,O144:AV144)</f>
        <v>-798332.15330841183</v>
      </c>
      <c r="L144" s="54">
        <f t="shared" si="114"/>
        <v>-2280535.3195273718</v>
      </c>
      <c r="M144" s="1"/>
      <c r="N144" s="1"/>
      <c r="O144" s="97">
        <f t="shared" ref="O144:AM144" si="116">-MAX(O212,0)-O260</f>
        <v>-31240.209856539313</v>
      </c>
      <c r="P144" s="97">
        <f t="shared" si="116"/>
        <v>-93720.629569618031</v>
      </c>
      <c r="Q144" s="97">
        <f t="shared" si="116"/>
        <v>-93720.629569618031</v>
      </c>
      <c r="R144" s="97">
        <f t="shared" si="116"/>
        <v>-93720.629569618031</v>
      </c>
      <c r="S144" s="97">
        <f t="shared" si="116"/>
        <v>-93720.629569618031</v>
      </c>
      <c r="T144" s="97">
        <f t="shared" si="116"/>
        <v>-93720.629569618031</v>
      </c>
      <c r="U144" s="97">
        <f t="shared" si="116"/>
        <v>-93720.629569618031</v>
      </c>
      <c r="V144" s="97">
        <f t="shared" si="116"/>
        <v>-93720.629569618031</v>
      </c>
      <c r="W144" s="97">
        <f t="shared" si="116"/>
        <v>-93720.629569618031</v>
      </c>
      <c r="X144" s="97">
        <f t="shared" si="116"/>
        <v>-93720.629569618031</v>
      </c>
      <c r="Y144" s="97">
        <f t="shared" si="116"/>
        <v>-93720.629569618031</v>
      </c>
      <c r="Z144" s="97">
        <f t="shared" si="116"/>
        <v>-93720.629569618031</v>
      </c>
      <c r="AA144" s="97">
        <f t="shared" si="116"/>
        <v>-93720.629569618031</v>
      </c>
      <c r="AB144" s="97">
        <f t="shared" si="116"/>
        <v>-93720.629569618031</v>
      </c>
      <c r="AC144" s="97">
        <f t="shared" si="116"/>
        <v>-93720.629569618031</v>
      </c>
      <c r="AD144" s="97">
        <f t="shared" si="116"/>
        <v>-93720.629569618031</v>
      </c>
      <c r="AE144" s="97">
        <f t="shared" si="116"/>
        <v>-93720.629569618031</v>
      </c>
      <c r="AF144" s="97">
        <f t="shared" si="116"/>
        <v>-93720.629569618031</v>
      </c>
      <c r="AG144" s="97">
        <f t="shared" si="116"/>
        <v>-93720.629569618031</v>
      </c>
      <c r="AH144" s="97">
        <f t="shared" si="116"/>
        <v>-93720.629569618031</v>
      </c>
      <c r="AI144" s="97">
        <f t="shared" si="116"/>
        <v>-93720.629569618031</v>
      </c>
      <c r="AJ144" s="97">
        <f t="shared" si="116"/>
        <v>-93720.629569618031</v>
      </c>
      <c r="AK144" s="97">
        <f t="shared" si="116"/>
        <v>-93720.629569618031</v>
      </c>
      <c r="AL144" s="97">
        <f t="shared" si="116"/>
        <v>-93720.629569618031</v>
      </c>
      <c r="AM144" s="97">
        <f t="shared" si="116"/>
        <v>-93720.629569618031</v>
      </c>
      <c r="AN144" s="5"/>
      <c r="AO144" s="97"/>
      <c r="AP144" s="97"/>
      <c r="AQ144" s="97"/>
      <c r="AR144" s="97"/>
      <c r="AS144" s="97"/>
      <c r="AT144" s="97"/>
      <c r="AU144" s="97"/>
      <c r="AV144" s="97"/>
      <c r="AW144" s="1"/>
      <c r="AX144" s="221"/>
    </row>
    <row r="145" spans="1:50" ht="15.75" customHeight="1" x14ac:dyDescent="0.3">
      <c r="A145" s="1"/>
      <c r="B145" s="94" t="s">
        <v>8</v>
      </c>
      <c r="C145" s="94"/>
      <c r="D145" s="94"/>
      <c r="E145" s="94"/>
      <c r="F145" s="94"/>
      <c r="G145" s="400"/>
      <c r="H145" s="94"/>
      <c r="I145" s="94"/>
      <c r="J145" s="94"/>
      <c r="K145" s="54">
        <f>NPV(WACC!$D$35,O145:AV145)</f>
        <v>-6712656.3413145626</v>
      </c>
      <c r="L145" s="54">
        <f t="shared" si="114"/>
        <v>-18747995.265310675</v>
      </c>
      <c r="M145" s="1"/>
      <c r="N145" s="1"/>
      <c r="O145" s="97">
        <f t="shared" ref="O145:AM145" si="117">O106</f>
        <v>-484307.14391802822</v>
      </c>
      <c r="P145" s="97">
        <f t="shared" si="117"/>
        <v>-759530.1378576773</v>
      </c>
      <c r="Q145" s="97">
        <f t="shared" si="117"/>
        <v>-775107.90724580677</v>
      </c>
      <c r="R145" s="97">
        <f t="shared" si="117"/>
        <v>-759032.50619624567</v>
      </c>
      <c r="S145" s="97">
        <f t="shared" si="117"/>
        <v>-763040.01558437513</v>
      </c>
      <c r="T145" s="97">
        <f t="shared" si="117"/>
        <v>-770105.13453481405</v>
      </c>
      <c r="U145" s="97">
        <f t="shared" si="117"/>
        <v>-762542.38392294361</v>
      </c>
      <c r="V145" s="97">
        <f t="shared" si="117"/>
        <v>-769607.50287338253</v>
      </c>
      <c r="W145" s="97">
        <f t="shared" si="117"/>
        <v>-762044.75226151198</v>
      </c>
      <c r="X145" s="97">
        <f t="shared" si="117"/>
        <v>-757539.61121195089</v>
      </c>
      <c r="Y145" s="97">
        <f t="shared" si="117"/>
        <v>-773117.38060008036</v>
      </c>
      <c r="Z145" s="97">
        <f t="shared" si="117"/>
        <v>-757041.97955051926</v>
      </c>
      <c r="AA145" s="97">
        <f t="shared" si="117"/>
        <v>-772619.74893864873</v>
      </c>
      <c r="AB145" s="97">
        <f t="shared" si="117"/>
        <v>-756544.34788908774</v>
      </c>
      <c r="AC145" s="97">
        <f t="shared" si="117"/>
        <v>-760551.8572772172</v>
      </c>
      <c r="AD145" s="97">
        <f t="shared" si="117"/>
        <v>-767616.97622765612</v>
      </c>
      <c r="AE145" s="97">
        <f t="shared" si="117"/>
        <v>-760054.22561578557</v>
      </c>
      <c r="AF145" s="97">
        <f t="shared" si="117"/>
        <v>-767119.34456622449</v>
      </c>
      <c r="AG145" s="97">
        <f t="shared" si="117"/>
        <v>-759556.59395435394</v>
      </c>
      <c r="AH145" s="97">
        <f t="shared" si="117"/>
        <v>-755051.45290479285</v>
      </c>
      <c r="AI145" s="97">
        <f t="shared" si="117"/>
        <v>-770629.22229292232</v>
      </c>
      <c r="AJ145" s="97">
        <f t="shared" si="117"/>
        <v>-754553.82124336134</v>
      </c>
      <c r="AK145" s="97">
        <f t="shared" si="117"/>
        <v>-770131.59063149081</v>
      </c>
      <c r="AL145" s="97">
        <f t="shared" si="117"/>
        <v>-754056.18958192971</v>
      </c>
      <c r="AM145" s="97">
        <f t="shared" si="117"/>
        <v>-706493.43842986459</v>
      </c>
      <c r="AN145" s="5"/>
      <c r="AO145" s="97"/>
      <c r="AP145" s="97"/>
      <c r="AQ145" s="97"/>
      <c r="AR145" s="97"/>
      <c r="AS145" s="97"/>
      <c r="AT145" s="97"/>
      <c r="AU145" s="97"/>
      <c r="AV145" s="97"/>
      <c r="AW145" s="1"/>
      <c r="AX145" s="221"/>
    </row>
    <row r="146" spans="1:50" ht="15.75" customHeight="1" x14ac:dyDescent="0.3">
      <c r="A146" s="1"/>
      <c r="B146" s="53" t="s">
        <v>88</v>
      </c>
      <c r="C146" s="53"/>
      <c r="D146" s="53"/>
      <c r="E146" s="53"/>
      <c r="F146" s="53"/>
      <c r="G146" s="94"/>
      <c r="H146" s="53"/>
      <c r="I146" s="53"/>
      <c r="J146" s="53"/>
      <c r="K146" s="54">
        <f>NPV(WACC!$D$35,O146:AV146)</f>
        <v>-1324064.4029224338</v>
      </c>
      <c r="L146" s="54">
        <f t="shared" si="114"/>
        <v>-3797850.5495428117</v>
      </c>
      <c r="M146" s="1"/>
      <c r="N146" s="1"/>
      <c r="O146" s="54">
        <f t="shared" ref="O146:AM146" si="118">MIN(O117,0)</f>
        <v>-42464.568442163181</v>
      </c>
      <c r="P146" s="54">
        <f t="shared" si="118"/>
        <v>-156474.41587919366</v>
      </c>
      <c r="Q146" s="54">
        <f t="shared" si="118"/>
        <v>-156474.41587919366</v>
      </c>
      <c r="R146" s="54">
        <f t="shared" si="118"/>
        <v>-156474.41587919366</v>
      </c>
      <c r="S146" s="54">
        <f t="shared" si="118"/>
        <v>-156474.41587919366</v>
      </c>
      <c r="T146" s="54">
        <f t="shared" si="118"/>
        <v>-156474.41587919366</v>
      </c>
      <c r="U146" s="54">
        <f t="shared" si="118"/>
        <v>-156474.41587919366</v>
      </c>
      <c r="V146" s="54">
        <f t="shared" si="118"/>
        <v>-156474.41587919366</v>
      </c>
      <c r="W146" s="54">
        <f t="shared" si="118"/>
        <v>-156474.41587919366</v>
      </c>
      <c r="X146" s="54">
        <f t="shared" si="118"/>
        <v>-156474.41587919366</v>
      </c>
      <c r="Y146" s="54">
        <f t="shared" si="118"/>
        <v>-156474.41587919366</v>
      </c>
      <c r="Z146" s="54">
        <f t="shared" si="118"/>
        <v>-156474.41587919366</v>
      </c>
      <c r="AA146" s="54">
        <f t="shared" si="118"/>
        <v>-156474.41587919366</v>
      </c>
      <c r="AB146" s="54">
        <f t="shared" si="118"/>
        <v>-156474.41587919366</v>
      </c>
      <c r="AC146" s="54">
        <f t="shared" si="118"/>
        <v>-156474.41587919366</v>
      </c>
      <c r="AD146" s="54">
        <f t="shared" si="118"/>
        <v>-156474.41587919366</v>
      </c>
      <c r="AE146" s="54">
        <f t="shared" si="118"/>
        <v>-156474.41587919366</v>
      </c>
      <c r="AF146" s="54">
        <f t="shared" si="118"/>
        <v>-156474.41587919366</v>
      </c>
      <c r="AG146" s="54">
        <f t="shared" si="118"/>
        <v>-156474.41587919366</v>
      </c>
      <c r="AH146" s="54">
        <f t="shared" si="118"/>
        <v>-156474.41587919366</v>
      </c>
      <c r="AI146" s="54">
        <f t="shared" si="118"/>
        <v>-156474.41587919366</v>
      </c>
      <c r="AJ146" s="54">
        <f t="shared" si="118"/>
        <v>-156474.41587919366</v>
      </c>
      <c r="AK146" s="54">
        <f t="shared" si="118"/>
        <v>-156474.41587919366</v>
      </c>
      <c r="AL146" s="54">
        <f t="shared" si="118"/>
        <v>-156474.41587919366</v>
      </c>
      <c r="AM146" s="54">
        <f t="shared" si="118"/>
        <v>-156474.41587919366</v>
      </c>
      <c r="AN146" s="5"/>
      <c r="AO146" s="54"/>
      <c r="AP146" s="54"/>
      <c r="AQ146" s="54"/>
      <c r="AR146" s="54"/>
      <c r="AS146" s="54"/>
      <c r="AT146" s="54"/>
      <c r="AU146" s="54"/>
      <c r="AV146" s="54"/>
      <c r="AW146" s="1"/>
      <c r="AX146" s="221"/>
    </row>
    <row r="147" spans="1:50" ht="15.75" customHeight="1" x14ac:dyDescent="0.3">
      <c r="A147" s="1"/>
      <c r="B147" s="53" t="s">
        <v>31</v>
      </c>
      <c r="C147" s="53"/>
      <c r="D147" s="53"/>
      <c r="E147" s="53"/>
      <c r="F147" s="53"/>
      <c r="G147" s="53"/>
      <c r="H147" s="53"/>
      <c r="I147" s="53"/>
      <c r="J147" s="53"/>
      <c r="K147" s="54">
        <f>NPV(WACC!$D$35,O147:AV147)</f>
        <v>0</v>
      </c>
      <c r="L147" s="54">
        <f t="shared" si="114"/>
        <v>0</v>
      </c>
      <c r="M147" s="1"/>
      <c r="N147" s="1"/>
      <c r="O147" s="54">
        <f t="shared" ref="O147:AM147" si="119">O49</f>
        <v>0</v>
      </c>
      <c r="P147" s="54">
        <f t="shared" si="119"/>
        <v>0</v>
      </c>
      <c r="Q147" s="54">
        <f t="shared" si="119"/>
        <v>0</v>
      </c>
      <c r="R147" s="54">
        <f t="shared" si="119"/>
        <v>0</v>
      </c>
      <c r="S147" s="54">
        <f t="shared" si="119"/>
        <v>0</v>
      </c>
      <c r="T147" s="54">
        <f t="shared" si="119"/>
        <v>0</v>
      </c>
      <c r="U147" s="54">
        <f t="shared" si="119"/>
        <v>0</v>
      </c>
      <c r="V147" s="54">
        <f t="shared" si="119"/>
        <v>0</v>
      </c>
      <c r="W147" s="54">
        <f t="shared" si="119"/>
        <v>0</v>
      </c>
      <c r="X147" s="54">
        <f t="shared" si="119"/>
        <v>0</v>
      </c>
      <c r="Y147" s="54">
        <f t="shared" si="119"/>
        <v>0</v>
      </c>
      <c r="Z147" s="54">
        <f t="shared" si="119"/>
        <v>0</v>
      </c>
      <c r="AA147" s="54">
        <f t="shared" si="119"/>
        <v>0</v>
      </c>
      <c r="AB147" s="54">
        <f t="shared" si="119"/>
        <v>0</v>
      </c>
      <c r="AC147" s="54">
        <f t="shared" si="119"/>
        <v>0</v>
      </c>
      <c r="AD147" s="54">
        <f t="shared" si="119"/>
        <v>0</v>
      </c>
      <c r="AE147" s="54">
        <f t="shared" si="119"/>
        <v>0</v>
      </c>
      <c r="AF147" s="54">
        <f t="shared" si="119"/>
        <v>0</v>
      </c>
      <c r="AG147" s="54">
        <f t="shared" si="119"/>
        <v>0</v>
      </c>
      <c r="AH147" s="54">
        <f t="shared" si="119"/>
        <v>0</v>
      </c>
      <c r="AI147" s="54">
        <f t="shared" si="119"/>
        <v>0</v>
      </c>
      <c r="AJ147" s="54">
        <f t="shared" si="119"/>
        <v>0</v>
      </c>
      <c r="AK147" s="54">
        <f t="shared" si="119"/>
        <v>0</v>
      </c>
      <c r="AL147" s="54">
        <f t="shared" si="119"/>
        <v>0</v>
      </c>
      <c r="AM147" s="54">
        <f t="shared" si="119"/>
        <v>0</v>
      </c>
      <c r="AN147" s="5"/>
      <c r="AO147" s="54"/>
      <c r="AP147" s="54"/>
      <c r="AQ147" s="54"/>
      <c r="AR147" s="54"/>
      <c r="AS147" s="54"/>
      <c r="AT147" s="54"/>
      <c r="AU147" s="54"/>
      <c r="AV147" s="54"/>
      <c r="AW147" s="1"/>
      <c r="AX147" s="221"/>
    </row>
    <row r="148" spans="1:50" ht="15.75" customHeight="1" x14ac:dyDescent="0.3">
      <c r="A148" s="113"/>
      <c r="B148" s="114" t="s">
        <v>96</v>
      </c>
      <c r="C148" s="114"/>
      <c r="D148" s="114"/>
      <c r="E148" s="114"/>
      <c r="F148" s="114"/>
      <c r="G148" s="114"/>
      <c r="H148" s="114"/>
      <c r="I148" s="114"/>
      <c r="J148" s="114"/>
      <c r="K148" s="115">
        <f t="shared" ref="K148:L148" si="120">SUM(K143:K147)</f>
        <v>5294719.7273822371</v>
      </c>
      <c r="L148" s="115">
        <f t="shared" si="120"/>
        <v>15537075.848404493</v>
      </c>
      <c r="M148" s="1"/>
      <c r="N148" s="1"/>
      <c r="O148" s="334">
        <f t="shared" ref="O148:AM148" si="121">SUM(O143:O147)</f>
        <v>-5087.8539593977112</v>
      </c>
      <c r="P148" s="334">
        <f t="shared" si="121"/>
        <v>649047.02146551164</v>
      </c>
      <c r="Q148" s="116">
        <f t="shared" si="121"/>
        <v>633469.25207738217</v>
      </c>
      <c r="R148" s="116">
        <f t="shared" si="121"/>
        <v>649544.65312694327</v>
      </c>
      <c r="S148" s="116">
        <f t="shared" si="121"/>
        <v>645537.14373881381</v>
      </c>
      <c r="T148" s="116">
        <f t="shared" si="121"/>
        <v>638472.0247883749</v>
      </c>
      <c r="U148" s="116">
        <f t="shared" si="121"/>
        <v>646034.77540024533</v>
      </c>
      <c r="V148" s="116">
        <f t="shared" si="121"/>
        <v>638969.65644980641</v>
      </c>
      <c r="W148" s="116">
        <f t="shared" si="121"/>
        <v>646532.40706167696</v>
      </c>
      <c r="X148" s="116">
        <f t="shared" si="121"/>
        <v>651037.54811123805</v>
      </c>
      <c r="Y148" s="116">
        <f t="shared" si="121"/>
        <v>635459.77872310858</v>
      </c>
      <c r="Z148" s="116">
        <f t="shared" si="121"/>
        <v>651535.17977266968</v>
      </c>
      <c r="AA148" s="116">
        <f t="shared" si="121"/>
        <v>635957.41038454021</v>
      </c>
      <c r="AB148" s="116">
        <f t="shared" si="121"/>
        <v>652032.8114341012</v>
      </c>
      <c r="AC148" s="116">
        <f t="shared" si="121"/>
        <v>648025.30204597174</v>
      </c>
      <c r="AD148" s="116">
        <f t="shared" si="121"/>
        <v>640960.18309553282</v>
      </c>
      <c r="AE148" s="116">
        <f t="shared" si="121"/>
        <v>648522.93370740337</v>
      </c>
      <c r="AF148" s="116">
        <f t="shared" si="121"/>
        <v>641457.81475696445</v>
      </c>
      <c r="AG148" s="116">
        <f t="shared" si="121"/>
        <v>649020.565368835</v>
      </c>
      <c r="AH148" s="116">
        <f t="shared" si="121"/>
        <v>653525.70641839609</v>
      </c>
      <c r="AI148" s="116">
        <f t="shared" si="121"/>
        <v>637947.93703026662</v>
      </c>
      <c r="AJ148" s="116">
        <f t="shared" si="121"/>
        <v>654023.3380798276</v>
      </c>
      <c r="AK148" s="116">
        <f t="shared" si="121"/>
        <v>638445.56869169814</v>
      </c>
      <c r="AL148" s="116">
        <f t="shared" si="121"/>
        <v>654520.96974125924</v>
      </c>
      <c r="AM148" s="116">
        <f t="shared" si="121"/>
        <v>702083.72089332435</v>
      </c>
      <c r="AN148" s="5"/>
      <c r="AO148" s="116"/>
      <c r="AP148" s="116"/>
      <c r="AQ148" s="116"/>
      <c r="AR148" s="116"/>
      <c r="AS148" s="116"/>
      <c r="AT148" s="116"/>
      <c r="AU148" s="116"/>
      <c r="AV148" s="116"/>
      <c r="AW148" s="1"/>
      <c r="AX148" s="221"/>
    </row>
    <row r="149" spans="1:50" ht="15.75" customHeight="1" x14ac:dyDescent="0.3">
      <c r="A149" s="113"/>
      <c r="B149" s="117" t="s">
        <v>97</v>
      </c>
      <c r="C149" s="117"/>
      <c r="D149" s="117"/>
      <c r="E149" s="117"/>
      <c r="F149" s="117"/>
      <c r="G149" s="117"/>
      <c r="H149" s="117"/>
      <c r="I149" s="117"/>
      <c r="J149" s="117"/>
      <c r="K149" s="118">
        <f t="shared" ref="K149:L149" si="122">IFERROR(K148/(K143+K144),"nd")</f>
        <v>0.39716036227697621</v>
      </c>
      <c r="L149" s="118">
        <f t="shared" si="122"/>
        <v>0.40798014358742091</v>
      </c>
      <c r="M149" s="1"/>
      <c r="N149" s="1"/>
      <c r="O149" s="335">
        <f t="shared" ref="O149:AM149" si="123">IFERROR((O148-O146)/(O143+O144),"nd")</f>
        <v>7.1646292828270883E-2</v>
      </c>
      <c r="P149" s="335">
        <f t="shared" si="123"/>
        <v>0.51469322168538778</v>
      </c>
      <c r="Q149" s="119">
        <f t="shared" si="123"/>
        <v>0.50473970345317554</v>
      </c>
      <c r="R149" s="119">
        <f t="shared" si="123"/>
        <v>0.51501118670923518</v>
      </c>
      <c r="S149" s="119">
        <f t="shared" si="123"/>
        <v>0.51245056222143759</v>
      </c>
      <c r="T149" s="119">
        <f t="shared" si="123"/>
        <v>0.50793625798866793</v>
      </c>
      <c r="U149" s="119">
        <f t="shared" si="123"/>
        <v>0.51276852724528488</v>
      </c>
      <c r="V149" s="119">
        <f t="shared" si="123"/>
        <v>0.50825422301251533</v>
      </c>
      <c r="W149" s="119">
        <f t="shared" si="123"/>
        <v>0.51308649226913228</v>
      </c>
      <c r="X149" s="119">
        <f t="shared" si="123"/>
        <v>0.51596508178077738</v>
      </c>
      <c r="Y149" s="119">
        <f t="shared" si="123"/>
        <v>0.50601156354856502</v>
      </c>
      <c r="Z149" s="119">
        <f t="shared" si="123"/>
        <v>0.51628304680462478</v>
      </c>
      <c r="AA149" s="119">
        <f t="shared" si="123"/>
        <v>0.50632952857241242</v>
      </c>
      <c r="AB149" s="119">
        <f t="shared" si="123"/>
        <v>0.51660101182847207</v>
      </c>
      <c r="AC149" s="119">
        <f t="shared" si="123"/>
        <v>0.51404038734067448</v>
      </c>
      <c r="AD149" s="119">
        <f t="shared" si="123"/>
        <v>0.50952608310790481</v>
      </c>
      <c r="AE149" s="119">
        <f t="shared" si="123"/>
        <v>0.51435835236452188</v>
      </c>
      <c r="AF149" s="119">
        <f t="shared" si="123"/>
        <v>0.50984404813175221</v>
      </c>
      <c r="AG149" s="119">
        <f t="shared" si="123"/>
        <v>0.51467631738836928</v>
      </c>
      <c r="AH149" s="119">
        <f t="shared" si="123"/>
        <v>0.51755490690001427</v>
      </c>
      <c r="AI149" s="119">
        <f t="shared" si="123"/>
        <v>0.50760138866780191</v>
      </c>
      <c r="AJ149" s="119">
        <f t="shared" si="123"/>
        <v>0.51787287192386156</v>
      </c>
      <c r="AK149" s="119">
        <f t="shared" si="123"/>
        <v>0.50791935369164931</v>
      </c>
      <c r="AL149" s="119">
        <f t="shared" si="123"/>
        <v>0.51819083694770895</v>
      </c>
      <c r="AM149" s="119">
        <f t="shared" si="123"/>
        <v>0.54858136969798887</v>
      </c>
      <c r="AN149" s="5"/>
      <c r="AO149" s="119"/>
      <c r="AP149" s="119"/>
      <c r="AQ149" s="119"/>
      <c r="AR149" s="119"/>
      <c r="AS149" s="119"/>
      <c r="AT149" s="119"/>
      <c r="AU149" s="119"/>
      <c r="AV149" s="119"/>
      <c r="AW149" s="1"/>
      <c r="AX149" s="221"/>
    </row>
    <row r="150" spans="1:50" ht="15.75" customHeight="1" x14ac:dyDescent="0.3">
      <c r="A150" s="60"/>
      <c r="B150" s="68" t="s">
        <v>11</v>
      </c>
      <c r="C150" s="68"/>
      <c r="D150" s="68"/>
      <c r="E150" s="68"/>
      <c r="F150" s="68"/>
      <c r="G150" s="68"/>
      <c r="H150" s="120"/>
      <c r="I150" s="121"/>
      <c r="J150" s="68"/>
      <c r="K150" s="69">
        <f t="shared" ref="K150:L150" si="124">SUM(K151:K152)</f>
        <v>-5294719.727382238</v>
      </c>
      <c r="L150" s="69">
        <f t="shared" si="124"/>
        <v>-10276941.699456619</v>
      </c>
      <c r="M150" s="1"/>
      <c r="N150" s="1"/>
      <c r="O150" s="69">
        <f t="shared" ref="O150:AM150" si="125">SUM(O151:O152)</f>
        <v>-3354594.1324510635</v>
      </c>
      <c r="P150" s="69">
        <f t="shared" si="125"/>
        <v>0</v>
      </c>
      <c r="Q150" s="69">
        <f t="shared" si="125"/>
        <v>0</v>
      </c>
      <c r="R150" s="69">
        <f t="shared" si="125"/>
        <v>0</v>
      </c>
      <c r="S150" s="69">
        <f t="shared" si="125"/>
        <v>-1386007.0796227944</v>
      </c>
      <c r="T150" s="69">
        <f t="shared" si="125"/>
        <v>0</v>
      </c>
      <c r="U150" s="69">
        <f t="shared" si="125"/>
        <v>0</v>
      </c>
      <c r="V150" s="69">
        <f t="shared" si="125"/>
        <v>-134000.83875461042</v>
      </c>
      <c r="W150" s="69">
        <f t="shared" si="125"/>
        <v>-207459.76012507069</v>
      </c>
      <c r="X150" s="69">
        <f t="shared" si="125"/>
        <v>0</v>
      </c>
      <c r="Y150" s="69">
        <f t="shared" si="125"/>
        <v>-1375845.8474799362</v>
      </c>
      <c r="Z150" s="69">
        <f t="shared" si="125"/>
        <v>0</v>
      </c>
      <c r="AA150" s="69">
        <f t="shared" si="125"/>
        <v>-571850.17179164919</v>
      </c>
      <c r="AB150" s="69">
        <f t="shared" si="125"/>
        <v>0</v>
      </c>
      <c r="AC150" s="69">
        <f t="shared" si="125"/>
        <v>0</v>
      </c>
      <c r="AD150" s="69">
        <f t="shared" si="125"/>
        <v>-1509700.8224103535</v>
      </c>
      <c r="AE150" s="69">
        <f t="shared" si="125"/>
        <v>-41230.898318665204</v>
      </c>
      <c r="AF150" s="69">
        <f t="shared" si="125"/>
        <v>-166374.72563059852</v>
      </c>
      <c r="AG150" s="69">
        <f t="shared" si="125"/>
        <v>0</v>
      </c>
      <c r="AH150" s="69">
        <f t="shared" si="125"/>
        <v>0</v>
      </c>
      <c r="AI150" s="69">
        <f t="shared" si="125"/>
        <v>-1385861.2157986015</v>
      </c>
      <c r="AJ150" s="69">
        <f t="shared" si="125"/>
        <v>0</v>
      </c>
      <c r="AK150" s="69">
        <f t="shared" si="125"/>
        <v>-134000.83875461042</v>
      </c>
      <c r="AL150" s="69">
        <f t="shared" si="125"/>
        <v>0</v>
      </c>
      <c r="AM150" s="69">
        <f t="shared" si="125"/>
        <v>-10015.368318665205</v>
      </c>
      <c r="AN150" s="5"/>
      <c r="AO150" s="69"/>
      <c r="AP150" s="69"/>
      <c r="AQ150" s="69"/>
      <c r="AR150" s="69"/>
      <c r="AS150" s="69"/>
      <c r="AT150" s="69"/>
      <c r="AU150" s="69"/>
      <c r="AV150" s="69"/>
      <c r="AW150" s="1"/>
      <c r="AX150" s="221"/>
    </row>
    <row r="151" spans="1:50" ht="15.75" customHeight="1" x14ac:dyDescent="0.3">
      <c r="A151" s="1"/>
      <c r="B151" s="94"/>
      <c r="C151" s="94" t="str">
        <f>B29</f>
        <v>Investimentos Totais</v>
      </c>
      <c r="D151" s="94"/>
      <c r="E151" s="94"/>
      <c r="F151" s="94"/>
      <c r="G151" s="94"/>
      <c r="H151" s="94"/>
      <c r="I151" s="122"/>
      <c r="J151" s="94"/>
      <c r="K151" s="54">
        <f>NPV(WACC!$D$35,O151:AV151)</f>
        <v>-5185393.6683826335</v>
      </c>
      <c r="L151" s="97">
        <f t="shared" ref="L151:L152" si="126">SUM(O151:AV151)</f>
        <v>-10156757.279632637</v>
      </c>
      <c r="M151" s="1"/>
      <c r="N151" s="1"/>
      <c r="O151" s="97">
        <f>-O29</f>
        <v>-3234409.7126270812</v>
      </c>
      <c r="P151" s="97">
        <f t="shared" ref="P151:AM151" si="127">-P29</f>
        <v>0</v>
      </c>
      <c r="Q151" s="97">
        <f t="shared" si="127"/>
        <v>0</v>
      </c>
      <c r="R151" s="97">
        <f t="shared" si="127"/>
        <v>0</v>
      </c>
      <c r="S151" s="97">
        <f t="shared" si="127"/>
        <v>-1386007.0796227944</v>
      </c>
      <c r="T151" s="97">
        <f t="shared" si="127"/>
        <v>0</v>
      </c>
      <c r="U151" s="97">
        <f t="shared" si="127"/>
        <v>0</v>
      </c>
      <c r="V151" s="97">
        <f t="shared" si="127"/>
        <v>-134000.83875461042</v>
      </c>
      <c r="W151" s="97">
        <f t="shared" si="127"/>
        <v>-207459.76012507069</v>
      </c>
      <c r="X151" s="97">
        <f t="shared" si="127"/>
        <v>0</v>
      </c>
      <c r="Y151" s="97">
        <f t="shared" si="127"/>
        <v>-1375845.8474799362</v>
      </c>
      <c r="Z151" s="97">
        <f t="shared" si="127"/>
        <v>0</v>
      </c>
      <c r="AA151" s="97">
        <f t="shared" si="127"/>
        <v>-571850.17179164919</v>
      </c>
      <c r="AB151" s="97">
        <f t="shared" si="127"/>
        <v>0</v>
      </c>
      <c r="AC151" s="97">
        <f t="shared" si="127"/>
        <v>0</v>
      </c>
      <c r="AD151" s="97">
        <f t="shared" si="127"/>
        <v>-1509700.8224103535</v>
      </c>
      <c r="AE151" s="97">
        <f t="shared" si="127"/>
        <v>-41230.898318665204</v>
      </c>
      <c r="AF151" s="97">
        <f t="shared" si="127"/>
        <v>-166374.72563059852</v>
      </c>
      <c r="AG151" s="97">
        <f t="shared" si="127"/>
        <v>0</v>
      </c>
      <c r="AH151" s="97">
        <f t="shared" si="127"/>
        <v>0</v>
      </c>
      <c r="AI151" s="97">
        <f t="shared" si="127"/>
        <v>-1385861.2157986015</v>
      </c>
      <c r="AJ151" s="97">
        <f t="shared" si="127"/>
        <v>0</v>
      </c>
      <c r="AK151" s="97">
        <f t="shared" si="127"/>
        <v>-134000.83875461042</v>
      </c>
      <c r="AL151" s="97">
        <f t="shared" si="127"/>
        <v>0</v>
      </c>
      <c r="AM151" s="97">
        <f t="shared" si="127"/>
        <v>-10015.368318665205</v>
      </c>
      <c r="AN151" s="5"/>
      <c r="AO151" s="97"/>
      <c r="AP151" s="97"/>
      <c r="AQ151" s="97"/>
      <c r="AR151" s="97"/>
      <c r="AS151" s="97"/>
      <c r="AT151" s="97"/>
      <c r="AU151" s="97"/>
      <c r="AV151" s="97"/>
      <c r="AW151" s="1"/>
      <c r="AX151" s="221"/>
    </row>
    <row r="152" spans="1:50" ht="15.75" customHeight="1" x14ac:dyDescent="0.3">
      <c r="A152" s="1"/>
      <c r="B152" s="94"/>
      <c r="C152" s="53" t="str">
        <f>B41</f>
        <v>Despesas Pré Operacionais</v>
      </c>
      <c r="D152" s="94"/>
      <c r="E152" s="94"/>
      <c r="F152" s="94"/>
      <c r="G152" s="94"/>
      <c r="H152" s="94"/>
      <c r="I152" s="94"/>
      <c r="J152" s="94"/>
      <c r="K152" s="54">
        <f>NPV(WACC!$D$35,O152:AV152)</f>
        <v>-109326.05899960475</v>
      </c>
      <c r="L152" s="54">
        <f t="shared" si="126"/>
        <v>-120184.41982398246</v>
      </c>
      <c r="M152" s="1"/>
      <c r="N152" s="1"/>
      <c r="O152" s="97">
        <f t="shared" ref="O152:AM152" si="128">-O41</f>
        <v>-120184.41982398246</v>
      </c>
      <c r="P152" s="97">
        <f t="shared" si="128"/>
        <v>0</v>
      </c>
      <c r="Q152" s="97">
        <f t="shared" si="128"/>
        <v>0</v>
      </c>
      <c r="R152" s="97">
        <f t="shared" si="128"/>
        <v>0</v>
      </c>
      <c r="S152" s="97">
        <f t="shared" si="128"/>
        <v>0</v>
      </c>
      <c r="T152" s="97">
        <f t="shared" si="128"/>
        <v>0</v>
      </c>
      <c r="U152" s="97">
        <f t="shared" si="128"/>
        <v>0</v>
      </c>
      <c r="V152" s="97">
        <f t="shared" si="128"/>
        <v>0</v>
      </c>
      <c r="W152" s="97">
        <f t="shared" si="128"/>
        <v>0</v>
      </c>
      <c r="X152" s="97">
        <f t="shared" si="128"/>
        <v>0</v>
      </c>
      <c r="Y152" s="97">
        <f t="shared" si="128"/>
        <v>0</v>
      </c>
      <c r="Z152" s="97">
        <f t="shared" si="128"/>
        <v>0</v>
      </c>
      <c r="AA152" s="97">
        <f t="shared" si="128"/>
        <v>0</v>
      </c>
      <c r="AB152" s="97">
        <f t="shared" si="128"/>
        <v>0</v>
      </c>
      <c r="AC152" s="97">
        <f t="shared" si="128"/>
        <v>0</v>
      </c>
      <c r="AD152" s="97">
        <f t="shared" si="128"/>
        <v>0</v>
      </c>
      <c r="AE152" s="97">
        <f t="shared" si="128"/>
        <v>0</v>
      </c>
      <c r="AF152" s="97">
        <f t="shared" si="128"/>
        <v>0</v>
      </c>
      <c r="AG152" s="97">
        <f t="shared" si="128"/>
        <v>0</v>
      </c>
      <c r="AH152" s="97">
        <f t="shared" si="128"/>
        <v>0</v>
      </c>
      <c r="AI152" s="97">
        <f t="shared" si="128"/>
        <v>0</v>
      </c>
      <c r="AJ152" s="97">
        <f t="shared" si="128"/>
        <v>0</v>
      </c>
      <c r="AK152" s="97">
        <f t="shared" si="128"/>
        <v>0</v>
      </c>
      <c r="AL152" s="97">
        <f t="shared" si="128"/>
        <v>0</v>
      </c>
      <c r="AM152" s="97">
        <f t="shared" si="128"/>
        <v>0</v>
      </c>
      <c r="AN152" s="5"/>
      <c r="AO152" s="97"/>
      <c r="AP152" s="97"/>
      <c r="AQ152" s="97"/>
      <c r="AR152" s="97"/>
      <c r="AS152" s="97"/>
      <c r="AT152" s="97"/>
      <c r="AU152" s="97"/>
      <c r="AV152" s="97"/>
      <c r="AW152" s="1"/>
      <c r="AX152" s="221"/>
    </row>
    <row r="153" spans="1:50" ht="15.75" customHeight="1" x14ac:dyDescent="0.3">
      <c r="A153" s="113"/>
      <c r="B153" s="114" t="s">
        <v>98</v>
      </c>
      <c r="C153" s="114"/>
      <c r="D153" s="114"/>
      <c r="E153" s="114"/>
      <c r="F153" s="114"/>
      <c r="G153" s="114"/>
      <c r="H153" s="114"/>
      <c r="I153" s="114"/>
      <c r="J153" s="114"/>
      <c r="K153" s="115">
        <f t="shared" ref="K153:L153" si="129">K148+K150</f>
        <v>0</v>
      </c>
      <c r="L153" s="115">
        <f t="shared" si="129"/>
        <v>5260134.1489478741</v>
      </c>
      <c r="M153" s="1"/>
      <c r="N153" s="1"/>
      <c r="O153" s="116">
        <f t="shared" ref="O153:AM153" si="130">O148+O150</f>
        <v>-3359681.9864104614</v>
      </c>
      <c r="P153" s="116">
        <f t="shared" si="130"/>
        <v>649047.02146551164</v>
      </c>
      <c r="Q153" s="116">
        <f t="shared" si="130"/>
        <v>633469.25207738217</v>
      </c>
      <c r="R153" s="116">
        <f t="shared" si="130"/>
        <v>649544.65312694327</v>
      </c>
      <c r="S153" s="116">
        <f t="shared" si="130"/>
        <v>-740469.93588398059</v>
      </c>
      <c r="T153" s="116">
        <f t="shared" si="130"/>
        <v>638472.0247883749</v>
      </c>
      <c r="U153" s="116">
        <f t="shared" si="130"/>
        <v>646034.77540024533</v>
      </c>
      <c r="V153" s="116">
        <f t="shared" si="130"/>
        <v>504968.81769519602</v>
      </c>
      <c r="W153" s="116">
        <f t="shared" si="130"/>
        <v>439072.64693660627</v>
      </c>
      <c r="X153" s="116">
        <f t="shared" si="130"/>
        <v>651037.54811123805</v>
      </c>
      <c r="Y153" s="116">
        <f t="shared" si="130"/>
        <v>-740386.06875682762</v>
      </c>
      <c r="Z153" s="116">
        <f t="shared" si="130"/>
        <v>651535.17977266968</v>
      </c>
      <c r="AA153" s="116">
        <f t="shared" si="130"/>
        <v>64107.238592891023</v>
      </c>
      <c r="AB153" s="116">
        <f t="shared" si="130"/>
        <v>652032.8114341012</v>
      </c>
      <c r="AC153" s="116">
        <f t="shared" si="130"/>
        <v>648025.30204597174</v>
      </c>
      <c r="AD153" s="116">
        <f t="shared" si="130"/>
        <v>-868740.63931482064</v>
      </c>
      <c r="AE153" s="116">
        <f t="shared" si="130"/>
        <v>607292.03538873815</v>
      </c>
      <c r="AF153" s="116">
        <f t="shared" si="130"/>
        <v>475083.08912636596</v>
      </c>
      <c r="AG153" s="116">
        <f t="shared" si="130"/>
        <v>649020.565368835</v>
      </c>
      <c r="AH153" s="116">
        <f t="shared" si="130"/>
        <v>653525.70641839609</v>
      </c>
      <c r="AI153" s="116">
        <f t="shared" si="130"/>
        <v>-747913.27876833489</v>
      </c>
      <c r="AJ153" s="116">
        <f t="shared" si="130"/>
        <v>654023.3380798276</v>
      </c>
      <c r="AK153" s="116">
        <f t="shared" si="130"/>
        <v>504444.72993708774</v>
      </c>
      <c r="AL153" s="116">
        <f t="shared" si="130"/>
        <v>654520.96974125924</v>
      </c>
      <c r="AM153" s="116">
        <f t="shared" si="130"/>
        <v>692068.35257465916</v>
      </c>
      <c r="AN153" s="5"/>
      <c r="AO153" s="116"/>
      <c r="AP153" s="116"/>
      <c r="AQ153" s="116"/>
      <c r="AR153" s="116"/>
      <c r="AS153" s="116"/>
      <c r="AT153" s="116"/>
      <c r="AU153" s="116"/>
      <c r="AV153" s="116"/>
      <c r="AW153" s="113"/>
      <c r="AX153" s="221"/>
    </row>
    <row r="154" spans="1:50" ht="15.75" customHeight="1" x14ac:dyDescent="0.3">
      <c r="A154" s="113"/>
      <c r="B154" s="123" t="s">
        <v>99</v>
      </c>
      <c r="C154" s="123"/>
      <c r="D154" s="123"/>
      <c r="E154" s="123"/>
      <c r="F154" s="123"/>
      <c r="G154" s="123"/>
      <c r="H154" s="123"/>
      <c r="I154" s="123"/>
      <c r="J154" s="123"/>
      <c r="K154" s="124"/>
      <c r="L154" s="124"/>
      <c r="M154" s="1"/>
      <c r="N154" s="1"/>
      <c r="O154" s="125">
        <f t="shared" ref="O154:AM154" si="131">SUM($O153:O153)</f>
        <v>-3359681.9864104614</v>
      </c>
      <c r="P154" s="125">
        <f t="shared" si="131"/>
        <v>-2710634.9649449498</v>
      </c>
      <c r="Q154" s="125">
        <f t="shared" si="131"/>
        <v>-2077165.7128675678</v>
      </c>
      <c r="R154" s="125">
        <f t="shared" si="131"/>
        <v>-1427621.0597406244</v>
      </c>
      <c r="S154" s="125">
        <f t="shared" si="131"/>
        <v>-2168090.9956246051</v>
      </c>
      <c r="T154" s="125">
        <f t="shared" si="131"/>
        <v>-1529618.9708362301</v>
      </c>
      <c r="U154" s="125">
        <f t="shared" si="131"/>
        <v>-883584.19543598476</v>
      </c>
      <c r="V154" s="125">
        <f t="shared" si="131"/>
        <v>-378615.37774078874</v>
      </c>
      <c r="W154" s="125">
        <f t="shared" si="131"/>
        <v>60457.269195817527</v>
      </c>
      <c r="X154" s="125">
        <f t="shared" si="131"/>
        <v>711494.81730705558</v>
      </c>
      <c r="Y154" s="125">
        <f t="shared" si="131"/>
        <v>-28891.25144977204</v>
      </c>
      <c r="Z154" s="125">
        <f t="shared" si="131"/>
        <v>622643.92832289764</v>
      </c>
      <c r="AA154" s="125">
        <f t="shared" si="131"/>
        <v>686751.16691578866</v>
      </c>
      <c r="AB154" s="125">
        <f t="shared" si="131"/>
        <v>1338783.9783498899</v>
      </c>
      <c r="AC154" s="125">
        <f t="shared" si="131"/>
        <v>1986809.2803958617</v>
      </c>
      <c r="AD154" s="125">
        <f t="shared" si="131"/>
        <v>1118068.6410810412</v>
      </c>
      <c r="AE154" s="125">
        <f t="shared" si="131"/>
        <v>1725360.6764697793</v>
      </c>
      <c r="AF154" s="125">
        <f t="shared" si="131"/>
        <v>2200443.7655961453</v>
      </c>
      <c r="AG154" s="125">
        <f t="shared" si="131"/>
        <v>2849464.3309649802</v>
      </c>
      <c r="AH154" s="125">
        <f t="shared" si="131"/>
        <v>3502990.0373833762</v>
      </c>
      <c r="AI154" s="125">
        <f t="shared" si="131"/>
        <v>2755076.7586150412</v>
      </c>
      <c r="AJ154" s="125">
        <f t="shared" si="131"/>
        <v>3409100.096694869</v>
      </c>
      <c r="AK154" s="125">
        <f t="shared" si="131"/>
        <v>3913544.8266319567</v>
      </c>
      <c r="AL154" s="125">
        <f t="shared" si="131"/>
        <v>4568065.7963732164</v>
      </c>
      <c r="AM154" s="125">
        <f t="shared" si="131"/>
        <v>5260134.1489478759</v>
      </c>
      <c r="AN154" s="5"/>
      <c r="AO154" s="125"/>
      <c r="AP154" s="125"/>
      <c r="AQ154" s="125"/>
      <c r="AR154" s="125"/>
      <c r="AS154" s="125"/>
      <c r="AT154" s="125"/>
      <c r="AU154" s="125"/>
      <c r="AV154" s="125"/>
      <c r="AW154" s="113"/>
      <c r="AX154" s="221"/>
    </row>
    <row r="155" spans="1:50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5"/>
      <c r="AO155" s="1"/>
      <c r="AP155" s="1"/>
      <c r="AQ155" s="1"/>
      <c r="AR155" s="1"/>
      <c r="AS155" s="1"/>
      <c r="AT155" s="1"/>
      <c r="AU155" s="1"/>
      <c r="AV155" s="1"/>
      <c r="AW155" s="1"/>
      <c r="AX155" s="221"/>
    </row>
    <row r="156" spans="1:50" ht="15.75" customHeight="1" x14ac:dyDescent="0.3">
      <c r="A156" s="1"/>
      <c r="B156" s="126"/>
      <c r="C156" s="126"/>
      <c r="D156" s="126"/>
      <c r="E156" s="126"/>
      <c r="F156" s="126"/>
      <c r="G156" s="127"/>
      <c r="H156" s="127"/>
      <c r="I156" s="127"/>
      <c r="J156" s="127"/>
      <c r="K156" s="127"/>
      <c r="L156" s="127" t="s">
        <v>100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5"/>
      <c r="AO156" s="1"/>
      <c r="AP156" s="1"/>
      <c r="AQ156" s="1"/>
      <c r="AR156" s="1"/>
      <c r="AS156" s="1"/>
      <c r="AT156" s="1"/>
      <c r="AU156" s="1"/>
      <c r="AV156" s="1"/>
      <c r="AW156" s="1"/>
      <c r="AX156" s="221"/>
    </row>
    <row r="157" spans="1:50" ht="15.75" customHeight="1" x14ac:dyDescent="0.3">
      <c r="A157" s="1"/>
      <c r="B157" s="61" t="s">
        <v>47</v>
      </c>
      <c r="C157" s="51"/>
      <c r="D157" s="51"/>
      <c r="E157" s="51"/>
      <c r="F157" s="51"/>
      <c r="G157" s="128"/>
      <c r="H157" s="128"/>
      <c r="I157" s="128"/>
      <c r="J157" s="128"/>
      <c r="K157" s="128"/>
      <c r="L157" s="129">
        <f>IRR(O153:AV153)</f>
        <v>9.9320884002751519E-2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5"/>
      <c r="AO157" s="1"/>
      <c r="AP157" s="1"/>
      <c r="AQ157" s="1"/>
      <c r="AR157" s="1"/>
      <c r="AS157" s="1"/>
      <c r="AT157" s="1"/>
      <c r="AU157" s="1"/>
      <c r="AV157" s="1"/>
      <c r="AW157" s="1"/>
      <c r="AX157" s="221"/>
    </row>
    <row r="158" spans="1:50" ht="15.75" customHeight="1" x14ac:dyDescent="0.3">
      <c r="A158" s="1"/>
      <c r="B158" s="98" t="s">
        <v>101</v>
      </c>
      <c r="C158" s="53"/>
      <c r="D158" s="53"/>
      <c r="E158" s="53"/>
      <c r="F158" s="53"/>
      <c r="G158" s="130"/>
      <c r="H158" s="130"/>
      <c r="I158" s="130"/>
      <c r="J158" s="130"/>
      <c r="K158" s="130"/>
      <c r="L158" s="226">
        <f>NPV(WACC!$D$35,O153:AV153)</f>
        <v>-5.1625026156137937E-10</v>
      </c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5"/>
      <c r="AO158" s="1"/>
      <c r="AP158" s="1"/>
      <c r="AQ158" s="1"/>
      <c r="AR158" s="1"/>
      <c r="AS158" s="1"/>
      <c r="AT158" s="1"/>
      <c r="AU158" s="1"/>
      <c r="AV158" s="1"/>
      <c r="AW158" s="1"/>
      <c r="AX158" s="221"/>
    </row>
    <row r="159" spans="1:50" ht="15.75" customHeight="1" x14ac:dyDescent="0.3">
      <c r="A159" s="1"/>
      <c r="B159" s="98" t="s">
        <v>102</v>
      </c>
      <c r="C159" s="53"/>
      <c r="D159" s="53"/>
      <c r="E159" s="53"/>
      <c r="F159" s="53"/>
      <c r="G159" s="130"/>
      <c r="H159" s="130"/>
      <c r="I159" s="130"/>
      <c r="J159" s="130"/>
      <c r="K159" s="130"/>
      <c r="L159" s="130">
        <f>MIN(O154:AV154)</f>
        <v>-3359681.9864104614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5"/>
      <c r="AO159" s="1"/>
      <c r="AP159" s="1"/>
      <c r="AQ159" s="1"/>
      <c r="AR159" s="1"/>
      <c r="AS159" s="1"/>
      <c r="AT159" s="1"/>
      <c r="AU159" s="1"/>
      <c r="AV159" s="1"/>
      <c r="AW159" s="1"/>
      <c r="AX159" s="221"/>
    </row>
    <row r="160" spans="1:50" ht="15.75" customHeight="1" x14ac:dyDescent="0.3">
      <c r="A160" s="131"/>
      <c r="B160" s="66" t="s">
        <v>103</v>
      </c>
      <c r="C160" s="55"/>
      <c r="D160" s="55"/>
      <c r="E160" s="55"/>
      <c r="F160" s="55"/>
      <c r="G160" s="59"/>
      <c r="H160" s="59"/>
      <c r="I160" s="59"/>
      <c r="J160" s="59"/>
      <c r="K160" s="59"/>
      <c r="L160" s="59">
        <f>SUM(O160:AW160)</f>
        <v>9</v>
      </c>
      <c r="M160" s="1"/>
      <c r="N160" s="1"/>
      <c r="O160" s="131">
        <f t="shared" ref="O160:AM160" si="132">IF(O154&lt;0,1,0)</f>
        <v>1</v>
      </c>
      <c r="P160" s="131">
        <f t="shared" si="132"/>
        <v>1</v>
      </c>
      <c r="Q160" s="131">
        <f t="shared" si="132"/>
        <v>1</v>
      </c>
      <c r="R160" s="131">
        <f t="shared" si="132"/>
        <v>1</v>
      </c>
      <c r="S160" s="131">
        <f t="shared" si="132"/>
        <v>1</v>
      </c>
      <c r="T160" s="131">
        <f t="shared" si="132"/>
        <v>1</v>
      </c>
      <c r="U160" s="131">
        <f t="shared" si="132"/>
        <v>1</v>
      </c>
      <c r="V160" s="131">
        <f t="shared" si="132"/>
        <v>1</v>
      </c>
      <c r="W160" s="131">
        <f t="shared" si="132"/>
        <v>0</v>
      </c>
      <c r="X160" s="131">
        <f t="shared" si="132"/>
        <v>0</v>
      </c>
      <c r="Y160" s="131">
        <f t="shared" si="132"/>
        <v>1</v>
      </c>
      <c r="Z160" s="131">
        <f t="shared" si="132"/>
        <v>0</v>
      </c>
      <c r="AA160" s="131">
        <f t="shared" si="132"/>
        <v>0</v>
      </c>
      <c r="AB160" s="131">
        <f t="shared" si="132"/>
        <v>0</v>
      </c>
      <c r="AC160" s="131">
        <f t="shared" si="132"/>
        <v>0</v>
      </c>
      <c r="AD160" s="131">
        <f t="shared" si="132"/>
        <v>0</v>
      </c>
      <c r="AE160" s="131">
        <f t="shared" si="132"/>
        <v>0</v>
      </c>
      <c r="AF160" s="131">
        <f t="shared" si="132"/>
        <v>0</v>
      </c>
      <c r="AG160" s="131">
        <f t="shared" si="132"/>
        <v>0</v>
      </c>
      <c r="AH160" s="131">
        <f t="shared" si="132"/>
        <v>0</v>
      </c>
      <c r="AI160" s="131">
        <f t="shared" si="132"/>
        <v>0</v>
      </c>
      <c r="AJ160" s="131">
        <f t="shared" si="132"/>
        <v>0</v>
      </c>
      <c r="AK160" s="131">
        <f t="shared" si="132"/>
        <v>0</v>
      </c>
      <c r="AL160" s="131">
        <f t="shared" si="132"/>
        <v>0</v>
      </c>
      <c r="AM160" s="131">
        <f t="shared" si="132"/>
        <v>0</v>
      </c>
      <c r="AN160" s="5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221"/>
    </row>
    <row r="161" spans="1:50" ht="15.75" customHeight="1" x14ac:dyDescent="0.3">
      <c r="A161" s="131"/>
      <c r="B161" s="176"/>
      <c r="C161" s="183"/>
      <c r="D161" s="183"/>
      <c r="E161" s="183"/>
      <c r="F161" s="183"/>
      <c r="G161" s="195"/>
      <c r="H161" s="195"/>
      <c r="I161" s="195"/>
      <c r="J161" s="195"/>
      <c r="K161" s="195"/>
      <c r="L161" s="195"/>
      <c r="M161" s="1"/>
      <c r="N161" s="1"/>
      <c r="O161" s="131"/>
      <c r="P161" s="34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75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221"/>
    </row>
    <row r="162" spans="1:50" ht="15.75" customHeight="1" x14ac:dyDescent="0.3">
      <c r="A162" s="131"/>
      <c r="B162" s="355" t="s">
        <v>5154</v>
      </c>
      <c r="C162" s="356"/>
      <c r="D162" s="356"/>
      <c r="E162" s="356"/>
      <c r="F162" s="356"/>
      <c r="G162" s="356"/>
      <c r="H162" s="356"/>
      <c r="I162" s="356"/>
      <c r="J162" s="356"/>
      <c r="K162" s="356"/>
      <c r="L162" s="329">
        <f t="shared" ref="L162:L167" si="133">SUM(O162:AM162)</f>
        <v>-351561.65384839929</v>
      </c>
      <c r="M162" s="1"/>
      <c r="N162" s="1"/>
      <c r="O162" s="329">
        <f>SUM(O163:O167)</f>
        <v>1646822.7587305515</v>
      </c>
      <c r="P162" s="357">
        <f t="shared" ref="P162:AM162" si="134">SUM(P163:P167)</f>
        <v>-370696.19021204981</v>
      </c>
      <c r="Q162" s="357">
        <f t="shared" si="134"/>
        <v>-355643.34163249331</v>
      </c>
      <c r="R162" s="357">
        <f t="shared" si="134"/>
        <v>-340590.49305293674</v>
      </c>
      <c r="S162" s="357">
        <f t="shared" si="134"/>
        <v>-325537.64447338018</v>
      </c>
      <c r="T162" s="357">
        <f t="shared" si="134"/>
        <v>-310484.79589382367</v>
      </c>
      <c r="U162" s="357">
        <f t="shared" si="134"/>
        <v>-295431.9473142671</v>
      </c>
      <c r="V162" s="357">
        <f t="shared" si="134"/>
        <v>-1.779478043317795E-11</v>
      </c>
      <c r="W162" s="357">
        <f t="shared" si="134"/>
        <v>-1.779478043317795E-11</v>
      </c>
      <c r="X162" s="357">
        <f t="shared" si="134"/>
        <v>-1.779478043317795E-11</v>
      </c>
      <c r="Y162" s="357">
        <f t="shared" si="134"/>
        <v>-1.779478043317795E-11</v>
      </c>
      <c r="Z162" s="357">
        <f t="shared" si="134"/>
        <v>-1.779478043317795E-11</v>
      </c>
      <c r="AA162" s="357">
        <f t="shared" si="134"/>
        <v>-1.779478043317795E-11</v>
      </c>
      <c r="AB162" s="357">
        <f t="shared" si="134"/>
        <v>-1.779478043317795E-11</v>
      </c>
      <c r="AC162" s="357">
        <f t="shared" si="134"/>
        <v>-1.779478043317795E-11</v>
      </c>
      <c r="AD162" s="357">
        <f t="shared" si="134"/>
        <v>-1.779478043317795E-11</v>
      </c>
      <c r="AE162" s="357">
        <f t="shared" si="134"/>
        <v>-1.779478043317795E-11</v>
      </c>
      <c r="AF162" s="357">
        <f t="shared" si="134"/>
        <v>-1.779478043317795E-11</v>
      </c>
      <c r="AG162" s="357">
        <f t="shared" si="134"/>
        <v>-1.779478043317795E-11</v>
      </c>
      <c r="AH162" s="357">
        <f t="shared" si="134"/>
        <v>-1.779478043317795E-11</v>
      </c>
      <c r="AI162" s="357">
        <f t="shared" si="134"/>
        <v>-1.779478043317795E-11</v>
      </c>
      <c r="AJ162" s="357">
        <f t="shared" si="134"/>
        <v>-1.779478043317795E-11</v>
      </c>
      <c r="AK162" s="357">
        <f t="shared" si="134"/>
        <v>-1.779478043317795E-11</v>
      </c>
      <c r="AL162" s="357">
        <f t="shared" si="134"/>
        <v>-1.779478043317795E-11</v>
      </c>
      <c r="AM162" s="357">
        <f t="shared" si="134"/>
        <v>-1.779478043317795E-11</v>
      </c>
      <c r="AN162" s="175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221"/>
    </row>
    <row r="163" spans="1:50" s="339" customFormat="1" ht="15.75" customHeight="1" x14ac:dyDescent="0.3">
      <c r="A163" s="131"/>
      <c r="B163" s="352" t="s">
        <v>5175</v>
      </c>
      <c r="C163" s="352"/>
      <c r="D163" s="352"/>
      <c r="E163" s="352"/>
      <c r="F163" s="352"/>
      <c r="G163" s="350">
        <v>1</v>
      </c>
      <c r="H163" s="350">
        <v>1</v>
      </c>
      <c r="I163" s="350">
        <f>$L$30*WACC!$D$31</f>
        <v>1772591.6838856027</v>
      </c>
      <c r="J163" s="350"/>
      <c r="K163" s="350"/>
      <c r="L163" s="350">
        <f t="shared" si="133"/>
        <v>1772591.6838856027</v>
      </c>
      <c r="M163" s="1"/>
      <c r="N163" s="1"/>
      <c r="O163" s="350">
        <f>IF(AND($G163&lt;=O$3,O$3&lt;=$H163),$I163/($H163-$G163+1),0)</f>
        <v>1772591.6838856027</v>
      </c>
      <c r="P163" s="350">
        <f>IF(AND($G163&lt;=P$3,P$3&lt;=$H163),$I163/($H163-$G163+1),0)</f>
        <v>0</v>
      </c>
      <c r="Q163" s="350">
        <f t="shared" ref="Q163:AM163" si="135">IF(AND($G163&lt;=Q$3,Q$3&lt;=$H163),$I163/($H163-$G163+1),0)</f>
        <v>0</v>
      </c>
      <c r="R163" s="350">
        <f t="shared" si="135"/>
        <v>0</v>
      </c>
      <c r="S163" s="350">
        <f t="shared" si="135"/>
        <v>0</v>
      </c>
      <c r="T163" s="350">
        <f t="shared" si="135"/>
        <v>0</v>
      </c>
      <c r="U163" s="350">
        <f t="shared" si="135"/>
        <v>0</v>
      </c>
      <c r="V163" s="350">
        <f t="shared" si="135"/>
        <v>0</v>
      </c>
      <c r="W163" s="350">
        <f t="shared" si="135"/>
        <v>0</v>
      </c>
      <c r="X163" s="350">
        <f t="shared" si="135"/>
        <v>0</v>
      </c>
      <c r="Y163" s="350">
        <f t="shared" si="135"/>
        <v>0</v>
      </c>
      <c r="Z163" s="350">
        <f t="shared" si="135"/>
        <v>0</v>
      </c>
      <c r="AA163" s="350">
        <f t="shared" si="135"/>
        <v>0</v>
      </c>
      <c r="AB163" s="350">
        <f t="shared" si="135"/>
        <v>0</v>
      </c>
      <c r="AC163" s="350">
        <f t="shared" si="135"/>
        <v>0</v>
      </c>
      <c r="AD163" s="350">
        <f t="shared" si="135"/>
        <v>0</v>
      </c>
      <c r="AE163" s="350">
        <f t="shared" si="135"/>
        <v>0</v>
      </c>
      <c r="AF163" s="350">
        <f t="shared" si="135"/>
        <v>0</v>
      </c>
      <c r="AG163" s="350">
        <f t="shared" si="135"/>
        <v>0</v>
      </c>
      <c r="AH163" s="350">
        <f t="shared" si="135"/>
        <v>0</v>
      </c>
      <c r="AI163" s="350">
        <f t="shared" si="135"/>
        <v>0</v>
      </c>
      <c r="AJ163" s="350">
        <f t="shared" si="135"/>
        <v>0</v>
      </c>
      <c r="AK163" s="350">
        <f t="shared" si="135"/>
        <v>0</v>
      </c>
      <c r="AL163" s="350">
        <f t="shared" si="135"/>
        <v>0</v>
      </c>
      <c r="AM163" s="350">
        <f t="shared" si="135"/>
        <v>0</v>
      </c>
      <c r="AN163" s="337"/>
      <c r="AO163" s="336"/>
      <c r="AP163" s="336"/>
      <c r="AQ163" s="336"/>
      <c r="AR163" s="336"/>
      <c r="AS163" s="336"/>
      <c r="AT163" s="336"/>
      <c r="AU163" s="336"/>
      <c r="AV163" s="336"/>
      <c r="AW163" s="336"/>
      <c r="AX163" s="338"/>
    </row>
    <row r="164" spans="1:50" s="339" customFormat="1" ht="15.75" customHeight="1" x14ac:dyDescent="0.3">
      <c r="A164" s="131"/>
      <c r="B164" s="353" t="s">
        <v>5176</v>
      </c>
      <c r="C164" s="353"/>
      <c r="D164" s="353"/>
      <c r="E164" s="353"/>
      <c r="F164" s="353"/>
      <c r="G164" s="351">
        <v>2</v>
      </c>
      <c r="H164" s="351">
        <v>7</v>
      </c>
      <c r="I164" s="351">
        <f>I163</f>
        <v>1772591.6838856027</v>
      </c>
      <c r="J164" s="351"/>
      <c r="K164" s="351"/>
      <c r="L164" s="351">
        <f t="shared" si="133"/>
        <v>-1772591.6838856025</v>
      </c>
      <c r="M164" s="1"/>
      <c r="N164" s="1"/>
      <c r="O164" s="351">
        <f>-IF(AND($G164&lt;=O$3,O$3&lt;=$H164),$I164/($H164-$G164+1),0)</f>
        <v>0</v>
      </c>
      <c r="P164" s="351">
        <f t="shared" ref="P164:AM164" si="136">-IF(AND($G164&lt;=P$3,P$3&lt;=$H164),$I164/($H164-$G164+1),0)</f>
        <v>-295431.9473142671</v>
      </c>
      <c r="Q164" s="351">
        <f t="shared" si="136"/>
        <v>-295431.9473142671</v>
      </c>
      <c r="R164" s="351">
        <f t="shared" si="136"/>
        <v>-295431.9473142671</v>
      </c>
      <c r="S164" s="351">
        <f t="shared" si="136"/>
        <v>-295431.9473142671</v>
      </c>
      <c r="T164" s="351">
        <f t="shared" si="136"/>
        <v>-295431.9473142671</v>
      </c>
      <c r="U164" s="351">
        <f t="shared" si="136"/>
        <v>-295431.9473142671</v>
      </c>
      <c r="V164" s="351">
        <f t="shared" si="136"/>
        <v>0</v>
      </c>
      <c r="W164" s="351">
        <f t="shared" si="136"/>
        <v>0</v>
      </c>
      <c r="X164" s="351">
        <f t="shared" si="136"/>
        <v>0</v>
      </c>
      <c r="Y164" s="351">
        <f t="shared" si="136"/>
        <v>0</v>
      </c>
      <c r="Z164" s="351">
        <f t="shared" si="136"/>
        <v>0</v>
      </c>
      <c r="AA164" s="351">
        <f t="shared" si="136"/>
        <v>0</v>
      </c>
      <c r="AB164" s="351">
        <f t="shared" si="136"/>
        <v>0</v>
      </c>
      <c r="AC164" s="351">
        <f t="shared" si="136"/>
        <v>0</v>
      </c>
      <c r="AD164" s="351">
        <f t="shared" si="136"/>
        <v>0</v>
      </c>
      <c r="AE164" s="351">
        <f t="shared" si="136"/>
        <v>0</v>
      </c>
      <c r="AF164" s="351">
        <f t="shared" si="136"/>
        <v>0</v>
      </c>
      <c r="AG164" s="351">
        <f t="shared" si="136"/>
        <v>0</v>
      </c>
      <c r="AH164" s="351">
        <f t="shared" si="136"/>
        <v>0</v>
      </c>
      <c r="AI164" s="351">
        <f t="shared" si="136"/>
        <v>0</v>
      </c>
      <c r="AJ164" s="351">
        <f t="shared" si="136"/>
        <v>0</v>
      </c>
      <c r="AK164" s="351">
        <f t="shared" si="136"/>
        <v>0</v>
      </c>
      <c r="AL164" s="351">
        <f t="shared" si="136"/>
        <v>0</v>
      </c>
      <c r="AM164" s="351">
        <f t="shared" si="136"/>
        <v>0</v>
      </c>
      <c r="AN164" s="337"/>
      <c r="AO164" s="336"/>
      <c r="AP164" s="336"/>
      <c r="AQ164" s="336"/>
      <c r="AR164" s="336"/>
      <c r="AS164" s="336"/>
      <c r="AT164" s="336"/>
      <c r="AU164" s="336"/>
      <c r="AV164" s="336"/>
      <c r="AW164" s="336"/>
      <c r="AX164" s="338"/>
    </row>
    <row r="165" spans="1:50" s="339" customFormat="1" ht="15.75" customHeight="1" x14ac:dyDescent="0.3">
      <c r="A165" s="131"/>
      <c r="B165" s="353" t="s">
        <v>5177</v>
      </c>
      <c r="C165" s="353"/>
      <c r="D165" s="353"/>
      <c r="E165" s="353"/>
      <c r="F165" s="353"/>
      <c r="G165" s="354">
        <f>WACC!$D$23</f>
        <v>7.7200000000000005E-2</v>
      </c>
      <c r="H165" s="351"/>
      <c r="I165" s="351"/>
      <c r="J165" s="351"/>
      <c r="K165" s="351"/>
      <c r="L165" s="351">
        <f t="shared" si="133"/>
        <v>-478954.27298588998</v>
      </c>
      <c r="M165" s="1"/>
      <c r="N165" s="1"/>
      <c r="O165" s="351">
        <f>-SUM($O163:O163,$O164:O164)*$G$165</f>
        <v>-136844.07799596855</v>
      </c>
      <c r="P165" s="351">
        <f>-SUM($O163:P163,$O164:P164)*$G$165</f>
        <v>-114036.73166330712</v>
      </c>
      <c r="Q165" s="351">
        <f>-SUM($O163:Q163,$O164:Q164)*$G$165</f>
        <v>-91229.385330645702</v>
      </c>
      <c r="R165" s="351">
        <f>-SUM($O163:R163,$O164:R164)*$G$165</f>
        <v>-68422.038997984288</v>
      </c>
      <c r="S165" s="351">
        <f>-SUM($O163:S163,$O164:S164)*$G$165</f>
        <v>-45614.692665322873</v>
      </c>
      <c r="T165" s="351">
        <f>-SUM($O163:T163,$O164:T164)*$G$165</f>
        <v>-22807.346332661447</v>
      </c>
      <c r="U165" s="351">
        <f>-SUM($O163:U163,$O164:U164)*$G$165</f>
        <v>0</v>
      </c>
      <c r="V165" s="351">
        <f>-SUM($O163:V163,$O164:V164)*$G$165</f>
        <v>-2.6961788535118106E-11</v>
      </c>
      <c r="W165" s="351">
        <f>-SUM($O163:W163,$O164:W164)*$G$165</f>
        <v>-2.6961788535118106E-11</v>
      </c>
      <c r="X165" s="351">
        <f>-SUM($O163:X163,$O164:X164)*$G$165</f>
        <v>-2.6961788535118106E-11</v>
      </c>
      <c r="Y165" s="351">
        <f>-SUM($O163:Y163,$O164:Y164)*$G$165</f>
        <v>-2.6961788535118106E-11</v>
      </c>
      <c r="Z165" s="351">
        <f>-SUM($O163:Z163,$O164:Z164)*$G$165</f>
        <v>-2.6961788535118106E-11</v>
      </c>
      <c r="AA165" s="351">
        <f>-SUM($O163:AA163,$O164:AA164)*$G$165</f>
        <v>-2.6961788535118106E-11</v>
      </c>
      <c r="AB165" s="351">
        <f>-SUM($O163:AB163,$O164:AB164)*$G$165</f>
        <v>-2.6961788535118106E-11</v>
      </c>
      <c r="AC165" s="351">
        <f>-SUM($O163:AC163,$O164:AC164)*$G$165</f>
        <v>-2.6961788535118106E-11</v>
      </c>
      <c r="AD165" s="351">
        <f>-SUM($O163:AD163,$O164:AD164)*$G$165</f>
        <v>-2.6961788535118106E-11</v>
      </c>
      <c r="AE165" s="351">
        <f>-SUM($O163:AE163,$O164:AE164)*$G$165</f>
        <v>-2.6961788535118106E-11</v>
      </c>
      <c r="AF165" s="351">
        <f>-SUM($O163:AF163,$O164:AF164)*$G$165</f>
        <v>-2.6961788535118106E-11</v>
      </c>
      <c r="AG165" s="351">
        <f>-SUM($O163:AG163,$O164:AG164)*$G$165</f>
        <v>-2.6961788535118106E-11</v>
      </c>
      <c r="AH165" s="351">
        <f>-SUM($O163:AH163,$O164:AH164)*$G$165</f>
        <v>-2.6961788535118106E-11</v>
      </c>
      <c r="AI165" s="351">
        <f>-SUM($O163:AI163,$O164:AI164)*$G$165</f>
        <v>-2.6961788535118106E-11</v>
      </c>
      <c r="AJ165" s="351">
        <f>-SUM($O163:AJ163,$O164:AJ164)*$G$165</f>
        <v>-2.6961788535118106E-11</v>
      </c>
      <c r="AK165" s="351">
        <f>-SUM($O163:AK163,$O164:AK164)*$G$165</f>
        <v>-2.6961788535118106E-11</v>
      </c>
      <c r="AL165" s="351">
        <f>-SUM($O163:AL163,$O164:AL164)*$G$165</f>
        <v>-2.6961788535118106E-11</v>
      </c>
      <c r="AM165" s="351">
        <f>-SUM($O163:AM163,$O164:AM164)*$G$165</f>
        <v>-2.6961788535118106E-11</v>
      </c>
      <c r="AN165" s="337"/>
      <c r="AO165" s="336"/>
      <c r="AP165" s="336"/>
      <c r="AQ165" s="336"/>
      <c r="AR165" s="336"/>
      <c r="AS165" s="336"/>
      <c r="AT165" s="336"/>
      <c r="AU165" s="336"/>
      <c r="AV165" s="336"/>
      <c r="AW165" s="336"/>
      <c r="AX165" s="338"/>
    </row>
    <row r="166" spans="1:50" s="339" customFormat="1" ht="15.75" customHeight="1" x14ac:dyDescent="0.3">
      <c r="A166" s="131"/>
      <c r="B166" s="353" t="s">
        <v>5178</v>
      </c>
      <c r="C166" s="353"/>
      <c r="D166" s="353"/>
      <c r="E166" s="353"/>
      <c r="F166" s="353"/>
      <c r="G166" s="354">
        <f>WACC!$D$24</f>
        <v>0.34</v>
      </c>
      <c r="H166" s="351"/>
      <c r="I166" s="351"/>
      <c r="J166" s="351"/>
      <c r="K166" s="351"/>
      <c r="L166" s="351">
        <f t="shared" si="133"/>
        <v>162844.45281520262</v>
      </c>
      <c r="M166" s="1"/>
      <c r="N166" s="1"/>
      <c r="O166" s="351">
        <f>-O165*$G$166</f>
        <v>46526.98651862931</v>
      </c>
      <c r="P166" s="351">
        <f t="shared" ref="P166:AM166" si="137">-P165*$G$166</f>
        <v>38772.488765524424</v>
      </c>
      <c r="Q166" s="351">
        <f t="shared" si="137"/>
        <v>31017.991012419541</v>
      </c>
      <c r="R166" s="351">
        <f t="shared" si="137"/>
        <v>23263.493259314659</v>
      </c>
      <c r="S166" s="351">
        <f t="shared" si="137"/>
        <v>15508.995506209778</v>
      </c>
      <c r="T166" s="351">
        <f t="shared" si="137"/>
        <v>7754.4977531048926</v>
      </c>
      <c r="U166" s="351">
        <f t="shared" si="137"/>
        <v>0</v>
      </c>
      <c r="V166" s="351">
        <f t="shared" si="137"/>
        <v>9.167008101940156E-12</v>
      </c>
      <c r="W166" s="351">
        <f t="shared" si="137"/>
        <v>9.167008101940156E-12</v>
      </c>
      <c r="X166" s="351">
        <f t="shared" si="137"/>
        <v>9.167008101940156E-12</v>
      </c>
      <c r="Y166" s="351">
        <f t="shared" si="137"/>
        <v>9.167008101940156E-12</v>
      </c>
      <c r="Z166" s="351">
        <f t="shared" si="137"/>
        <v>9.167008101940156E-12</v>
      </c>
      <c r="AA166" s="351">
        <f t="shared" si="137"/>
        <v>9.167008101940156E-12</v>
      </c>
      <c r="AB166" s="351">
        <f t="shared" si="137"/>
        <v>9.167008101940156E-12</v>
      </c>
      <c r="AC166" s="351">
        <f t="shared" si="137"/>
        <v>9.167008101940156E-12</v>
      </c>
      <c r="AD166" s="351">
        <f t="shared" si="137"/>
        <v>9.167008101940156E-12</v>
      </c>
      <c r="AE166" s="351">
        <f t="shared" si="137"/>
        <v>9.167008101940156E-12</v>
      </c>
      <c r="AF166" s="351">
        <f t="shared" si="137"/>
        <v>9.167008101940156E-12</v>
      </c>
      <c r="AG166" s="351">
        <f t="shared" si="137"/>
        <v>9.167008101940156E-12</v>
      </c>
      <c r="AH166" s="351">
        <f t="shared" si="137"/>
        <v>9.167008101940156E-12</v>
      </c>
      <c r="AI166" s="351">
        <f t="shared" si="137"/>
        <v>9.167008101940156E-12</v>
      </c>
      <c r="AJ166" s="351">
        <f t="shared" si="137"/>
        <v>9.167008101940156E-12</v>
      </c>
      <c r="AK166" s="351">
        <f t="shared" si="137"/>
        <v>9.167008101940156E-12</v>
      </c>
      <c r="AL166" s="351">
        <f t="shared" si="137"/>
        <v>9.167008101940156E-12</v>
      </c>
      <c r="AM166" s="351">
        <f t="shared" si="137"/>
        <v>9.167008101940156E-12</v>
      </c>
      <c r="AN166" s="337"/>
      <c r="AO166" s="336"/>
      <c r="AP166" s="336"/>
      <c r="AQ166" s="336"/>
      <c r="AR166" s="336"/>
      <c r="AS166" s="336"/>
      <c r="AT166" s="336"/>
      <c r="AU166" s="336"/>
      <c r="AV166" s="336"/>
      <c r="AW166" s="336"/>
      <c r="AX166" s="338"/>
    </row>
    <row r="167" spans="1:50" s="339" customFormat="1" ht="15.75" customHeight="1" x14ac:dyDescent="0.3">
      <c r="A167" s="131"/>
      <c r="B167" s="183" t="s">
        <v>5179</v>
      </c>
      <c r="C167" s="183"/>
      <c r="D167" s="183"/>
      <c r="E167" s="183"/>
      <c r="F167" s="183"/>
      <c r="G167" s="195">
        <v>1</v>
      </c>
      <c r="H167" s="195">
        <v>1</v>
      </c>
      <c r="I167" s="195">
        <f>2%*I163</f>
        <v>35451.833677712057</v>
      </c>
      <c r="J167" s="195"/>
      <c r="K167" s="195"/>
      <c r="L167" s="195">
        <f t="shared" si="133"/>
        <v>-35451.833677712057</v>
      </c>
      <c r="M167" s="1"/>
      <c r="N167" s="1"/>
      <c r="O167" s="195">
        <f>IF(AND($G167&lt;=O$3,O$3&lt;=$H167),-$I167,0)</f>
        <v>-35451.833677712057</v>
      </c>
      <c r="P167" s="195">
        <f t="shared" ref="P167:AM167" si="138">IF(AND($G167&lt;=P$3,P$3&lt;=$H167),-$I167,0)</f>
        <v>0</v>
      </c>
      <c r="Q167" s="195">
        <f t="shared" si="138"/>
        <v>0</v>
      </c>
      <c r="R167" s="195">
        <f t="shared" si="138"/>
        <v>0</v>
      </c>
      <c r="S167" s="195">
        <f t="shared" si="138"/>
        <v>0</v>
      </c>
      <c r="T167" s="195">
        <f t="shared" si="138"/>
        <v>0</v>
      </c>
      <c r="U167" s="195">
        <f t="shared" si="138"/>
        <v>0</v>
      </c>
      <c r="V167" s="195">
        <f t="shared" si="138"/>
        <v>0</v>
      </c>
      <c r="W167" s="195">
        <f t="shared" si="138"/>
        <v>0</v>
      </c>
      <c r="X167" s="195">
        <f t="shared" si="138"/>
        <v>0</v>
      </c>
      <c r="Y167" s="195">
        <f t="shared" si="138"/>
        <v>0</v>
      </c>
      <c r="Z167" s="195">
        <f t="shared" si="138"/>
        <v>0</v>
      </c>
      <c r="AA167" s="195">
        <f t="shared" si="138"/>
        <v>0</v>
      </c>
      <c r="AB167" s="195">
        <f t="shared" si="138"/>
        <v>0</v>
      </c>
      <c r="AC167" s="195">
        <f t="shared" si="138"/>
        <v>0</v>
      </c>
      <c r="AD167" s="195">
        <f t="shared" si="138"/>
        <v>0</v>
      </c>
      <c r="AE167" s="195">
        <f t="shared" si="138"/>
        <v>0</v>
      </c>
      <c r="AF167" s="195">
        <f t="shared" si="138"/>
        <v>0</v>
      </c>
      <c r="AG167" s="195">
        <f t="shared" si="138"/>
        <v>0</v>
      </c>
      <c r="AH167" s="195">
        <f t="shared" si="138"/>
        <v>0</v>
      </c>
      <c r="AI167" s="195">
        <f t="shared" si="138"/>
        <v>0</v>
      </c>
      <c r="AJ167" s="195">
        <f t="shared" si="138"/>
        <v>0</v>
      </c>
      <c r="AK167" s="195">
        <f t="shared" si="138"/>
        <v>0</v>
      </c>
      <c r="AL167" s="195">
        <f t="shared" si="138"/>
        <v>0</v>
      </c>
      <c r="AM167" s="195">
        <f t="shared" si="138"/>
        <v>0</v>
      </c>
      <c r="AN167" s="337"/>
      <c r="AO167" s="336"/>
      <c r="AP167" s="336"/>
      <c r="AQ167" s="336"/>
      <c r="AR167" s="336"/>
      <c r="AS167" s="336"/>
      <c r="AT167" s="336"/>
      <c r="AU167" s="336"/>
      <c r="AV167" s="336"/>
      <c r="AW167" s="336"/>
      <c r="AX167" s="338"/>
    </row>
    <row r="168" spans="1:50" ht="15.75" customHeight="1" x14ac:dyDescent="0.3">
      <c r="A168" s="131"/>
      <c r="B168" s="114" t="s">
        <v>5182</v>
      </c>
      <c r="C168" s="114"/>
      <c r="D168" s="114"/>
      <c r="E168" s="114"/>
      <c r="F168" s="114"/>
      <c r="G168" s="114"/>
      <c r="H168" s="114"/>
      <c r="I168" s="114"/>
      <c r="J168" s="114"/>
      <c r="K168" s="115"/>
      <c r="L168" s="115">
        <f>L162+L153</f>
        <v>4908572.4950994747</v>
      </c>
      <c r="M168" s="1"/>
      <c r="N168" s="1"/>
      <c r="O168" s="349">
        <f>O153+O162</f>
        <v>-1712859.2276799099</v>
      </c>
      <c r="P168" s="349">
        <f t="shared" ref="P168:AM168" si="139">P153+P162</f>
        <v>278350.83125346183</v>
      </c>
      <c r="Q168" s="349">
        <f t="shared" si="139"/>
        <v>277825.91044488887</v>
      </c>
      <c r="R168" s="349">
        <f t="shared" si="139"/>
        <v>308954.16007400653</v>
      </c>
      <c r="S168" s="349">
        <f t="shared" si="139"/>
        <v>-1066007.5803573607</v>
      </c>
      <c r="T168" s="349">
        <f t="shared" si="139"/>
        <v>327987.22889455123</v>
      </c>
      <c r="U168" s="349">
        <f t="shared" si="139"/>
        <v>350602.82808597822</v>
      </c>
      <c r="V168" s="349">
        <f t="shared" si="139"/>
        <v>504968.81769519602</v>
      </c>
      <c r="W168" s="349">
        <f t="shared" si="139"/>
        <v>439072.64693660627</v>
      </c>
      <c r="X168" s="349">
        <f t="shared" si="139"/>
        <v>651037.54811123805</v>
      </c>
      <c r="Y168" s="349">
        <f t="shared" si="139"/>
        <v>-740386.06875682762</v>
      </c>
      <c r="Z168" s="349">
        <f t="shared" si="139"/>
        <v>651535.17977266968</v>
      </c>
      <c r="AA168" s="349">
        <f t="shared" si="139"/>
        <v>64107.238592891008</v>
      </c>
      <c r="AB168" s="349">
        <f t="shared" si="139"/>
        <v>652032.8114341012</v>
      </c>
      <c r="AC168" s="349">
        <f t="shared" si="139"/>
        <v>648025.30204597174</v>
      </c>
      <c r="AD168" s="349">
        <f t="shared" si="139"/>
        <v>-868740.63931482064</v>
      </c>
      <c r="AE168" s="349">
        <f t="shared" si="139"/>
        <v>607292.03538873815</v>
      </c>
      <c r="AF168" s="349">
        <f t="shared" si="139"/>
        <v>475083.08912636596</v>
      </c>
      <c r="AG168" s="349">
        <f t="shared" si="139"/>
        <v>649020.565368835</v>
      </c>
      <c r="AH168" s="349">
        <f t="shared" si="139"/>
        <v>653525.70641839609</v>
      </c>
      <c r="AI168" s="349">
        <f t="shared" si="139"/>
        <v>-747913.27876833489</v>
      </c>
      <c r="AJ168" s="349">
        <f t="shared" si="139"/>
        <v>654023.3380798276</v>
      </c>
      <c r="AK168" s="349">
        <f t="shared" si="139"/>
        <v>504444.72993708774</v>
      </c>
      <c r="AL168" s="349">
        <f t="shared" si="139"/>
        <v>654520.96974125924</v>
      </c>
      <c r="AM168" s="349">
        <f t="shared" si="139"/>
        <v>692068.35257465916</v>
      </c>
      <c r="AN168" s="175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221"/>
    </row>
    <row r="169" spans="1:50" ht="15.75" customHeight="1" x14ac:dyDescent="0.3">
      <c r="A169" s="131"/>
      <c r="B169" s="123" t="s">
        <v>5183</v>
      </c>
      <c r="C169" s="123"/>
      <c r="D169" s="123"/>
      <c r="E169" s="123"/>
      <c r="F169" s="123"/>
      <c r="G169" s="123"/>
      <c r="H169" s="123"/>
      <c r="I169" s="123"/>
      <c r="J169" s="123"/>
      <c r="K169" s="124"/>
      <c r="L169" s="124"/>
      <c r="M169" s="1"/>
      <c r="N169" s="1"/>
      <c r="O169" s="125">
        <f>SUM($O168:O168)</f>
        <v>-1712859.2276799099</v>
      </c>
      <c r="P169" s="125">
        <f>SUM($O168:P168)</f>
        <v>-1434508.3964264481</v>
      </c>
      <c r="Q169" s="125">
        <f>SUM($O168:Q168)</f>
        <v>-1156682.4859815594</v>
      </c>
      <c r="R169" s="125">
        <f>SUM($O168:R168)</f>
        <v>-847728.32590755285</v>
      </c>
      <c r="S169" s="125">
        <f>SUM($O168:S168)</f>
        <v>-1913735.9062649135</v>
      </c>
      <c r="T169" s="125">
        <f>SUM($O168:T168)</f>
        <v>-1585748.6773703622</v>
      </c>
      <c r="U169" s="125">
        <f>SUM($O168:U168)</f>
        <v>-1235145.8492843839</v>
      </c>
      <c r="V169" s="125">
        <f>SUM($O168:V168)</f>
        <v>-730177.03158918791</v>
      </c>
      <c r="W169" s="125">
        <f>SUM($O168:W168)</f>
        <v>-291104.38465258165</v>
      </c>
      <c r="X169" s="125">
        <f>SUM($O168:X168)</f>
        <v>359933.1634586564</v>
      </c>
      <c r="Y169" s="125">
        <f>SUM($O168:Y168)</f>
        <v>-380452.90529817122</v>
      </c>
      <c r="Z169" s="125">
        <f>SUM($O168:Z168)</f>
        <v>271082.27447449847</v>
      </c>
      <c r="AA169" s="125">
        <f>SUM($O168:AA168)</f>
        <v>335189.51306738949</v>
      </c>
      <c r="AB169" s="125">
        <f>SUM($O168:AB168)</f>
        <v>987222.32450149069</v>
      </c>
      <c r="AC169" s="125">
        <f>SUM($O168:AC168)</f>
        <v>1635247.6265474623</v>
      </c>
      <c r="AD169" s="125">
        <f>SUM($O168:AD168)</f>
        <v>766506.98723264167</v>
      </c>
      <c r="AE169" s="125">
        <f>SUM($O168:AE168)</f>
        <v>1373799.0226213797</v>
      </c>
      <c r="AF169" s="125">
        <f>SUM($O168:AF168)</f>
        <v>1848882.1117477457</v>
      </c>
      <c r="AG169" s="125">
        <f>SUM($O168:AG168)</f>
        <v>2497902.6771165808</v>
      </c>
      <c r="AH169" s="125">
        <f>SUM($O168:AH168)</f>
        <v>3151428.3835349767</v>
      </c>
      <c r="AI169" s="125">
        <f>SUM($O168:AI168)</f>
        <v>2403515.1047666417</v>
      </c>
      <c r="AJ169" s="125">
        <f>SUM($O168:AJ168)</f>
        <v>3057538.4428464696</v>
      </c>
      <c r="AK169" s="125">
        <f>SUM($O168:AK168)</f>
        <v>3561983.1727835573</v>
      </c>
      <c r="AL169" s="125">
        <f>SUM($O168:AL168)</f>
        <v>4216504.1425248161</v>
      </c>
      <c r="AM169" s="125">
        <f>SUM($O168:AM168)</f>
        <v>4908572.4950994756</v>
      </c>
      <c r="AN169" s="175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221"/>
    </row>
    <row r="170" spans="1:50" ht="15.75" customHeight="1" x14ac:dyDescent="0.3">
      <c r="A170" s="131"/>
      <c r="B170" s="176"/>
      <c r="C170" s="183"/>
      <c r="D170" s="183"/>
      <c r="E170" s="183"/>
      <c r="F170" s="183"/>
      <c r="G170" s="195"/>
      <c r="H170" s="195"/>
      <c r="I170" s="195"/>
      <c r="J170" s="195"/>
      <c r="K170" s="195"/>
      <c r="L170" s="195"/>
      <c r="M170" s="1"/>
      <c r="N170" s="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75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221"/>
    </row>
    <row r="171" spans="1:50" ht="15.75" customHeight="1" x14ac:dyDescent="0.3">
      <c r="A171" s="131"/>
      <c r="B171" s="332" t="s">
        <v>5180</v>
      </c>
      <c r="C171" s="333"/>
      <c r="D171" s="333"/>
      <c r="E171" s="333"/>
      <c r="F171" s="333"/>
      <c r="G171" s="333"/>
      <c r="H171" s="333"/>
      <c r="I171" s="333"/>
      <c r="J171" s="333"/>
      <c r="K171" s="333"/>
      <c r="L171" s="342"/>
      <c r="M171" s="1"/>
      <c r="N171" s="1"/>
      <c r="O171" s="340"/>
      <c r="P171" s="340"/>
      <c r="Q171" s="340"/>
      <c r="R171" s="340"/>
      <c r="S171" s="340"/>
      <c r="T171" s="340"/>
      <c r="U171" s="340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0"/>
      <c r="AI171" s="340"/>
      <c r="AJ171" s="340"/>
      <c r="AK171" s="340"/>
      <c r="AL171" s="340"/>
      <c r="AM171" s="340"/>
      <c r="AN171" s="175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221"/>
    </row>
    <row r="172" spans="1:50" s="339" customFormat="1" ht="15.75" customHeight="1" x14ac:dyDescent="0.3">
      <c r="A172" s="131"/>
      <c r="B172" s="183" t="s">
        <v>5181</v>
      </c>
      <c r="C172" s="183"/>
      <c r="D172" s="183"/>
      <c r="E172" s="183"/>
      <c r="F172" s="183"/>
      <c r="G172" s="195"/>
      <c r="H172" s="195"/>
      <c r="I172" s="195"/>
      <c r="J172" s="195"/>
      <c r="K172" s="195"/>
      <c r="L172" s="343">
        <f>AVERAGE(O172:AM172)</f>
        <v>2.678106754442569</v>
      </c>
      <c r="M172" s="1"/>
      <c r="N172" s="1"/>
      <c r="O172" s="343"/>
      <c r="P172" s="343">
        <f t="shared" ref="P172:R172" si="140">IF(ROUND(P165,6)=0,0,P148/-P165)</f>
        <v>5.6915610610607441</v>
      </c>
      <c r="Q172" s="343">
        <f t="shared" si="140"/>
        <v>6.9436974696418092</v>
      </c>
      <c r="R172" s="343">
        <f t="shared" si="140"/>
        <v>9.4932080750484342</v>
      </c>
      <c r="S172" s="343">
        <f>IF(ROUND(S165,6)=0,0,S148/-S165)</f>
        <v>14.151956442524998</v>
      </c>
      <c r="T172" s="343">
        <f t="shared" ref="T172:AM172" si="141">IF(ROUND(T165,6)=0,0,T148/-T165)</f>
        <v>27.994139058345677</v>
      </c>
      <c r="U172" s="343">
        <f t="shared" si="141"/>
        <v>0</v>
      </c>
      <c r="V172" s="343">
        <f t="shared" si="141"/>
        <v>0</v>
      </c>
      <c r="W172" s="343">
        <f t="shared" si="141"/>
        <v>0</v>
      </c>
      <c r="X172" s="343">
        <f t="shared" si="141"/>
        <v>0</v>
      </c>
      <c r="Y172" s="343">
        <f t="shared" si="141"/>
        <v>0</v>
      </c>
      <c r="Z172" s="343">
        <f t="shared" si="141"/>
        <v>0</v>
      </c>
      <c r="AA172" s="343">
        <f t="shared" si="141"/>
        <v>0</v>
      </c>
      <c r="AB172" s="343">
        <f t="shared" si="141"/>
        <v>0</v>
      </c>
      <c r="AC172" s="343">
        <f t="shared" si="141"/>
        <v>0</v>
      </c>
      <c r="AD172" s="343">
        <f t="shared" si="141"/>
        <v>0</v>
      </c>
      <c r="AE172" s="343">
        <f t="shared" si="141"/>
        <v>0</v>
      </c>
      <c r="AF172" s="343">
        <f t="shared" si="141"/>
        <v>0</v>
      </c>
      <c r="AG172" s="343">
        <f t="shared" si="141"/>
        <v>0</v>
      </c>
      <c r="AH172" s="343">
        <f t="shared" si="141"/>
        <v>0</v>
      </c>
      <c r="AI172" s="343">
        <f t="shared" si="141"/>
        <v>0</v>
      </c>
      <c r="AJ172" s="343">
        <f t="shared" si="141"/>
        <v>0</v>
      </c>
      <c r="AK172" s="343">
        <f t="shared" si="141"/>
        <v>0</v>
      </c>
      <c r="AL172" s="343">
        <f t="shared" si="141"/>
        <v>0</v>
      </c>
      <c r="AM172" s="343">
        <f t="shared" si="141"/>
        <v>0</v>
      </c>
      <c r="AN172" s="337"/>
      <c r="AO172" s="336"/>
      <c r="AP172" s="336"/>
      <c r="AQ172" s="336"/>
      <c r="AR172" s="336"/>
      <c r="AS172" s="336"/>
      <c r="AT172" s="336"/>
      <c r="AU172" s="336"/>
      <c r="AV172" s="336"/>
      <c r="AW172" s="336"/>
      <c r="AX172" s="338"/>
    </row>
    <row r="173" spans="1:50" ht="15.75" customHeight="1" x14ac:dyDescent="0.3">
      <c r="A173" s="131"/>
      <c r="B173" s="183"/>
      <c r="C173" s="183"/>
      <c r="D173" s="183"/>
      <c r="E173" s="183"/>
      <c r="F173" s="183"/>
      <c r="G173" s="195"/>
      <c r="H173" s="195"/>
      <c r="I173" s="195"/>
      <c r="J173" s="195"/>
      <c r="K173" s="195"/>
      <c r="L173" s="343"/>
      <c r="M173" s="1"/>
      <c r="N173" s="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75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221"/>
    </row>
    <row r="174" spans="1:50" ht="15.75" customHeight="1" x14ac:dyDescent="0.3">
      <c r="A174" s="1"/>
      <c r="B174" s="132" t="s">
        <v>104</v>
      </c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5"/>
      <c r="AO174" s="1"/>
      <c r="AP174" s="1"/>
      <c r="AQ174" s="1"/>
      <c r="AR174" s="1"/>
      <c r="AS174" s="1"/>
      <c r="AT174" s="1"/>
      <c r="AU174" s="1"/>
      <c r="AV174" s="1"/>
      <c r="AW174" s="1"/>
      <c r="AX174" s="221"/>
    </row>
    <row r="175" spans="1:50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5"/>
      <c r="AO175" s="1"/>
      <c r="AP175" s="1"/>
      <c r="AQ175" s="1"/>
      <c r="AR175" s="1"/>
      <c r="AS175" s="1"/>
      <c r="AT175" s="1"/>
      <c r="AU175" s="1"/>
      <c r="AV175" s="1"/>
      <c r="AW175" s="1"/>
      <c r="AX175" s="221"/>
    </row>
    <row r="176" spans="1:50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5"/>
      <c r="AO176" s="1"/>
      <c r="AP176" s="1"/>
      <c r="AQ176" s="1"/>
      <c r="AR176" s="1"/>
      <c r="AS176" s="1"/>
      <c r="AT176" s="1"/>
      <c r="AU176" s="1"/>
      <c r="AV176" s="1"/>
      <c r="AW176" s="1"/>
      <c r="AX176" s="221"/>
    </row>
    <row r="177" spans="1:50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5"/>
      <c r="AO177" s="1"/>
      <c r="AP177" s="1"/>
      <c r="AQ177" s="1"/>
      <c r="AR177" s="1"/>
      <c r="AS177" s="1"/>
      <c r="AT177" s="1"/>
      <c r="AU177" s="1"/>
      <c r="AV177" s="1"/>
      <c r="AW177" s="1"/>
      <c r="AX177" s="221"/>
    </row>
    <row r="178" spans="1:50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5"/>
      <c r="AO178" s="1"/>
      <c r="AP178" s="1"/>
      <c r="AQ178" s="1"/>
      <c r="AR178" s="1"/>
      <c r="AS178" s="1"/>
      <c r="AT178" s="1"/>
      <c r="AU178" s="1"/>
      <c r="AV178" s="1"/>
      <c r="AW178" s="1"/>
      <c r="AX178" s="221"/>
    </row>
    <row r="179" spans="1:50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5"/>
      <c r="AO179" s="1"/>
      <c r="AP179" s="1"/>
      <c r="AQ179" s="1"/>
      <c r="AR179" s="1"/>
      <c r="AS179" s="1"/>
      <c r="AT179" s="1"/>
      <c r="AU179" s="1"/>
      <c r="AV179" s="1"/>
      <c r="AW179" s="1"/>
      <c r="AX179" s="221"/>
    </row>
    <row r="180" spans="1:50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5"/>
      <c r="AO180" s="1"/>
      <c r="AP180" s="1"/>
      <c r="AQ180" s="1"/>
      <c r="AR180" s="1"/>
      <c r="AS180" s="1"/>
      <c r="AT180" s="1"/>
      <c r="AU180" s="1"/>
      <c r="AV180" s="1"/>
      <c r="AW180" s="1"/>
      <c r="AX180" s="221"/>
    </row>
    <row r="181" spans="1:50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5"/>
      <c r="AO181" s="1"/>
      <c r="AP181" s="1"/>
      <c r="AQ181" s="1"/>
      <c r="AR181" s="1"/>
      <c r="AS181" s="1"/>
      <c r="AT181" s="1"/>
      <c r="AU181" s="1"/>
      <c r="AV181" s="1"/>
      <c r="AW181" s="1"/>
      <c r="AX181" s="221"/>
    </row>
    <row r="182" spans="1:50" ht="15.75" customHeight="1" x14ac:dyDescent="0.3">
      <c r="A182" s="1"/>
      <c r="B182" s="132" t="s">
        <v>105</v>
      </c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5"/>
      <c r="AO182" s="1"/>
      <c r="AP182" s="1"/>
      <c r="AQ182" s="1"/>
      <c r="AR182" s="1"/>
      <c r="AS182" s="1"/>
      <c r="AT182" s="1"/>
      <c r="AU182" s="1"/>
      <c r="AV182" s="1"/>
      <c r="AW182" s="1"/>
      <c r="AX182" s="221"/>
    </row>
    <row r="183" spans="1:50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5"/>
      <c r="AO183" s="1"/>
      <c r="AP183" s="1"/>
      <c r="AQ183" s="1"/>
      <c r="AR183" s="1"/>
      <c r="AS183" s="1"/>
      <c r="AT183" s="1"/>
      <c r="AU183" s="1"/>
      <c r="AV183" s="1"/>
      <c r="AW183" s="1"/>
      <c r="AX183" s="221"/>
    </row>
    <row r="184" spans="1:50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5"/>
      <c r="AO184" s="1"/>
      <c r="AP184" s="1"/>
      <c r="AQ184" s="1"/>
      <c r="AR184" s="1"/>
      <c r="AS184" s="1"/>
      <c r="AT184" s="1"/>
      <c r="AU184" s="1"/>
      <c r="AV184" s="1"/>
      <c r="AW184" s="1"/>
      <c r="AX184" s="221"/>
    </row>
    <row r="185" spans="1:50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5"/>
      <c r="AO185" s="1"/>
      <c r="AP185" s="1"/>
      <c r="AQ185" s="1"/>
      <c r="AR185" s="1"/>
      <c r="AS185" s="1"/>
      <c r="AT185" s="1"/>
      <c r="AU185" s="1"/>
      <c r="AV185" s="1"/>
      <c r="AW185" s="1"/>
      <c r="AX185" s="221"/>
    </row>
    <row r="186" spans="1:50" ht="15.75" customHeight="1" x14ac:dyDescent="0.3">
      <c r="A186" s="1"/>
      <c r="B186" s="132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5"/>
      <c r="AO186" s="1"/>
      <c r="AP186" s="1"/>
      <c r="AQ186" s="1"/>
      <c r="AR186" s="1"/>
      <c r="AS186" s="1"/>
      <c r="AT186" s="1"/>
      <c r="AU186" s="1"/>
      <c r="AV186" s="1"/>
      <c r="AW186" s="1"/>
      <c r="AX186" s="221"/>
    </row>
    <row r="187" spans="1:50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5"/>
      <c r="AO187" s="1"/>
      <c r="AP187" s="1"/>
      <c r="AQ187" s="1"/>
      <c r="AR187" s="1"/>
      <c r="AS187" s="1"/>
      <c r="AT187" s="1"/>
      <c r="AU187" s="1"/>
      <c r="AV187" s="1"/>
      <c r="AW187" s="1"/>
      <c r="AX187" s="221"/>
    </row>
    <row r="188" spans="1:50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5"/>
      <c r="AO188" s="1"/>
      <c r="AP188" s="1"/>
      <c r="AQ188" s="1"/>
      <c r="AR188" s="1"/>
      <c r="AS188" s="1"/>
      <c r="AT188" s="1"/>
      <c r="AU188" s="1"/>
      <c r="AV188" s="1"/>
      <c r="AW188" s="1"/>
      <c r="AX188" s="221"/>
    </row>
    <row r="189" spans="1:50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5"/>
      <c r="AO189" s="1"/>
      <c r="AP189" s="1"/>
      <c r="AQ189" s="1"/>
      <c r="AR189" s="1"/>
      <c r="AS189" s="1"/>
      <c r="AT189" s="1"/>
      <c r="AU189" s="1"/>
      <c r="AV189" s="1"/>
      <c r="AW189" s="1"/>
      <c r="AX189" s="221"/>
    </row>
    <row r="190" spans="1:50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5"/>
      <c r="AO190" s="1"/>
      <c r="AP190" s="1"/>
      <c r="AQ190" s="1"/>
      <c r="AR190" s="1"/>
      <c r="AS190" s="1"/>
      <c r="AT190" s="1"/>
      <c r="AU190" s="1"/>
      <c r="AV190" s="1"/>
      <c r="AW190" s="1"/>
      <c r="AX190" s="221"/>
    </row>
    <row r="191" spans="1:50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5"/>
      <c r="AO191" s="1"/>
      <c r="AP191" s="1"/>
      <c r="AQ191" s="1"/>
      <c r="AR191" s="1"/>
      <c r="AS191" s="1"/>
      <c r="AT191" s="1"/>
      <c r="AU191" s="1"/>
      <c r="AV191" s="1"/>
      <c r="AW191" s="1"/>
      <c r="AX191" s="221"/>
    </row>
    <row r="192" spans="1:50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5"/>
      <c r="AO192" s="1"/>
      <c r="AP192" s="1"/>
      <c r="AQ192" s="1"/>
      <c r="AR192" s="1"/>
      <c r="AS192" s="1"/>
      <c r="AT192" s="1"/>
      <c r="AU192" s="1"/>
      <c r="AV192" s="1"/>
      <c r="AW192" s="1"/>
    </row>
    <row r="193" spans="1:50" ht="15.75" customHeight="1" x14ac:dyDescent="0.3">
      <c r="A193" s="1"/>
      <c r="B193" s="132" t="s">
        <v>89</v>
      </c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5"/>
      <c r="AO193" s="1"/>
      <c r="AP193" s="1"/>
      <c r="AQ193" s="1"/>
      <c r="AR193" s="1"/>
      <c r="AS193" s="1"/>
      <c r="AT193" s="1"/>
      <c r="AU193" s="1"/>
      <c r="AV193" s="1"/>
      <c r="AW193" s="1"/>
    </row>
    <row r="194" spans="1:50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J194" s="1"/>
      <c r="AK194" s="1"/>
      <c r="AL194" s="1"/>
      <c r="AM194" s="1"/>
      <c r="AN194" s="5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50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5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50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5"/>
      <c r="AO196" s="1"/>
      <c r="AP196" s="1"/>
      <c r="AQ196" s="1"/>
      <c r="AR196" s="1"/>
      <c r="AS196" s="1"/>
      <c r="AT196" s="1"/>
      <c r="AU196" s="1"/>
      <c r="AV196" s="1"/>
      <c r="AW196" s="1"/>
    </row>
    <row r="197" spans="1:50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5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50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60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5"/>
      <c r="AO198" s="1"/>
      <c r="AP198" s="1"/>
      <c r="AQ198" s="1"/>
      <c r="AR198" s="1"/>
      <c r="AS198" s="1"/>
      <c r="AT198" s="1"/>
      <c r="AU198" s="1"/>
      <c r="AV198" s="1"/>
      <c r="AW198" s="1"/>
    </row>
    <row r="199" spans="1:50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5"/>
      <c r="AO199" s="1"/>
      <c r="AP199" s="1"/>
      <c r="AQ199" s="1"/>
      <c r="AR199" s="1"/>
      <c r="AS199" s="1"/>
      <c r="AT199" s="1"/>
      <c r="AU199" s="1"/>
      <c r="AV199" s="1"/>
      <c r="AW199" s="1"/>
    </row>
    <row r="200" spans="1:50" ht="15.75" customHeight="1" x14ac:dyDescent="0.3">
      <c r="A200" s="1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5"/>
      <c r="AO200" s="1"/>
      <c r="AP200" s="1"/>
      <c r="AQ200" s="1"/>
      <c r="AR200" s="1"/>
      <c r="AS200" s="1"/>
      <c r="AT200" s="1"/>
      <c r="AU200" s="1"/>
      <c r="AV200" s="1"/>
      <c r="AW200" s="1"/>
    </row>
    <row r="201" spans="1:50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5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50" ht="15.75" customHeight="1" x14ac:dyDescent="0.3">
      <c r="A202" s="1"/>
      <c r="B202" s="321" t="s">
        <v>106</v>
      </c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1"/>
      <c r="N202" s="1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5"/>
      <c r="AO202" s="10"/>
      <c r="AP202" s="10"/>
      <c r="AQ202" s="10"/>
      <c r="AR202" s="10"/>
      <c r="AS202" s="10"/>
      <c r="AT202" s="10"/>
      <c r="AU202" s="10"/>
      <c r="AV202" s="10"/>
      <c r="AW202" s="1"/>
    </row>
    <row r="203" spans="1:50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5"/>
      <c r="AO203" s="1"/>
      <c r="AP203" s="1"/>
      <c r="AQ203" s="1"/>
      <c r="AR203" s="1"/>
      <c r="AS203" s="1"/>
      <c r="AT203" s="1"/>
      <c r="AU203" s="1"/>
      <c r="AV203" s="1"/>
      <c r="AW203" s="1"/>
    </row>
    <row r="204" spans="1:50" ht="15.75" customHeight="1" x14ac:dyDescent="0.3">
      <c r="A204" s="60"/>
      <c r="B204" s="68" t="s">
        <v>107</v>
      </c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1"/>
      <c r="N204" s="1"/>
      <c r="O204" s="120" t="str">
        <f>IF(SUM(O211,O222,O226,O230)&lt;SUM(O236,O248,O252,O256),"Presumido","Real")</f>
        <v>Presumido</v>
      </c>
      <c r="P204" s="120" t="s">
        <v>108</v>
      </c>
      <c r="Q204" s="120" t="s">
        <v>108</v>
      </c>
      <c r="R204" s="120" t="s">
        <v>108</v>
      </c>
      <c r="S204" s="120" t="s">
        <v>108</v>
      </c>
      <c r="T204" s="120" t="s">
        <v>108</v>
      </c>
      <c r="U204" s="120" t="s">
        <v>108</v>
      </c>
      <c r="V204" s="120" t="s">
        <v>108</v>
      </c>
      <c r="W204" s="120" t="s">
        <v>108</v>
      </c>
      <c r="X204" s="120" t="s">
        <v>108</v>
      </c>
      <c r="Y204" s="120" t="s">
        <v>108</v>
      </c>
      <c r="Z204" s="120" t="s">
        <v>108</v>
      </c>
      <c r="AA204" s="120" t="s">
        <v>108</v>
      </c>
      <c r="AB204" s="120" t="s">
        <v>108</v>
      </c>
      <c r="AC204" s="120" t="s">
        <v>108</v>
      </c>
      <c r="AD204" s="120" t="s">
        <v>108</v>
      </c>
      <c r="AE204" s="120" t="s">
        <v>108</v>
      </c>
      <c r="AF204" s="120" t="s">
        <v>108</v>
      </c>
      <c r="AG204" s="120" t="s">
        <v>108</v>
      </c>
      <c r="AH204" s="120" t="s">
        <v>108</v>
      </c>
      <c r="AI204" s="120" t="s">
        <v>108</v>
      </c>
      <c r="AJ204" s="120" t="s">
        <v>108</v>
      </c>
      <c r="AK204" s="120" t="s">
        <v>108</v>
      </c>
      <c r="AL204" s="120" t="s">
        <v>108</v>
      </c>
      <c r="AM204" s="120" t="s">
        <v>108</v>
      </c>
      <c r="AN204" s="5"/>
      <c r="AO204" s="120"/>
      <c r="AP204" s="120"/>
      <c r="AQ204" s="120"/>
      <c r="AR204" s="120"/>
      <c r="AS204" s="120"/>
      <c r="AT204" s="120"/>
      <c r="AU204" s="120"/>
      <c r="AV204" s="120"/>
      <c r="AW204" s="60"/>
    </row>
    <row r="205" spans="1:50" ht="15.75" customHeight="1" x14ac:dyDescent="0.3">
      <c r="A205" s="1"/>
      <c r="B205" s="94"/>
      <c r="C205" s="94" t="s">
        <v>109</v>
      </c>
      <c r="D205" s="94"/>
      <c r="E205" s="94"/>
      <c r="F205" s="94"/>
      <c r="G205" s="94"/>
      <c r="H205" s="94"/>
      <c r="I205" s="94"/>
      <c r="J205" s="94"/>
      <c r="K205" s="94"/>
      <c r="L205" s="94"/>
      <c r="M205" s="1"/>
      <c r="N205" s="1"/>
      <c r="O205" s="97">
        <f t="shared" ref="O205:AM205" si="142">IF(O$204="Presumido",O211,O236)</f>
        <v>20181.728491392652</v>
      </c>
      <c r="P205" s="97">
        <f t="shared" si="142"/>
        <v>60545.185474178019</v>
      </c>
      <c r="Q205" s="97">
        <f t="shared" si="142"/>
        <v>60545.185474178019</v>
      </c>
      <c r="R205" s="97">
        <f t="shared" si="142"/>
        <v>60545.185474178019</v>
      </c>
      <c r="S205" s="97">
        <f t="shared" si="142"/>
        <v>60545.185474178019</v>
      </c>
      <c r="T205" s="97">
        <f t="shared" si="142"/>
        <v>60545.185474178019</v>
      </c>
      <c r="U205" s="97">
        <f t="shared" si="142"/>
        <v>60545.185474178019</v>
      </c>
      <c r="V205" s="97">
        <f t="shared" si="142"/>
        <v>60545.185474178019</v>
      </c>
      <c r="W205" s="97">
        <f t="shared" si="142"/>
        <v>60545.185474178019</v>
      </c>
      <c r="X205" s="97">
        <f t="shared" si="142"/>
        <v>60545.185474178019</v>
      </c>
      <c r="Y205" s="97">
        <f t="shared" si="142"/>
        <v>60545.185474178019</v>
      </c>
      <c r="Z205" s="97">
        <f t="shared" si="142"/>
        <v>60545.185474178019</v>
      </c>
      <c r="AA205" s="97">
        <f t="shared" si="142"/>
        <v>60545.185474178019</v>
      </c>
      <c r="AB205" s="97">
        <f t="shared" si="142"/>
        <v>60545.185474178019</v>
      </c>
      <c r="AC205" s="97">
        <f t="shared" si="142"/>
        <v>60545.185474178019</v>
      </c>
      <c r="AD205" s="97">
        <f t="shared" si="142"/>
        <v>60545.185474178019</v>
      </c>
      <c r="AE205" s="97">
        <f t="shared" si="142"/>
        <v>60545.185474178019</v>
      </c>
      <c r="AF205" s="97">
        <f t="shared" si="142"/>
        <v>60545.185474178019</v>
      </c>
      <c r="AG205" s="97">
        <f t="shared" si="142"/>
        <v>60545.185474178019</v>
      </c>
      <c r="AH205" s="97">
        <f t="shared" si="142"/>
        <v>60545.185474178019</v>
      </c>
      <c r="AI205" s="97">
        <f t="shared" si="142"/>
        <v>60545.185474178019</v>
      </c>
      <c r="AJ205" s="97">
        <f t="shared" si="142"/>
        <v>60545.185474178019</v>
      </c>
      <c r="AK205" s="97">
        <f t="shared" si="142"/>
        <v>60545.185474178019</v>
      </c>
      <c r="AL205" s="97">
        <f t="shared" si="142"/>
        <v>60545.185474178019</v>
      </c>
      <c r="AM205" s="97">
        <f t="shared" si="142"/>
        <v>60545.185474178019</v>
      </c>
      <c r="AN205" s="5"/>
      <c r="AO205" s="97"/>
      <c r="AP205" s="97"/>
      <c r="AQ205" s="97"/>
      <c r="AR205" s="97"/>
      <c r="AS205" s="97"/>
      <c r="AT205" s="97"/>
      <c r="AU205" s="97"/>
      <c r="AV205" s="97"/>
      <c r="AW205" s="1"/>
      <c r="AX205" s="303"/>
    </row>
    <row r="206" spans="1:50" ht="15.75" customHeight="1" x14ac:dyDescent="0.3">
      <c r="A206" s="1"/>
      <c r="B206" s="53"/>
      <c r="C206" s="53" t="s">
        <v>75</v>
      </c>
      <c r="D206" s="53"/>
      <c r="E206" s="53"/>
      <c r="F206" s="53"/>
      <c r="G206" s="53"/>
      <c r="H206" s="53"/>
      <c r="I206" s="53"/>
      <c r="J206" s="53"/>
      <c r="K206" s="53"/>
      <c r="L206" s="53"/>
      <c r="M206" s="1"/>
      <c r="N206" s="1"/>
      <c r="O206" s="54">
        <f>O260</f>
        <v>11058.481365146661</v>
      </c>
      <c r="P206" s="54">
        <f t="shared" ref="P206:AM206" si="143">P260</f>
        <v>33175.444095440012</v>
      </c>
      <c r="Q206" s="54">
        <f t="shared" si="143"/>
        <v>33175.444095440012</v>
      </c>
      <c r="R206" s="54">
        <f t="shared" si="143"/>
        <v>33175.444095440012</v>
      </c>
      <c r="S206" s="54">
        <f t="shared" si="143"/>
        <v>33175.444095440012</v>
      </c>
      <c r="T206" s="54">
        <f t="shared" si="143"/>
        <v>33175.444095440012</v>
      </c>
      <c r="U206" s="54">
        <f t="shared" si="143"/>
        <v>33175.444095440012</v>
      </c>
      <c r="V206" s="54">
        <f t="shared" si="143"/>
        <v>33175.444095440012</v>
      </c>
      <c r="W206" s="54">
        <f t="shared" si="143"/>
        <v>33175.444095440012</v>
      </c>
      <c r="X206" s="54">
        <f t="shared" si="143"/>
        <v>33175.444095440012</v>
      </c>
      <c r="Y206" s="54">
        <f t="shared" si="143"/>
        <v>33175.444095440012</v>
      </c>
      <c r="Z206" s="54">
        <f t="shared" si="143"/>
        <v>33175.444095440012</v>
      </c>
      <c r="AA206" s="54">
        <f t="shared" si="143"/>
        <v>33175.444095440012</v>
      </c>
      <c r="AB206" s="54">
        <f t="shared" si="143"/>
        <v>33175.444095440012</v>
      </c>
      <c r="AC206" s="54">
        <f t="shared" si="143"/>
        <v>33175.444095440012</v>
      </c>
      <c r="AD206" s="54">
        <f t="shared" si="143"/>
        <v>33175.444095440012</v>
      </c>
      <c r="AE206" s="54">
        <f t="shared" si="143"/>
        <v>33175.444095440012</v>
      </c>
      <c r="AF206" s="54">
        <f t="shared" si="143"/>
        <v>33175.444095440012</v>
      </c>
      <c r="AG206" s="54">
        <f t="shared" si="143"/>
        <v>33175.444095440012</v>
      </c>
      <c r="AH206" s="54">
        <f t="shared" si="143"/>
        <v>33175.444095440012</v>
      </c>
      <c r="AI206" s="54">
        <f t="shared" si="143"/>
        <v>33175.444095440012</v>
      </c>
      <c r="AJ206" s="54">
        <f t="shared" si="143"/>
        <v>33175.444095440012</v>
      </c>
      <c r="AK206" s="54">
        <f t="shared" si="143"/>
        <v>33175.444095440012</v>
      </c>
      <c r="AL206" s="54">
        <f t="shared" si="143"/>
        <v>33175.444095440012</v>
      </c>
      <c r="AM206" s="54">
        <f t="shared" si="143"/>
        <v>33175.444095440012</v>
      </c>
      <c r="AN206" s="5"/>
      <c r="AO206" s="54"/>
      <c r="AP206" s="54"/>
      <c r="AQ206" s="54"/>
      <c r="AR206" s="54"/>
      <c r="AS206" s="54"/>
      <c r="AT206" s="54"/>
      <c r="AU206" s="54"/>
      <c r="AV206" s="54"/>
      <c r="AW206" s="1"/>
      <c r="AX206" s="221"/>
    </row>
    <row r="207" spans="1:50" ht="15.75" customHeight="1" x14ac:dyDescent="0.3">
      <c r="A207" s="1"/>
      <c r="B207" s="55"/>
      <c r="C207" s="55" t="s">
        <v>88</v>
      </c>
      <c r="D207" s="55"/>
      <c r="E207" s="55"/>
      <c r="F207" s="55"/>
      <c r="G207" s="55"/>
      <c r="H207" s="55"/>
      <c r="I207" s="55"/>
      <c r="J207" s="55"/>
      <c r="K207" s="55"/>
      <c r="L207" s="55"/>
      <c r="M207" s="1"/>
      <c r="N207" s="1"/>
      <c r="O207" s="330">
        <f t="shared" ref="O207:AM207" si="144">IF(O$204="Presumido",O222+O226+O230,O247+O251+O255)</f>
        <v>42464.568442163181</v>
      </c>
      <c r="P207" s="330">
        <f t="shared" si="144"/>
        <v>156474.41587919366</v>
      </c>
      <c r="Q207" s="330">
        <f t="shared" si="144"/>
        <v>156474.41587919366</v>
      </c>
      <c r="R207" s="330">
        <f t="shared" si="144"/>
        <v>156474.41587919366</v>
      </c>
      <c r="S207" s="330">
        <f t="shared" si="144"/>
        <v>156474.41587919366</v>
      </c>
      <c r="T207" s="330">
        <f t="shared" si="144"/>
        <v>156474.41587919366</v>
      </c>
      <c r="U207" s="330">
        <f t="shared" si="144"/>
        <v>156474.41587919366</v>
      </c>
      <c r="V207" s="330">
        <f t="shared" si="144"/>
        <v>156474.41587919366</v>
      </c>
      <c r="W207" s="330">
        <f t="shared" si="144"/>
        <v>156474.41587919366</v>
      </c>
      <c r="X207" s="330">
        <f t="shared" si="144"/>
        <v>156474.41587919366</v>
      </c>
      <c r="Y207" s="330">
        <f t="shared" si="144"/>
        <v>156474.41587919366</v>
      </c>
      <c r="Z207" s="330">
        <f t="shared" si="144"/>
        <v>156474.41587919366</v>
      </c>
      <c r="AA207" s="330">
        <f t="shared" si="144"/>
        <v>156474.41587919366</v>
      </c>
      <c r="AB207" s="330">
        <f t="shared" si="144"/>
        <v>156474.41587919366</v>
      </c>
      <c r="AC207" s="330">
        <f t="shared" si="144"/>
        <v>156474.41587919366</v>
      </c>
      <c r="AD207" s="330">
        <f t="shared" si="144"/>
        <v>156474.41587919366</v>
      </c>
      <c r="AE207" s="330">
        <f t="shared" si="144"/>
        <v>156474.41587919366</v>
      </c>
      <c r="AF207" s="330">
        <f t="shared" si="144"/>
        <v>156474.41587919366</v>
      </c>
      <c r="AG207" s="330">
        <f t="shared" si="144"/>
        <v>156474.41587919366</v>
      </c>
      <c r="AH207" s="330">
        <f t="shared" si="144"/>
        <v>156474.41587919366</v>
      </c>
      <c r="AI207" s="330">
        <f t="shared" si="144"/>
        <v>156474.41587919366</v>
      </c>
      <c r="AJ207" s="330">
        <f t="shared" si="144"/>
        <v>156474.41587919366</v>
      </c>
      <c r="AK207" s="330">
        <f t="shared" si="144"/>
        <v>156474.41587919366</v>
      </c>
      <c r="AL207" s="330">
        <f t="shared" si="144"/>
        <v>156474.41587919366</v>
      </c>
      <c r="AM207" s="330">
        <f t="shared" si="144"/>
        <v>156474.41587919366</v>
      </c>
      <c r="AN207" s="5"/>
      <c r="AO207" s="59"/>
      <c r="AP207" s="59"/>
      <c r="AQ207" s="59"/>
      <c r="AR207" s="59"/>
      <c r="AS207" s="59"/>
      <c r="AT207" s="59"/>
      <c r="AU207" s="59"/>
      <c r="AV207" s="59"/>
      <c r="AW207" s="1"/>
      <c r="AX207" s="221"/>
    </row>
    <row r="208" spans="1:50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5"/>
      <c r="AO208" s="1"/>
      <c r="AP208" s="1"/>
      <c r="AQ208" s="1"/>
      <c r="AR208" s="1"/>
      <c r="AS208" s="1"/>
      <c r="AT208" s="1"/>
      <c r="AU208" s="1"/>
      <c r="AV208" s="1"/>
      <c r="AW208" s="1"/>
      <c r="AX208" s="221"/>
    </row>
    <row r="209" spans="1:50" ht="15.75" customHeight="1" x14ac:dyDescent="0.3">
      <c r="A209" s="134"/>
      <c r="B209" s="135"/>
      <c r="C209" s="68" t="s">
        <v>110</v>
      </c>
      <c r="D209" s="197"/>
      <c r="E209" s="135"/>
      <c r="F209" s="135"/>
      <c r="G209" s="135"/>
      <c r="H209" s="135"/>
      <c r="I209" s="76"/>
      <c r="J209" s="135"/>
      <c r="K209" s="135"/>
      <c r="L209" s="135"/>
      <c r="M209" s="1"/>
      <c r="N209" s="1"/>
      <c r="O209" s="69">
        <f t="shared" ref="O209:AM209" si="145">O211+O222+O226+O230</f>
        <v>62646.29693355583</v>
      </c>
      <c r="P209" s="69">
        <f t="shared" si="145"/>
        <v>217019.60135337169</v>
      </c>
      <c r="Q209" s="69">
        <f t="shared" si="145"/>
        <v>217019.60135337169</v>
      </c>
      <c r="R209" s="69">
        <f t="shared" si="145"/>
        <v>217019.60135337169</v>
      </c>
      <c r="S209" s="69">
        <f t="shared" si="145"/>
        <v>217019.60135337169</v>
      </c>
      <c r="T209" s="69">
        <f t="shared" si="145"/>
        <v>217019.60135337169</v>
      </c>
      <c r="U209" s="69">
        <f t="shared" si="145"/>
        <v>217019.60135337169</v>
      </c>
      <c r="V209" s="69">
        <f t="shared" si="145"/>
        <v>217019.60135337169</v>
      </c>
      <c r="W209" s="69">
        <f t="shared" si="145"/>
        <v>217019.60135337169</v>
      </c>
      <c r="X209" s="69">
        <f t="shared" si="145"/>
        <v>217019.60135337169</v>
      </c>
      <c r="Y209" s="69">
        <f t="shared" si="145"/>
        <v>217019.60135337169</v>
      </c>
      <c r="Z209" s="69">
        <f t="shared" si="145"/>
        <v>217019.60135337169</v>
      </c>
      <c r="AA209" s="69">
        <f t="shared" si="145"/>
        <v>217019.60135337169</v>
      </c>
      <c r="AB209" s="69">
        <f t="shared" si="145"/>
        <v>217019.60135337169</v>
      </c>
      <c r="AC209" s="69">
        <f t="shared" si="145"/>
        <v>217019.60135337169</v>
      </c>
      <c r="AD209" s="69">
        <f t="shared" si="145"/>
        <v>217019.60135337169</v>
      </c>
      <c r="AE209" s="69">
        <f t="shared" si="145"/>
        <v>217019.60135337169</v>
      </c>
      <c r="AF209" s="69">
        <f t="shared" si="145"/>
        <v>217019.60135337169</v>
      </c>
      <c r="AG209" s="69">
        <f t="shared" si="145"/>
        <v>217019.60135337169</v>
      </c>
      <c r="AH209" s="69">
        <f t="shared" si="145"/>
        <v>217019.60135337169</v>
      </c>
      <c r="AI209" s="69">
        <f t="shared" si="145"/>
        <v>217019.60135337169</v>
      </c>
      <c r="AJ209" s="69">
        <f t="shared" si="145"/>
        <v>217019.60135337169</v>
      </c>
      <c r="AK209" s="69">
        <f t="shared" si="145"/>
        <v>217019.60135337169</v>
      </c>
      <c r="AL209" s="69">
        <f t="shared" si="145"/>
        <v>217019.60135337169</v>
      </c>
      <c r="AM209" s="69">
        <f t="shared" si="145"/>
        <v>217019.60135337169</v>
      </c>
      <c r="AN209" s="5"/>
      <c r="AO209" s="136"/>
      <c r="AP209" s="136"/>
      <c r="AQ209" s="136"/>
      <c r="AR209" s="136"/>
      <c r="AS209" s="136"/>
      <c r="AT209" s="136"/>
      <c r="AU209" s="136"/>
      <c r="AV209" s="136"/>
      <c r="AW209" s="134"/>
      <c r="AX209" s="221"/>
    </row>
    <row r="210" spans="1:50" ht="15.75" customHeight="1" x14ac:dyDescent="0.3">
      <c r="A210" s="1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1"/>
      <c r="N210" s="1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5"/>
      <c r="AO210" s="25"/>
      <c r="AP210" s="25"/>
      <c r="AQ210" s="25"/>
      <c r="AR210" s="25"/>
      <c r="AS210" s="25"/>
      <c r="AT210" s="25"/>
      <c r="AU210" s="25"/>
      <c r="AV210" s="25"/>
      <c r="AW210" s="1"/>
      <c r="AX210" s="221"/>
    </row>
    <row r="211" spans="1:50" ht="15.75" customHeight="1" x14ac:dyDescent="0.3">
      <c r="A211" s="60"/>
      <c r="B211" s="60"/>
      <c r="C211" s="60" t="s">
        <v>111</v>
      </c>
      <c r="D211" s="60"/>
      <c r="E211" s="60"/>
      <c r="F211" s="60"/>
      <c r="G211" s="60"/>
      <c r="H211" s="60"/>
      <c r="I211" s="137">
        <v>3.6499999999999998E-2</v>
      </c>
      <c r="J211" s="60"/>
      <c r="K211" s="60"/>
      <c r="L211" s="60"/>
      <c r="M211" s="1"/>
      <c r="N211" s="1"/>
      <c r="O211" s="109">
        <f t="shared" ref="O211:AM211" si="146">$I211*(O213-O214)</f>
        <v>20181.728491392652</v>
      </c>
      <c r="P211" s="109">
        <f t="shared" si="146"/>
        <v>60545.185474178019</v>
      </c>
      <c r="Q211" s="109">
        <f t="shared" si="146"/>
        <v>60545.185474178019</v>
      </c>
      <c r="R211" s="109">
        <f t="shared" si="146"/>
        <v>60545.185474178019</v>
      </c>
      <c r="S211" s="109">
        <f t="shared" si="146"/>
        <v>60545.185474178019</v>
      </c>
      <c r="T211" s="109">
        <f t="shared" si="146"/>
        <v>60545.185474178019</v>
      </c>
      <c r="U211" s="109">
        <f t="shared" si="146"/>
        <v>60545.185474178019</v>
      </c>
      <c r="V211" s="109">
        <f t="shared" si="146"/>
        <v>60545.185474178019</v>
      </c>
      <c r="W211" s="109">
        <f t="shared" si="146"/>
        <v>60545.185474178019</v>
      </c>
      <c r="X211" s="109">
        <f t="shared" si="146"/>
        <v>60545.185474178019</v>
      </c>
      <c r="Y211" s="109">
        <f t="shared" si="146"/>
        <v>60545.185474178019</v>
      </c>
      <c r="Z211" s="109">
        <f t="shared" si="146"/>
        <v>60545.185474178019</v>
      </c>
      <c r="AA211" s="109">
        <f t="shared" si="146"/>
        <v>60545.185474178019</v>
      </c>
      <c r="AB211" s="109">
        <f t="shared" si="146"/>
        <v>60545.185474178019</v>
      </c>
      <c r="AC211" s="109">
        <f t="shared" si="146"/>
        <v>60545.185474178019</v>
      </c>
      <c r="AD211" s="109">
        <f t="shared" si="146"/>
        <v>60545.185474178019</v>
      </c>
      <c r="AE211" s="109">
        <f t="shared" si="146"/>
        <v>60545.185474178019</v>
      </c>
      <c r="AF211" s="109">
        <f t="shared" si="146"/>
        <v>60545.185474178019</v>
      </c>
      <c r="AG211" s="109">
        <f t="shared" si="146"/>
        <v>60545.185474178019</v>
      </c>
      <c r="AH211" s="109">
        <f t="shared" si="146"/>
        <v>60545.185474178019</v>
      </c>
      <c r="AI211" s="109">
        <f t="shared" si="146"/>
        <v>60545.185474178019</v>
      </c>
      <c r="AJ211" s="109">
        <f t="shared" si="146"/>
        <v>60545.185474178019</v>
      </c>
      <c r="AK211" s="109">
        <f t="shared" si="146"/>
        <v>60545.185474178019</v>
      </c>
      <c r="AL211" s="109">
        <f t="shared" si="146"/>
        <v>60545.185474178019</v>
      </c>
      <c r="AM211" s="109">
        <f t="shared" si="146"/>
        <v>60545.185474178019</v>
      </c>
      <c r="AN211" s="5"/>
      <c r="AO211" s="109"/>
      <c r="AP211" s="109"/>
      <c r="AQ211" s="109"/>
      <c r="AR211" s="109"/>
      <c r="AS211" s="109"/>
      <c r="AT211" s="109"/>
      <c r="AU211" s="109"/>
      <c r="AV211" s="109"/>
      <c r="AW211" s="60"/>
      <c r="AX211" s="221"/>
    </row>
    <row r="212" spans="1:50" ht="15.75" customHeight="1" x14ac:dyDescent="0.3">
      <c r="A212" s="1"/>
      <c r="B212" s="1"/>
      <c r="C212" s="1" t="s">
        <v>112</v>
      </c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07">
        <f>$I211*(O213-O214)</f>
        <v>20181.728491392652</v>
      </c>
      <c r="P212" s="107">
        <f t="shared" ref="P212:AM212" si="147">$I211*(P213-P214)</f>
        <v>60545.185474178019</v>
      </c>
      <c r="Q212" s="107">
        <f t="shared" si="147"/>
        <v>60545.185474178019</v>
      </c>
      <c r="R212" s="107">
        <f t="shared" si="147"/>
        <v>60545.185474178019</v>
      </c>
      <c r="S212" s="107">
        <f t="shared" si="147"/>
        <v>60545.185474178019</v>
      </c>
      <c r="T212" s="107">
        <f t="shared" si="147"/>
        <v>60545.185474178019</v>
      </c>
      <c r="U212" s="107">
        <f t="shared" si="147"/>
        <v>60545.185474178019</v>
      </c>
      <c r="V212" s="107">
        <f t="shared" si="147"/>
        <v>60545.185474178019</v>
      </c>
      <c r="W212" s="107">
        <f t="shared" si="147"/>
        <v>60545.185474178019</v>
      </c>
      <c r="X212" s="107">
        <f t="shared" si="147"/>
        <v>60545.185474178019</v>
      </c>
      <c r="Y212" s="107">
        <f t="shared" si="147"/>
        <v>60545.185474178019</v>
      </c>
      <c r="Z212" s="107">
        <f t="shared" si="147"/>
        <v>60545.185474178019</v>
      </c>
      <c r="AA212" s="107">
        <f t="shared" si="147"/>
        <v>60545.185474178019</v>
      </c>
      <c r="AB212" s="107">
        <f t="shared" si="147"/>
        <v>60545.185474178019</v>
      </c>
      <c r="AC212" s="107">
        <f t="shared" si="147"/>
        <v>60545.185474178019</v>
      </c>
      <c r="AD212" s="107">
        <f t="shared" si="147"/>
        <v>60545.185474178019</v>
      </c>
      <c r="AE212" s="107">
        <f t="shared" si="147"/>
        <v>60545.185474178019</v>
      </c>
      <c r="AF212" s="107">
        <f t="shared" si="147"/>
        <v>60545.185474178019</v>
      </c>
      <c r="AG212" s="107">
        <f t="shared" si="147"/>
        <v>60545.185474178019</v>
      </c>
      <c r="AH212" s="107">
        <f t="shared" si="147"/>
        <v>60545.185474178019</v>
      </c>
      <c r="AI212" s="107">
        <f t="shared" si="147"/>
        <v>60545.185474178019</v>
      </c>
      <c r="AJ212" s="107">
        <f t="shared" si="147"/>
        <v>60545.185474178019</v>
      </c>
      <c r="AK212" s="107">
        <f t="shared" si="147"/>
        <v>60545.185474178019</v>
      </c>
      <c r="AL212" s="107">
        <f t="shared" si="147"/>
        <v>60545.185474178019</v>
      </c>
      <c r="AM212" s="107">
        <f t="shared" si="147"/>
        <v>60545.185474178019</v>
      </c>
      <c r="AN212" s="5"/>
      <c r="AO212" s="107"/>
      <c r="AP212" s="107"/>
      <c r="AQ212" s="107"/>
      <c r="AR212" s="107"/>
      <c r="AS212" s="107"/>
      <c r="AT212" s="107"/>
      <c r="AU212" s="107"/>
      <c r="AV212" s="107"/>
      <c r="AW212" s="1"/>
      <c r="AX212" s="221"/>
    </row>
    <row r="213" spans="1:50" ht="15.75" customHeight="1" x14ac:dyDescent="0.3">
      <c r="A213" s="1"/>
      <c r="B213" s="1"/>
      <c r="C213" s="1" t="s">
        <v>113</v>
      </c>
      <c r="D213" s="1"/>
      <c r="E213" s="1"/>
      <c r="F213" s="1"/>
      <c r="G213" s="1"/>
      <c r="H213" s="1"/>
      <c r="I213" s="139">
        <v>1</v>
      </c>
      <c r="J213" s="1"/>
      <c r="K213" s="1"/>
      <c r="L213" s="1"/>
      <c r="M213" s="1"/>
      <c r="N213" s="1"/>
      <c r="O213" s="107">
        <f t="shared" ref="O213:AM213" si="148">O122*$I213</f>
        <v>552924.06825733301</v>
      </c>
      <c r="P213" s="107">
        <f t="shared" si="148"/>
        <v>1658772.2047720007</v>
      </c>
      <c r="Q213" s="107">
        <f t="shared" si="148"/>
        <v>1658772.2047720007</v>
      </c>
      <c r="R213" s="107">
        <f t="shared" si="148"/>
        <v>1658772.2047720007</v>
      </c>
      <c r="S213" s="107">
        <f t="shared" si="148"/>
        <v>1658772.2047720007</v>
      </c>
      <c r="T213" s="107">
        <f t="shared" si="148"/>
        <v>1658772.2047720007</v>
      </c>
      <c r="U213" s="107">
        <f t="shared" si="148"/>
        <v>1658772.2047720007</v>
      </c>
      <c r="V213" s="107">
        <f t="shared" si="148"/>
        <v>1658772.2047720007</v>
      </c>
      <c r="W213" s="107">
        <f t="shared" si="148"/>
        <v>1658772.2047720007</v>
      </c>
      <c r="X213" s="107">
        <f t="shared" si="148"/>
        <v>1658772.2047720007</v>
      </c>
      <c r="Y213" s="107">
        <f t="shared" si="148"/>
        <v>1658772.2047720007</v>
      </c>
      <c r="Z213" s="107">
        <f t="shared" si="148"/>
        <v>1658772.2047720007</v>
      </c>
      <c r="AA213" s="107">
        <f t="shared" si="148"/>
        <v>1658772.2047720007</v>
      </c>
      <c r="AB213" s="107">
        <f t="shared" si="148"/>
        <v>1658772.2047720007</v>
      </c>
      <c r="AC213" s="107">
        <f t="shared" si="148"/>
        <v>1658772.2047720007</v>
      </c>
      <c r="AD213" s="107">
        <f t="shared" si="148"/>
        <v>1658772.2047720007</v>
      </c>
      <c r="AE213" s="107">
        <f t="shared" si="148"/>
        <v>1658772.2047720007</v>
      </c>
      <c r="AF213" s="107">
        <f t="shared" si="148"/>
        <v>1658772.2047720007</v>
      </c>
      <c r="AG213" s="107">
        <f t="shared" si="148"/>
        <v>1658772.2047720007</v>
      </c>
      <c r="AH213" s="107">
        <f t="shared" si="148"/>
        <v>1658772.2047720007</v>
      </c>
      <c r="AI213" s="107">
        <f t="shared" si="148"/>
        <v>1658772.2047720007</v>
      </c>
      <c r="AJ213" s="107">
        <f t="shared" si="148"/>
        <v>1658772.2047720007</v>
      </c>
      <c r="AK213" s="107">
        <f t="shared" si="148"/>
        <v>1658772.2047720007</v>
      </c>
      <c r="AL213" s="107">
        <f t="shared" si="148"/>
        <v>1658772.2047720007</v>
      </c>
      <c r="AM213" s="107">
        <f t="shared" si="148"/>
        <v>1658772.2047720007</v>
      </c>
      <c r="AN213" s="5"/>
      <c r="AO213" s="107"/>
      <c r="AP213" s="107"/>
      <c r="AQ213" s="107"/>
      <c r="AR213" s="107"/>
      <c r="AS213" s="107"/>
      <c r="AT213" s="107"/>
      <c r="AU213" s="107"/>
      <c r="AV213" s="107"/>
      <c r="AW213" s="1"/>
      <c r="AX213" s="221"/>
    </row>
    <row r="214" spans="1:50" ht="15.75" customHeight="1" x14ac:dyDescent="0.3">
      <c r="A214" s="1"/>
      <c r="B214" s="1"/>
      <c r="C214" s="1" t="s">
        <v>114</v>
      </c>
      <c r="D214" s="1"/>
      <c r="E214" s="1"/>
      <c r="F214" s="1"/>
      <c r="G214" s="1"/>
      <c r="H214" s="1"/>
      <c r="I214" s="139">
        <v>0</v>
      </c>
      <c r="J214" s="1"/>
      <c r="K214" s="1"/>
      <c r="L214" s="1"/>
      <c r="M214" s="1"/>
      <c r="N214" s="1"/>
      <c r="O214" s="107">
        <f t="shared" ref="O214:AM214" si="149">$I$214*O14</f>
        <v>0</v>
      </c>
      <c r="P214" s="107">
        <f t="shared" si="149"/>
        <v>0</v>
      </c>
      <c r="Q214" s="107">
        <f t="shared" si="149"/>
        <v>0</v>
      </c>
      <c r="R214" s="107">
        <f t="shared" si="149"/>
        <v>0</v>
      </c>
      <c r="S214" s="107">
        <f t="shared" si="149"/>
        <v>0</v>
      </c>
      <c r="T214" s="107">
        <f t="shared" si="149"/>
        <v>0</v>
      </c>
      <c r="U214" s="107">
        <f t="shared" si="149"/>
        <v>0</v>
      </c>
      <c r="V214" s="107">
        <f t="shared" si="149"/>
        <v>0</v>
      </c>
      <c r="W214" s="107">
        <f t="shared" si="149"/>
        <v>0</v>
      </c>
      <c r="X214" s="107">
        <f t="shared" si="149"/>
        <v>0</v>
      </c>
      <c r="Y214" s="107">
        <f t="shared" si="149"/>
        <v>0</v>
      </c>
      <c r="Z214" s="107">
        <f t="shared" si="149"/>
        <v>0</v>
      </c>
      <c r="AA214" s="107">
        <f t="shared" si="149"/>
        <v>0</v>
      </c>
      <c r="AB214" s="107">
        <f t="shared" si="149"/>
        <v>0</v>
      </c>
      <c r="AC214" s="107">
        <f t="shared" si="149"/>
        <v>0</v>
      </c>
      <c r="AD214" s="107">
        <f t="shared" si="149"/>
        <v>0</v>
      </c>
      <c r="AE214" s="107">
        <f t="shared" si="149"/>
        <v>0</v>
      </c>
      <c r="AF214" s="107">
        <f t="shared" si="149"/>
        <v>0</v>
      </c>
      <c r="AG214" s="107">
        <f t="shared" si="149"/>
        <v>0</v>
      </c>
      <c r="AH214" s="107">
        <f t="shared" si="149"/>
        <v>0</v>
      </c>
      <c r="AI214" s="107">
        <f t="shared" si="149"/>
        <v>0</v>
      </c>
      <c r="AJ214" s="107">
        <f t="shared" si="149"/>
        <v>0</v>
      </c>
      <c r="AK214" s="107">
        <f t="shared" si="149"/>
        <v>0</v>
      </c>
      <c r="AL214" s="107">
        <f t="shared" si="149"/>
        <v>0</v>
      </c>
      <c r="AM214" s="107">
        <f t="shared" si="149"/>
        <v>0</v>
      </c>
      <c r="AN214" s="5"/>
      <c r="AO214" s="107"/>
      <c r="AP214" s="107"/>
      <c r="AQ214" s="107"/>
      <c r="AR214" s="107"/>
      <c r="AS214" s="107"/>
      <c r="AT214" s="107"/>
      <c r="AU214" s="107"/>
      <c r="AV214" s="107"/>
      <c r="AW214" s="1"/>
      <c r="AX214" s="221"/>
    </row>
    <row r="215" spans="1:50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5"/>
      <c r="AO215" s="1"/>
      <c r="AP215" s="1"/>
      <c r="AQ215" s="1"/>
      <c r="AR215" s="1"/>
      <c r="AS215" s="1"/>
      <c r="AT215" s="1"/>
      <c r="AU215" s="1"/>
      <c r="AV215" s="1"/>
      <c r="AW215" s="1"/>
      <c r="AX215" s="221"/>
    </row>
    <row r="216" spans="1:50" ht="15.75" customHeight="1" x14ac:dyDescent="0.3">
      <c r="A216" s="60"/>
      <c r="B216" s="60"/>
      <c r="C216" s="60" t="s">
        <v>119</v>
      </c>
      <c r="D216" s="60"/>
      <c r="E216" s="60"/>
      <c r="F216" s="60"/>
      <c r="G216" s="60"/>
      <c r="H216" s="60"/>
      <c r="I216" s="137">
        <v>4.2500000000000003E-2</v>
      </c>
      <c r="J216" s="60"/>
      <c r="K216" s="60"/>
      <c r="L216" s="60"/>
      <c r="M216" s="1"/>
      <c r="N216" s="1"/>
      <c r="O216" s="109">
        <v>0</v>
      </c>
      <c r="P216" s="109">
        <v>0</v>
      </c>
      <c r="Q216" s="109">
        <v>0</v>
      </c>
      <c r="R216" s="109">
        <v>0</v>
      </c>
      <c r="S216" s="109">
        <v>0</v>
      </c>
      <c r="T216" s="109">
        <v>0</v>
      </c>
      <c r="U216" s="109">
        <v>0</v>
      </c>
      <c r="V216" s="109">
        <v>0</v>
      </c>
      <c r="W216" s="109">
        <v>0</v>
      </c>
      <c r="X216" s="109">
        <v>0</v>
      </c>
      <c r="Y216" s="109">
        <v>0</v>
      </c>
      <c r="Z216" s="109">
        <v>0</v>
      </c>
      <c r="AA216" s="109">
        <v>0</v>
      </c>
      <c r="AB216" s="109">
        <v>0</v>
      </c>
      <c r="AC216" s="109">
        <v>0</v>
      </c>
      <c r="AD216" s="109">
        <v>0</v>
      </c>
      <c r="AE216" s="109">
        <v>0</v>
      </c>
      <c r="AF216" s="109">
        <v>0</v>
      </c>
      <c r="AG216" s="109">
        <v>0</v>
      </c>
      <c r="AH216" s="109">
        <v>0</v>
      </c>
      <c r="AI216" s="109">
        <v>0</v>
      </c>
      <c r="AJ216" s="109">
        <v>0</v>
      </c>
      <c r="AK216" s="109">
        <v>0</v>
      </c>
      <c r="AL216" s="109">
        <v>0</v>
      </c>
      <c r="AM216" s="109">
        <v>0</v>
      </c>
      <c r="AN216" s="5"/>
      <c r="AO216" s="109"/>
      <c r="AP216" s="109"/>
      <c r="AQ216" s="109"/>
      <c r="AR216" s="109"/>
      <c r="AS216" s="109"/>
      <c r="AT216" s="109"/>
      <c r="AU216" s="109"/>
      <c r="AV216" s="109"/>
      <c r="AW216" s="60"/>
      <c r="AX216" s="221"/>
    </row>
    <row r="217" spans="1:50" ht="15.75" customHeight="1" x14ac:dyDescent="0.3">
      <c r="A217" s="1"/>
      <c r="B217" s="1"/>
      <c r="C217" s="1" t="s">
        <v>120</v>
      </c>
      <c r="D217" s="1"/>
      <c r="E217" s="1"/>
      <c r="F217" s="1"/>
      <c r="G217" s="1"/>
      <c r="H217" s="1"/>
      <c r="I217" s="139">
        <v>1</v>
      </c>
      <c r="J217" s="1"/>
      <c r="K217" s="1"/>
      <c r="L217" s="1"/>
      <c r="M217" s="1"/>
      <c r="N217" s="1"/>
      <c r="O217" s="107">
        <v>0</v>
      </c>
      <c r="P217" s="107">
        <v>0</v>
      </c>
      <c r="Q217" s="107">
        <v>0</v>
      </c>
      <c r="R217" s="107">
        <v>0</v>
      </c>
      <c r="S217" s="107">
        <v>0</v>
      </c>
      <c r="T217" s="107">
        <v>0</v>
      </c>
      <c r="U217" s="107">
        <v>0</v>
      </c>
      <c r="V217" s="107">
        <v>0</v>
      </c>
      <c r="W217" s="107">
        <v>0</v>
      </c>
      <c r="X217" s="107">
        <v>0</v>
      </c>
      <c r="Y217" s="107">
        <v>0</v>
      </c>
      <c r="Z217" s="107">
        <v>0</v>
      </c>
      <c r="AA217" s="107">
        <v>0</v>
      </c>
      <c r="AB217" s="107">
        <v>0</v>
      </c>
      <c r="AC217" s="107">
        <v>0</v>
      </c>
      <c r="AD217" s="107">
        <v>0</v>
      </c>
      <c r="AE217" s="107">
        <v>0</v>
      </c>
      <c r="AF217" s="107">
        <v>0</v>
      </c>
      <c r="AG217" s="107">
        <v>0</v>
      </c>
      <c r="AH217" s="107">
        <v>0</v>
      </c>
      <c r="AI217" s="107">
        <v>0</v>
      </c>
      <c r="AJ217" s="107">
        <v>0</v>
      </c>
      <c r="AK217" s="107">
        <v>0</v>
      </c>
      <c r="AL217" s="107">
        <v>0</v>
      </c>
      <c r="AM217" s="107">
        <v>0</v>
      </c>
      <c r="AN217" s="5"/>
      <c r="AO217" s="107"/>
      <c r="AP217" s="107"/>
      <c r="AQ217" s="107"/>
      <c r="AR217" s="107"/>
      <c r="AS217" s="107"/>
      <c r="AT217" s="107"/>
      <c r="AU217" s="107"/>
      <c r="AV217" s="107"/>
      <c r="AW217" s="1"/>
      <c r="AX217" s="221"/>
    </row>
    <row r="218" spans="1:50" ht="15.75" customHeight="1" x14ac:dyDescent="0.3">
      <c r="A218" s="1"/>
      <c r="B218" s="1"/>
      <c r="C218" s="1" t="s">
        <v>114</v>
      </c>
      <c r="D218" s="1"/>
      <c r="E218" s="1"/>
      <c r="F218" s="1"/>
      <c r="G218" s="1"/>
      <c r="H218" s="1"/>
      <c r="I218" s="140">
        <v>0</v>
      </c>
      <c r="J218" s="1"/>
      <c r="K218" s="1"/>
      <c r="L218" s="1"/>
      <c r="M218" s="1"/>
      <c r="N218" s="1"/>
      <c r="O218" s="107">
        <v>0</v>
      </c>
      <c r="P218" s="107">
        <v>0</v>
      </c>
      <c r="Q218" s="107">
        <v>0</v>
      </c>
      <c r="R218" s="107">
        <v>0</v>
      </c>
      <c r="S218" s="107">
        <v>0</v>
      </c>
      <c r="T218" s="107">
        <v>0</v>
      </c>
      <c r="U218" s="107">
        <v>0</v>
      </c>
      <c r="V218" s="107">
        <v>0</v>
      </c>
      <c r="W218" s="107">
        <v>0</v>
      </c>
      <c r="X218" s="107">
        <v>0</v>
      </c>
      <c r="Y218" s="107">
        <v>0</v>
      </c>
      <c r="Z218" s="107">
        <v>0</v>
      </c>
      <c r="AA218" s="107">
        <v>0</v>
      </c>
      <c r="AB218" s="107">
        <v>0</v>
      </c>
      <c r="AC218" s="107">
        <v>0</v>
      </c>
      <c r="AD218" s="107">
        <v>0</v>
      </c>
      <c r="AE218" s="107">
        <v>0</v>
      </c>
      <c r="AF218" s="107">
        <v>0</v>
      </c>
      <c r="AG218" s="107">
        <v>0</v>
      </c>
      <c r="AH218" s="107">
        <v>0</v>
      </c>
      <c r="AI218" s="107">
        <v>0</v>
      </c>
      <c r="AJ218" s="107">
        <v>0</v>
      </c>
      <c r="AK218" s="107">
        <v>0</v>
      </c>
      <c r="AL218" s="107">
        <v>0</v>
      </c>
      <c r="AM218" s="107">
        <v>0</v>
      </c>
      <c r="AN218" s="5"/>
      <c r="AO218" s="107"/>
      <c r="AP218" s="107"/>
      <c r="AQ218" s="107"/>
      <c r="AR218" s="107"/>
      <c r="AS218" s="107"/>
      <c r="AT218" s="107"/>
      <c r="AU218" s="107"/>
      <c r="AV218" s="107"/>
      <c r="AW218" s="1"/>
      <c r="AX218" s="221"/>
    </row>
    <row r="219" spans="1:50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75"/>
      <c r="AO219" s="107"/>
      <c r="AP219" s="107"/>
      <c r="AQ219" s="107"/>
      <c r="AR219" s="107"/>
      <c r="AS219" s="107"/>
      <c r="AT219" s="107"/>
      <c r="AU219" s="107"/>
      <c r="AV219" s="107"/>
      <c r="AW219" s="1"/>
      <c r="AX219" s="221"/>
    </row>
    <row r="220" spans="1:50" ht="15.75" customHeight="1" x14ac:dyDescent="0.3">
      <c r="A220" s="1"/>
      <c r="B220" s="1"/>
      <c r="C220" s="141" t="s">
        <v>5167</v>
      </c>
      <c r="D220" s="141"/>
      <c r="E220" s="141"/>
      <c r="F220" s="141"/>
      <c r="G220" s="141"/>
      <c r="H220" s="141"/>
      <c r="I220" s="141"/>
      <c r="J220" s="141"/>
      <c r="K220" s="141"/>
      <c r="L220" s="142">
        <f t="shared" ref="L220" si="150">SUM(O220:AV220)</f>
        <v>12916306.234491309</v>
      </c>
      <c r="M220" s="1"/>
      <c r="N220" s="1"/>
      <c r="O220" s="142">
        <f t="shared" ref="O220:AM220" si="151">32%*O143</f>
        <v>176935.70184234658</v>
      </c>
      <c r="P220" s="142">
        <f t="shared" si="151"/>
        <v>530807.1055270402</v>
      </c>
      <c r="Q220" s="142">
        <f t="shared" si="151"/>
        <v>530807.1055270402</v>
      </c>
      <c r="R220" s="142">
        <f t="shared" si="151"/>
        <v>530807.1055270402</v>
      </c>
      <c r="S220" s="142">
        <f t="shared" si="151"/>
        <v>530807.1055270402</v>
      </c>
      <c r="T220" s="142">
        <f t="shared" si="151"/>
        <v>530807.1055270402</v>
      </c>
      <c r="U220" s="142">
        <f t="shared" si="151"/>
        <v>530807.1055270402</v>
      </c>
      <c r="V220" s="142">
        <f t="shared" si="151"/>
        <v>530807.1055270402</v>
      </c>
      <c r="W220" s="142">
        <f t="shared" si="151"/>
        <v>530807.1055270402</v>
      </c>
      <c r="X220" s="142">
        <f t="shared" si="151"/>
        <v>530807.1055270402</v>
      </c>
      <c r="Y220" s="142">
        <f t="shared" si="151"/>
        <v>530807.1055270402</v>
      </c>
      <c r="Z220" s="142">
        <f t="shared" si="151"/>
        <v>530807.1055270402</v>
      </c>
      <c r="AA220" s="142">
        <f t="shared" si="151"/>
        <v>530807.1055270402</v>
      </c>
      <c r="AB220" s="142">
        <f t="shared" si="151"/>
        <v>530807.1055270402</v>
      </c>
      <c r="AC220" s="142">
        <f t="shared" si="151"/>
        <v>530807.1055270402</v>
      </c>
      <c r="AD220" s="142">
        <f t="shared" si="151"/>
        <v>530807.1055270402</v>
      </c>
      <c r="AE220" s="142">
        <f t="shared" si="151"/>
        <v>530807.1055270402</v>
      </c>
      <c r="AF220" s="142">
        <f t="shared" si="151"/>
        <v>530807.1055270402</v>
      </c>
      <c r="AG220" s="142">
        <f t="shared" si="151"/>
        <v>530807.1055270402</v>
      </c>
      <c r="AH220" s="142">
        <f t="shared" si="151"/>
        <v>530807.1055270402</v>
      </c>
      <c r="AI220" s="142">
        <f t="shared" si="151"/>
        <v>530807.1055270402</v>
      </c>
      <c r="AJ220" s="142">
        <f t="shared" si="151"/>
        <v>530807.1055270402</v>
      </c>
      <c r="AK220" s="142">
        <f t="shared" si="151"/>
        <v>530807.1055270402</v>
      </c>
      <c r="AL220" s="142">
        <f t="shared" si="151"/>
        <v>530807.1055270402</v>
      </c>
      <c r="AM220" s="142">
        <f t="shared" si="151"/>
        <v>530807.1055270402</v>
      </c>
      <c r="AN220" s="175"/>
      <c r="AO220" s="107"/>
      <c r="AP220" s="107"/>
      <c r="AQ220" s="107"/>
      <c r="AR220" s="107"/>
      <c r="AS220" s="107"/>
      <c r="AT220" s="107"/>
      <c r="AU220" s="107"/>
      <c r="AV220" s="107"/>
      <c r="AW220" s="1"/>
      <c r="AX220" s="221"/>
    </row>
    <row r="221" spans="1:50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75"/>
      <c r="AO221" s="107"/>
      <c r="AP221" s="107"/>
      <c r="AQ221" s="107"/>
      <c r="AR221" s="107"/>
      <c r="AS221" s="107"/>
      <c r="AT221" s="107"/>
      <c r="AU221" s="107"/>
      <c r="AV221" s="107"/>
      <c r="AW221" s="1"/>
      <c r="AX221" s="221"/>
    </row>
    <row r="222" spans="1:50" ht="15.75" customHeight="1" x14ac:dyDescent="0.3">
      <c r="A222" s="1"/>
      <c r="B222" s="1"/>
      <c r="C222" s="60" t="s">
        <v>123</v>
      </c>
      <c r="D222" s="60"/>
      <c r="E222" s="60"/>
      <c r="F222" s="60"/>
      <c r="G222" s="60"/>
      <c r="H222" s="60"/>
      <c r="I222" s="137">
        <f>15%</f>
        <v>0.15</v>
      </c>
      <c r="J222" s="60"/>
      <c r="K222" s="60"/>
      <c r="L222" s="60"/>
      <c r="M222" s="1"/>
      <c r="N222" s="1"/>
      <c r="O222" s="109">
        <f t="shared" ref="O222:AM222" si="152">$I222*(O223-O224)</f>
        <v>26540.355276351987</v>
      </c>
      <c r="P222" s="109">
        <f t="shared" si="152"/>
        <v>79621.065829056024</v>
      </c>
      <c r="Q222" s="109">
        <f t="shared" si="152"/>
        <v>79621.065829056024</v>
      </c>
      <c r="R222" s="109">
        <f t="shared" si="152"/>
        <v>79621.065829056024</v>
      </c>
      <c r="S222" s="109">
        <f t="shared" si="152"/>
        <v>79621.065829056024</v>
      </c>
      <c r="T222" s="109">
        <f t="shared" si="152"/>
        <v>79621.065829056024</v>
      </c>
      <c r="U222" s="109">
        <f t="shared" si="152"/>
        <v>79621.065829056024</v>
      </c>
      <c r="V222" s="109">
        <f t="shared" si="152"/>
        <v>79621.065829056024</v>
      </c>
      <c r="W222" s="109">
        <f t="shared" si="152"/>
        <v>79621.065829056024</v>
      </c>
      <c r="X222" s="109">
        <f t="shared" si="152"/>
        <v>79621.065829056024</v>
      </c>
      <c r="Y222" s="109">
        <f t="shared" si="152"/>
        <v>79621.065829056024</v>
      </c>
      <c r="Z222" s="109">
        <f t="shared" si="152"/>
        <v>79621.065829056024</v>
      </c>
      <c r="AA222" s="109">
        <f t="shared" si="152"/>
        <v>79621.065829056024</v>
      </c>
      <c r="AB222" s="109">
        <f t="shared" si="152"/>
        <v>79621.065829056024</v>
      </c>
      <c r="AC222" s="109">
        <f t="shared" si="152"/>
        <v>79621.065829056024</v>
      </c>
      <c r="AD222" s="109">
        <f t="shared" si="152"/>
        <v>79621.065829056024</v>
      </c>
      <c r="AE222" s="109">
        <f t="shared" si="152"/>
        <v>79621.065829056024</v>
      </c>
      <c r="AF222" s="109">
        <f t="shared" si="152"/>
        <v>79621.065829056024</v>
      </c>
      <c r="AG222" s="109">
        <f t="shared" si="152"/>
        <v>79621.065829056024</v>
      </c>
      <c r="AH222" s="109">
        <f t="shared" si="152"/>
        <v>79621.065829056024</v>
      </c>
      <c r="AI222" s="109">
        <f t="shared" si="152"/>
        <v>79621.065829056024</v>
      </c>
      <c r="AJ222" s="109">
        <f t="shared" si="152"/>
        <v>79621.065829056024</v>
      </c>
      <c r="AK222" s="109">
        <f t="shared" si="152"/>
        <v>79621.065829056024</v>
      </c>
      <c r="AL222" s="109">
        <f t="shared" si="152"/>
        <v>79621.065829056024</v>
      </c>
      <c r="AM222" s="109">
        <f t="shared" si="152"/>
        <v>79621.065829056024</v>
      </c>
      <c r="AN222" s="175"/>
      <c r="AO222" s="107"/>
      <c r="AP222" s="107"/>
      <c r="AQ222" s="107"/>
      <c r="AR222" s="107"/>
      <c r="AS222" s="107"/>
      <c r="AT222" s="107"/>
      <c r="AU222" s="107"/>
      <c r="AV222" s="107"/>
      <c r="AW222" s="1"/>
      <c r="AX222" s="221"/>
    </row>
    <row r="223" spans="1:50" ht="15.75" customHeight="1" x14ac:dyDescent="0.3">
      <c r="A223" s="1"/>
      <c r="B223" s="1"/>
      <c r="C223" s="1" t="s">
        <v>122</v>
      </c>
      <c r="D223" s="1"/>
      <c r="E223" s="1"/>
      <c r="F223" s="1"/>
      <c r="G223" s="1"/>
      <c r="H223" s="1"/>
      <c r="I223" s="138">
        <v>1</v>
      </c>
      <c r="J223" s="1"/>
      <c r="K223" s="1"/>
      <c r="L223" s="1"/>
      <c r="M223" s="1"/>
      <c r="N223" s="1"/>
      <c r="O223" s="107">
        <f t="shared" ref="O223:AM223" si="153">O220</f>
        <v>176935.70184234658</v>
      </c>
      <c r="P223" s="107">
        <f t="shared" si="153"/>
        <v>530807.1055270402</v>
      </c>
      <c r="Q223" s="107">
        <f t="shared" si="153"/>
        <v>530807.1055270402</v>
      </c>
      <c r="R223" s="107">
        <f t="shared" si="153"/>
        <v>530807.1055270402</v>
      </c>
      <c r="S223" s="107">
        <f t="shared" si="153"/>
        <v>530807.1055270402</v>
      </c>
      <c r="T223" s="107">
        <f t="shared" si="153"/>
        <v>530807.1055270402</v>
      </c>
      <c r="U223" s="107">
        <f t="shared" si="153"/>
        <v>530807.1055270402</v>
      </c>
      <c r="V223" s="107">
        <f t="shared" si="153"/>
        <v>530807.1055270402</v>
      </c>
      <c r="W223" s="107">
        <f t="shared" si="153"/>
        <v>530807.1055270402</v>
      </c>
      <c r="X223" s="107">
        <f t="shared" si="153"/>
        <v>530807.1055270402</v>
      </c>
      <c r="Y223" s="107">
        <f t="shared" si="153"/>
        <v>530807.1055270402</v>
      </c>
      <c r="Z223" s="107">
        <f t="shared" si="153"/>
        <v>530807.1055270402</v>
      </c>
      <c r="AA223" s="107">
        <f t="shared" si="153"/>
        <v>530807.1055270402</v>
      </c>
      <c r="AB223" s="107">
        <f t="shared" si="153"/>
        <v>530807.1055270402</v>
      </c>
      <c r="AC223" s="107">
        <f t="shared" si="153"/>
        <v>530807.1055270402</v>
      </c>
      <c r="AD223" s="107">
        <f t="shared" si="153"/>
        <v>530807.1055270402</v>
      </c>
      <c r="AE223" s="107">
        <f t="shared" si="153"/>
        <v>530807.1055270402</v>
      </c>
      <c r="AF223" s="107">
        <f t="shared" si="153"/>
        <v>530807.1055270402</v>
      </c>
      <c r="AG223" s="107">
        <f t="shared" si="153"/>
        <v>530807.1055270402</v>
      </c>
      <c r="AH223" s="107">
        <f t="shared" si="153"/>
        <v>530807.1055270402</v>
      </c>
      <c r="AI223" s="107">
        <f t="shared" si="153"/>
        <v>530807.1055270402</v>
      </c>
      <c r="AJ223" s="107">
        <f t="shared" si="153"/>
        <v>530807.1055270402</v>
      </c>
      <c r="AK223" s="107">
        <f t="shared" si="153"/>
        <v>530807.1055270402</v>
      </c>
      <c r="AL223" s="107">
        <f t="shared" si="153"/>
        <v>530807.1055270402</v>
      </c>
      <c r="AM223" s="107">
        <f t="shared" si="153"/>
        <v>530807.1055270402</v>
      </c>
      <c r="AN223" s="175"/>
      <c r="AO223" s="107"/>
      <c r="AP223" s="107"/>
      <c r="AQ223" s="107"/>
      <c r="AR223" s="107"/>
      <c r="AS223" s="107"/>
      <c r="AT223" s="107"/>
      <c r="AU223" s="107"/>
      <c r="AV223" s="107"/>
      <c r="AW223" s="1"/>
      <c r="AX223" s="221"/>
    </row>
    <row r="224" spans="1:50" ht="15.75" customHeight="1" x14ac:dyDescent="0.3">
      <c r="A224" s="1"/>
      <c r="B224" s="1"/>
      <c r="C224" s="1" t="s">
        <v>114</v>
      </c>
      <c r="D224" s="1"/>
      <c r="E224" s="1"/>
      <c r="F224" s="1"/>
      <c r="G224" s="1"/>
      <c r="H224" s="1"/>
      <c r="I224" s="140">
        <v>0</v>
      </c>
      <c r="J224" s="1"/>
      <c r="K224" s="1"/>
      <c r="L224" s="1"/>
      <c r="M224" s="1"/>
      <c r="N224" s="1"/>
      <c r="O224" s="107">
        <f t="shared" ref="O224:AM224" si="154">$I224</f>
        <v>0</v>
      </c>
      <c r="P224" s="107">
        <f t="shared" si="154"/>
        <v>0</v>
      </c>
      <c r="Q224" s="107">
        <f t="shared" si="154"/>
        <v>0</v>
      </c>
      <c r="R224" s="107">
        <f t="shared" si="154"/>
        <v>0</v>
      </c>
      <c r="S224" s="107">
        <f t="shared" si="154"/>
        <v>0</v>
      </c>
      <c r="T224" s="107">
        <f t="shared" si="154"/>
        <v>0</v>
      </c>
      <c r="U224" s="107">
        <f t="shared" si="154"/>
        <v>0</v>
      </c>
      <c r="V224" s="107">
        <f t="shared" si="154"/>
        <v>0</v>
      </c>
      <c r="W224" s="107">
        <f t="shared" si="154"/>
        <v>0</v>
      </c>
      <c r="X224" s="107">
        <f t="shared" si="154"/>
        <v>0</v>
      </c>
      <c r="Y224" s="107">
        <f t="shared" si="154"/>
        <v>0</v>
      </c>
      <c r="Z224" s="107">
        <f t="shared" si="154"/>
        <v>0</v>
      </c>
      <c r="AA224" s="107">
        <f t="shared" si="154"/>
        <v>0</v>
      </c>
      <c r="AB224" s="107">
        <f t="shared" si="154"/>
        <v>0</v>
      </c>
      <c r="AC224" s="107">
        <f t="shared" si="154"/>
        <v>0</v>
      </c>
      <c r="AD224" s="107">
        <f t="shared" si="154"/>
        <v>0</v>
      </c>
      <c r="AE224" s="107">
        <f t="shared" si="154"/>
        <v>0</v>
      </c>
      <c r="AF224" s="107">
        <f t="shared" si="154"/>
        <v>0</v>
      </c>
      <c r="AG224" s="107">
        <f t="shared" si="154"/>
        <v>0</v>
      </c>
      <c r="AH224" s="107">
        <f t="shared" si="154"/>
        <v>0</v>
      </c>
      <c r="AI224" s="107">
        <f t="shared" si="154"/>
        <v>0</v>
      </c>
      <c r="AJ224" s="107">
        <f t="shared" si="154"/>
        <v>0</v>
      </c>
      <c r="AK224" s="107">
        <f t="shared" si="154"/>
        <v>0</v>
      </c>
      <c r="AL224" s="107">
        <f t="shared" si="154"/>
        <v>0</v>
      </c>
      <c r="AM224" s="107">
        <f t="shared" si="154"/>
        <v>0</v>
      </c>
      <c r="AN224" s="175"/>
      <c r="AO224" s="107"/>
      <c r="AP224" s="107"/>
      <c r="AQ224" s="107"/>
      <c r="AR224" s="107"/>
      <c r="AS224" s="107"/>
      <c r="AT224" s="107"/>
      <c r="AU224" s="107"/>
      <c r="AV224" s="107"/>
      <c r="AW224" s="1"/>
      <c r="AX224" s="221"/>
    </row>
    <row r="225" spans="1:50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5"/>
      <c r="AO225" s="107"/>
      <c r="AP225" s="107"/>
      <c r="AQ225" s="107"/>
      <c r="AR225" s="107"/>
      <c r="AS225" s="107"/>
      <c r="AT225" s="107"/>
      <c r="AU225" s="107"/>
      <c r="AV225" s="107"/>
      <c r="AW225" s="1"/>
      <c r="AX225" s="221"/>
    </row>
    <row r="226" spans="1:50" ht="15.75" customHeight="1" x14ac:dyDescent="0.3">
      <c r="A226" s="1"/>
      <c r="B226" s="1"/>
      <c r="C226" s="60" t="s">
        <v>124</v>
      </c>
      <c r="D226" s="60"/>
      <c r="E226" s="60"/>
      <c r="F226" s="60"/>
      <c r="G226" s="60"/>
      <c r="H226" s="60"/>
      <c r="I226" s="137">
        <f>10%</f>
        <v>0.1</v>
      </c>
      <c r="J226" s="60"/>
      <c r="K226" s="60"/>
      <c r="L226" s="60"/>
      <c r="M226" s="1"/>
      <c r="N226" s="1"/>
      <c r="O226" s="109">
        <f t="shared" ref="O226:AM226" si="155">MAX($I226*(O227-O228),0)</f>
        <v>0</v>
      </c>
      <c r="P226" s="109">
        <f t="shared" si="155"/>
        <v>29080.710552704022</v>
      </c>
      <c r="Q226" s="109">
        <f t="shared" si="155"/>
        <v>29080.710552704022</v>
      </c>
      <c r="R226" s="109">
        <f t="shared" si="155"/>
        <v>29080.710552704022</v>
      </c>
      <c r="S226" s="109">
        <f t="shared" si="155"/>
        <v>29080.710552704022</v>
      </c>
      <c r="T226" s="109">
        <f t="shared" si="155"/>
        <v>29080.710552704022</v>
      </c>
      <c r="U226" s="109">
        <f t="shared" si="155"/>
        <v>29080.710552704022</v>
      </c>
      <c r="V226" s="109">
        <f t="shared" si="155"/>
        <v>29080.710552704022</v>
      </c>
      <c r="W226" s="109">
        <f t="shared" si="155"/>
        <v>29080.710552704022</v>
      </c>
      <c r="X226" s="109">
        <f t="shared" si="155"/>
        <v>29080.710552704022</v>
      </c>
      <c r="Y226" s="109">
        <f t="shared" si="155"/>
        <v>29080.710552704022</v>
      </c>
      <c r="Z226" s="109">
        <f t="shared" si="155"/>
        <v>29080.710552704022</v>
      </c>
      <c r="AA226" s="109">
        <f t="shared" si="155"/>
        <v>29080.710552704022</v>
      </c>
      <c r="AB226" s="109">
        <f t="shared" si="155"/>
        <v>29080.710552704022</v>
      </c>
      <c r="AC226" s="109">
        <f t="shared" si="155"/>
        <v>29080.710552704022</v>
      </c>
      <c r="AD226" s="109">
        <f t="shared" si="155"/>
        <v>29080.710552704022</v>
      </c>
      <c r="AE226" s="109">
        <f t="shared" si="155"/>
        <v>29080.710552704022</v>
      </c>
      <c r="AF226" s="109">
        <f t="shared" si="155"/>
        <v>29080.710552704022</v>
      </c>
      <c r="AG226" s="109">
        <f t="shared" si="155"/>
        <v>29080.710552704022</v>
      </c>
      <c r="AH226" s="109">
        <f t="shared" si="155"/>
        <v>29080.710552704022</v>
      </c>
      <c r="AI226" s="109">
        <f t="shared" si="155"/>
        <v>29080.710552704022</v>
      </c>
      <c r="AJ226" s="109">
        <f t="shared" si="155"/>
        <v>29080.710552704022</v>
      </c>
      <c r="AK226" s="109">
        <f t="shared" si="155"/>
        <v>29080.710552704022</v>
      </c>
      <c r="AL226" s="109">
        <f t="shared" si="155"/>
        <v>29080.710552704022</v>
      </c>
      <c r="AM226" s="109">
        <f t="shared" si="155"/>
        <v>29080.710552704022</v>
      </c>
      <c r="AN226" s="175"/>
      <c r="AO226" s="107"/>
      <c r="AP226" s="107"/>
      <c r="AQ226" s="107"/>
      <c r="AR226" s="107"/>
      <c r="AS226" s="107"/>
      <c r="AT226" s="107"/>
      <c r="AU226" s="107"/>
      <c r="AV226" s="107"/>
      <c r="AW226" s="1"/>
      <c r="AX226" s="221"/>
    </row>
    <row r="227" spans="1:50" ht="15.75" customHeight="1" x14ac:dyDescent="0.3">
      <c r="A227" s="1"/>
      <c r="B227" s="1"/>
      <c r="C227" s="1" t="s">
        <v>122</v>
      </c>
      <c r="D227" s="1"/>
      <c r="E227" s="1"/>
      <c r="F227" s="1"/>
      <c r="G227" s="1"/>
      <c r="H227" s="1"/>
      <c r="I227" s="138">
        <v>1</v>
      </c>
      <c r="J227" s="1"/>
      <c r="K227" s="1"/>
      <c r="L227" s="1"/>
      <c r="M227" s="1"/>
      <c r="N227" s="1"/>
      <c r="O227" s="107">
        <f t="shared" ref="O227:AM227" si="156">O220</f>
        <v>176935.70184234658</v>
      </c>
      <c r="P227" s="107">
        <f t="shared" si="156"/>
        <v>530807.1055270402</v>
      </c>
      <c r="Q227" s="107">
        <f t="shared" si="156"/>
        <v>530807.1055270402</v>
      </c>
      <c r="R227" s="107">
        <f t="shared" si="156"/>
        <v>530807.1055270402</v>
      </c>
      <c r="S227" s="107">
        <f t="shared" si="156"/>
        <v>530807.1055270402</v>
      </c>
      <c r="T227" s="107">
        <f t="shared" si="156"/>
        <v>530807.1055270402</v>
      </c>
      <c r="U227" s="107">
        <f t="shared" si="156"/>
        <v>530807.1055270402</v>
      </c>
      <c r="V227" s="107">
        <f t="shared" si="156"/>
        <v>530807.1055270402</v>
      </c>
      <c r="W227" s="107">
        <f t="shared" si="156"/>
        <v>530807.1055270402</v>
      </c>
      <c r="X227" s="107">
        <f t="shared" si="156"/>
        <v>530807.1055270402</v>
      </c>
      <c r="Y227" s="107">
        <f t="shared" si="156"/>
        <v>530807.1055270402</v>
      </c>
      <c r="Z227" s="107">
        <f t="shared" si="156"/>
        <v>530807.1055270402</v>
      </c>
      <c r="AA227" s="107">
        <f t="shared" si="156"/>
        <v>530807.1055270402</v>
      </c>
      <c r="AB227" s="107">
        <f t="shared" si="156"/>
        <v>530807.1055270402</v>
      </c>
      <c r="AC227" s="107">
        <f t="shared" si="156"/>
        <v>530807.1055270402</v>
      </c>
      <c r="AD227" s="107">
        <f t="shared" si="156"/>
        <v>530807.1055270402</v>
      </c>
      <c r="AE227" s="107">
        <f t="shared" si="156"/>
        <v>530807.1055270402</v>
      </c>
      <c r="AF227" s="107">
        <f t="shared" si="156"/>
        <v>530807.1055270402</v>
      </c>
      <c r="AG227" s="107">
        <f t="shared" si="156"/>
        <v>530807.1055270402</v>
      </c>
      <c r="AH227" s="107">
        <f t="shared" si="156"/>
        <v>530807.1055270402</v>
      </c>
      <c r="AI227" s="107">
        <f t="shared" si="156"/>
        <v>530807.1055270402</v>
      </c>
      <c r="AJ227" s="107">
        <f t="shared" si="156"/>
        <v>530807.1055270402</v>
      </c>
      <c r="AK227" s="107">
        <f t="shared" si="156"/>
        <v>530807.1055270402</v>
      </c>
      <c r="AL227" s="107">
        <f t="shared" si="156"/>
        <v>530807.1055270402</v>
      </c>
      <c r="AM227" s="107">
        <f t="shared" si="156"/>
        <v>530807.1055270402</v>
      </c>
      <c r="AN227" s="175"/>
      <c r="AO227" s="107"/>
      <c r="AP227" s="107"/>
      <c r="AQ227" s="107"/>
      <c r="AR227" s="107"/>
      <c r="AS227" s="107"/>
      <c r="AT227" s="107"/>
      <c r="AU227" s="107"/>
      <c r="AV227" s="107"/>
      <c r="AW227" s="1"/>
      <c r="AX227" s="221"/>
    </row>
    <row r="228" spans="1:50" ht="15.75" customHeight="1" x14ac:dyDescent="0.3">
      <c r="A228" s="1"/>
      <c r="B228" s="1"/>
      <c r="C228" s="1" t="s">
        <v>114</v>
      </c>
      <c r="D228" s="1"/>
      <c r="E228" s="1"/>
      <c r="F228" s="1"/>
      <c r="G228" s="1"/>
      <c r="H228" s="1"/>
      <c r="I228" s="143">
        <v>240000</v>
      </c>
      <c r="J228" s="1"/>
      <c r="K228" s="1"/>
      <c r="L228" s="1"/>
      <c r="M228" s="1"/>
      <c r="N228" s="1"/>
      <c r="O228" s="107">
        <f t="shared" ref="O228:AM228" si="157">$I228</f>
        <v>240000</v>
      </c>
      <c r="P228" s="107">
        <f t="shared" si="157"/>
        <v>240000</v>
      </c>
      <c r="Q228" s="107">
        <f t="shared" si="157"/>
        <v>240000</v>
      </c>
      <c r="R228" s="107">
        <f t="shared" si="157"/>
        <v>240000</v>
      </c>
      <c r="S228" s="107">
        <f t="shared" si="157"/>
        <v>240000</v>
      </c>
      <c r="T228" s="107">
        <f t="shared" si="157"/>
        <v>240000</v>
      </c>
      <c r="U228" s="107">
        <f t="shared" si="157"/>
        <v>240000</v>
      </c>
      <c r="V228" s="107">
        <f t="shared" si="157"/>
        <v>240000</v>
      </c>
      <c r="W228" s="107">
        <f t="shared" si="157"/>
        <v>240000</v>
      </c>
      <c r="X228" s="107">
        <f t="shared" si="157"/>
        <v>240000</v>
      </c>
      <c r="Y228" s="107">
        <f t="shared" si="157"/>
        <v>240000</v>
      </c>
      <c r="Z228" s="107">
        <f t="shared" si="157"/>
        <v>240000</v>
      </c>
      <c r="AA228" s="107">
        <f t="shared" si="157"/>
        <v>240000</v>
      </c>
      <c r="AB228" s="107">
        <f t="shared" si="157"/>
        <v>240000</v>
      </c>
      <c r="AC228" s="107">
        <f t="shared" si="157"/>
        <v>240000</v>
      </c>
      <c r="AD228" s="107">
        <f t="shared" si="157"/>
        <v>240000</v>
      </c>
      <c r="AE228" s="107">
        <f t="shared" si="157"/>
        <v>240000</v>
      </c>
      <c r="AF228" s="107">
        <f t="shared" si="157"/>
        <v>240000</v>
      </c>
      <c r="AG228" s="107">
        <f t="shared" si="157"/>
        <v>240000</v>
      </c>
      <c r="AH228" s="107">
        <f t="shared" si="157"/>
        <v>240000</v>
      </c>
      <c r="AI228" s="107">
        <f t="shared" si="157"/>
        <v>240000</v>
      </c>
      <c r="AJ228" s="107">
        <f t="shared" si="157"/>
        <v>240000</v>
      </c>
      <c r="AK228" s="107">
        <f t="shared" si="157"/>
        <v>240000</v>
      </c>
      <c r="AL228" s="107">
        <f t="shared" si="157"/>
        <v>240000</v>
      </c>
      <c r="AM228" s="107">
        <f t="shared" si="157"/>
        <v>240000</v>
      </c>
      <c r="AN228" s="175"/>
      <c r="AO228" s="107"/>
      <c r="AP228" s="107"/>
      <c r="AQ228" s="107"/>
      <c r="AR228" s="107"/>
      <c r="AS228" s="107"/>
      <c r="AT228" s="107"/>
      <c r="AU228" s="107"/>
      <c r="AV228" s="107"/>
      <c r="AW228" s="1"/>
      <c r="AX228" s="221"/>
    </row>
    <row r="229" spans="1:50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75"/>
      <c r="AO229" s="107"/>
      <c r="AP229" s="107"/>
      <c r="AQ229" s="107"/>
      <c r="AR229" s="107"/>
      <c r="AS229" s="107"/>
      <c r="AT229" s="107"/>
      <c r="AU229" s="107"/>
      <c r="AV229" s="107"/>
      <c r="AW229" s="1"/>
      <c r="AX229" s="221"/>
    </row>
    <row r="230" spans="1:50" ht="15.75" customHeight="1" x14ac:dyDescent="0.3">
      <c r="A230" s="1"/>
      <c r="B230" s="1"/>
      <c r="C230" s="60" t="s">
        <v>125</v>
      </c>
      <c r="D230" s="60"/>
      <c r="E230" s="60"/>
      <c r="F230" s="60"/>
      <c r="G230" s="60"/>
      <c r="H230" s="60"/>
      <c r="I230" s="137">
        <v>0.09</v>
      </c>
      <c r="J230" s="60"/>
      <c r="K230" s="60"/>
      <c r="L230" s="60"/>
      <c r="M230" s="1"/>
      <c r="N230" s="1"/>
      <c r="O230" s="109">
        <f>MAX($I230*(O231-O232),0)</f>
        <v>15924.213165811192</v>
      </c>
      <c r="P230" s="109">
        <f t="shared" ref="P230:AM230" si="158">$I230*(P231-P232)</f>
        <v>47772.639497433614</v>
      </c>
      <c r="Q230" s="109">
        <f t="shared" si="158"/>
        <v>47772.639497433614</v>
      </c>
      <c r="R230" s="109">
        <f t="shared" si="158"/>
        <v>47772.639497433614</v>
      </c>
      <c r="S230" s="109">
        <f t="shared" si="158"/>
        <v>47772.639497433614</v>
      </c>
      <c r="T230" s="109">
        <f t="shared" si="158"/>
        <v>47772.639497433614</v>
      </c>
      <c r="U230" s="109">
        <f t="shared" si="158"/>
        <v>47772.639497433614</v>
      </c>
      <c r="V230" s="109">
        <f t="shared" si="158"/>
        <v>47772.639497433614</v>
      </c>
      <c r="W230" s="109">
        <f t="shared" si="158"/>
        <v>47772.639497433614</v>
      </c>
      <c r="X230" s="109">
        <f t="shared" si="158"/>
        <v>47772.639497433614</v>
      </c>
      <c r="Y230" s="109">
        <f t="shared" si="158"/>
        <v>47772.639497433614</v>
      </c>
      <c r="Z230" s="109">
        <f t="shared" si="158"/>
        <v>47772.639497433614</v>
      </c>
      <c r="AA230" s="109">
        <f t="shared" si="158"/>
        <v>47772.639497433614</v>
      </c>
      <c r="AB230" s="109">
        <f t="shared" si="158"/>
        <v>47772.639497433614</v>
      </c>
      <c r="AC230" s="109">
        <f t="shared" si="158"/>
        <v>47772.639497433614</v>
      </c>
      <c r="AD230" s="109">
        <f t="shared" si="158"/>
        <v>47772.639497433614</v>
      </c>
      <c r="AE230" s="109">
        <f t="shared" si="158"/>
        <v>47772.639497433614</v>
      </c>
      <c r="AF230" s="109">
        <f t="shared" si="158"/>
        <v>47772.639497433614</v>
      </c>
      <c r="AG230" s="109">
        <f t="shared" si="158"/>
        <v>47772.639497433614</v>
      </c>
      <c r="AH230" s="109">
        <f t="shared" si="158"/>
        <v>47772.639497433614</v>
      </c>
      <c r="AI230" s="109">
        <f t="shared" si="158"/>
        <v>47772.639497433614</v>
      </c>
      <c r="AJ230" s="109">
        <f t="shared" si="158"/>
        <v>47772.639497433614</v>
      </c>
      <c r="AK230" s="109">
        <f t="shared" si="158"/>
        <v>47772.639497433614</v>
      </c>
      <c r="AL230" s="109">
        <f t="shared" si="158"/>
        <v>47772.639497433614</v>
      </c>
      <c r="AM230" s="109">
        <f t="shared" si="158"/>
        <v>47772.639497433614</v>
      </c>
      <c r="AN230" s="175"/>
      <c r="AO230" s="107"/>
      <c r="AP230" s="107"/>
      <c r="AQ230" s="107"/>
      <c r="AR230" s="107"/>
      <c r="AS230" s="107"/>
      <c r="AT230" s="107"/>
      <c r="AU230" s="107"/>
      <c r="AV230" s="107"/>
      <c r="AW230" s="1"/>
      <c r="AX230" s="221"/>
    </row>
    <row r="231" spans="1:50" ht="15.75" customHeight="1" x14ac:dyDescent="0.3">
      <c r="A231" s="1"/>
      <c r="B231" s="1"/>
      <c r="C231" s="1" t="s">
        <v>122</v>
      </c>
      <c r="D231" s="1"/>
      <c r="E231" s="1"/>
      <c r="F231" s="1"/>
      <c r="G231" s="1"/>
      <c r="H231" s="1"/>
      <c r="I231" s="138">
        <v>1</v>
      </c>
      <c r="J231" s="1"/>
      <c r="K231" s="1"/>
      <c r="L231" s="1"/>
      <c r="M231" s="1"/>
      <c r="N231" s="1"/>
      <c r="O231" s="107">
        <f t="shared" ref="O231:AM231" si="159">O220</f>
        <v>176935.70184234658</v>
      </c>
      <c r="P231" s="107">
        <f t="shared" si="159"/>
        <v>530807.1055270402</v>
      </c>
      <c r="Q231" s="107">
        <f t="shared" si="159"/>
        <v>530807.1055270402</v>
      </c>
      <c r="R231" s="107">
        <f t="shared" si="159"/>
        <v>530807.1055270402</v>
      </c>
      <c r="S231" s="107">
        <f t="shared" si="159"/>
        <v>530807.1055270402</v>
      </c>
      <c r="T231" s="107">
        <f t="shared" si="159"/>
        <v>530807.1055270402</v>
      </c>
      <c r="U231" s="107">
        <f t="shared" si="159"/>
        <v>530807.1055270402</v>
      </c>
      <c r="V231" s="107">
        <f t="shared" si="159"/>
        <v>530807.1055270402</v>
      </c>
      <c r="W231" s="107">
        <f t="shared" si="159"/>
        <v>530807.1055270402</v>
      </c>
      <c r="X231" s="107">
        <f t="shared" si="159"/>
        <v>530807.1055270402</v>
      </c>
      <c r="Y231" s="107">
        <f t="shared" si="159"/>
        <v>530807.1055270402</v>
      </c>
      <c r="Z231" s="107">
        <f t="shared" si="159"/>
        <v>530807.1055270402</v>
      </c>
      <c r="AA231" s="107">
        <f t="shared" si="159"/>
        <v>530807.1055270402</v>
      </c>
      <c r="AB231" s="107">
        <f t="shared" si="159"/>
        <v>530807.1055270402</v>
      </c>
      <c r="AC231" s="107">
        <f t="shared" si="159"/>
        <v>530807.1055270402</v>
      </c>
      <c r="AD231" s="107">
        <f t="shared" si="159"/>
        <v>530807.1055270402</v>
      </c>
      <c r="AE231" s="107">
        <f t="shared" si="159"/>
        <v>530807.1055270402</v>
      </c>
      <c r="AF231" s="107">
        <f t="shared" si="159"/>
        <v>530807.1055270402</v>
      </c>
      <c r="AG231" s="107">
        <f t="shared" si="159"/>
        <v>530807.1055270402</v>
      </c>
      <c r="AH231" s="107">
        <f t="shared" si="159"/>
        <v>530807.1055270402</v>
      </c>
      <c r="AI231" s="107">
        <f t="shared" si="159"/>
        <v>530807.1055270402</v>
      </c>
      <c r="AJ231" s="107">
        <f t="shared" si="159"/>
        <v>530807.1055270402</v>
      </c>
      <c r="AK231" s="107">
        <f t="shared" si="159"/>
        <v>530807.1055270402</v>
      </c>
      <c r="AL231" s="107">
        <f t="shared" si="159"/>
        <v>530807.1055270402</v>
      </c>
      <c r="AM231" s="107">
        <f t="shared" si="159"/>
        <v>530807.1055270402</v>
      </c>
      <c r="AN231" s="175"/>
      <c r="AO231" s="107"/>
      <c r="AP231" s="107"/>
      <c r="AQ231" s="107"/>
      <c r="AR231" s="107"/>
      <c r="AS231" s="107"/>
      <c r="AT231" s="107"/>
      <c r="AU231" s="107"/>
      <c r="AV231" s="107"/>
      <c r="AW231" s="1"/>
      <c r="AX231" s="221"/>
    </row>
    <row r="232" spans="1:50" ht="15.75" customHeight="1" x14ac:dyDescent="0.3">
      <c r="A232" s="1"/>
      <c r="B232" s="1"/>
      <c r="C232" s="1" t="s">
        <v>114</v>
      </c>
      <c r="D232" s="1"/>
      <c r="E232" s="1"/>
      <c r="F232" s="1"/>
      <c r="G232" s="1"/>
      <c r="H232" s="1"/>
      <c r="I232" s="140">
        <v>0</v>
      </c>
      <c r="J232" s="1"/>
      <c r="K232" s="1"/>
      <c r="L232" s="1"/>
      <c r="M232" s="1"/>
      <c r="N232" s="1"/>
      <c r="O232" s="107">
        <f t="shared" ref="O232:AM232" si="160">$I232</f>
        <v>0</v>
      </c>
      <c r="P232" s="107">
        <f t="shared" si="160"/>
        <v>0</v>
      </c>
      <c r="Q232" s="107">
        <f t="shared" si="160"/>
        <v>0</v>
      </c>
      <c r="R232" s="107">
        <f t="shared" si="160"/>
        <v>0</v>
      </c>
      <c r="S232" s="107">
        <f t="shared" si="160"/>
        <v>0</v>
      </c>
      <c r="T232" s="107">
        <f t="shared" si="160"/>
        <v>0</v>
      </c>
      <c r="U232" s="107">
        <f t="shared" si="160"/>
        <v>0</v>
      </c>
      <c r="V232" s="107">
        <f t="shared" si="160"/>
        <v>0</v>
      </c>
      <c r="W232" s="107">
        <f t="shared" si="160"/>
        <v>0</v>
      </c>
      <c r="X232" s="107">
        <f t="shared" si="160"/>
        <v>0</v>
      </c>
      <c r="Y232" s="107">
        <f t="shared" si="160"/>
        <v>0</v>
      </c>
      <c r="Z232" s="107">
        <f t="shared" si="160"/>
        <v>0</v>
      </c>
      <c r="AA232" s="107">
        <f t="shared" si="160"/>
        <v>0</v>
      </c>
      <c r="AB232" s="107">
        <f t="shared" si="160"/>
        <v>0</v>
      </c>
      <c r="AC232" s="107">
        <f t="shared" si="160"/>
        <v>0</v>
      </c>
      <c r="AD232" s="107">
        <f t="shared" si="160"/>
        <v>0</v>
      </c>
      <c r="AE232" s="107">
        <f t="shared" si="160"/>
        <v>0</v>
      </c>
      <c r="AF232" s="107">
        <f t="shared" si="160"/>
        <v>0</v>
      </c>
      <c r="AG232" s="107">
        <f t="shared" si="160"/>
        <v>0</v>
      </c>
      <c r="AH232" s="107">
        <f t="shared" si="160"/>
        <v>0</v>
      </c>
      <c r="AI232" s="107">
        <f t="shared" si="160"/>
        <v>0</v>
      </c>
      <c r="AJ232" s="107">
        <f t="shared" si="160"/>
        <v>0</v>
      </c>
      <c r="AK232" s="107">
        <f t="shared" si="160"/>
        <v>0</v>
      </c>
      <c r="AL232" s="107">
        <f t="shared" si="160"/>
        <v>0</v>
      </c>
      <c r="AM232" s="107">
        <f t="shared" si="160"/>
        <v>0</v>
      </c>
      <c r="AN232" s="175"/>
      <c r="AO232" s="107"/>
      <c r="AP232" s="107"/>
      <c r="AQ232" s="107"/>
      <c r="AR232" s="107"/>
      <c r="AS232" s="107"/>
      <c r="AT232" s="107"/>
      <c r="AU232" s="107"/>
      <c r="AV232" s="107"/>
      <c r="AW232" s="1"/>
      <c r="AX232" s="221"/>
    </row>
    <row r="233" spans="1:50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75"/>
      <c r="AO233" s="107"/>
      <c r="AP233" s="107"/>
      <c r="AQ233" s="107"/>
      <c r="AR233" s="107"/>
      <c r="AS233" s="107"/>
      <c r="AT233" s="107"/>
      <c r="AU233" s="107"/>
      <c r="AV233" s="107"/>
      <c r="AW233" s="1"/>
      <c r="AX233" s="221"/>
    </row>
    <row r="234" spans="1:50" ht="15.75" customHeight="1" x14ac:dyDescent="0.3">
      <c r="A234" s="1"/>
      <c r="B234" s="327"/>
      <c r="C234" s="68" t="s">
        <v>5166</v>
      </c>
      <c r="D234" s="327"/>
      <c r="E234" s="327"/>
      <c r="F234" s="327"/>
      <c r="G234" s="327"/>
      <c r="H234" s="327"/>
      <c r="I234" s="327"/>
      <c r="J234" s="327"/>
      <c r="K234" s="327"/>
      <c r="L234" s="327"/>
      <c r="M234" s="1"/>
      <c r="N234" s="1"/>
      <c r="O234" s="329">
        <f>O236+O247+O251+O255</f>
        <v>112327.81793783819</v>
      </c>
      <c r="P234" s="329">
        <f t="shared" ref="P234:AM234" si="161">P236+P247+P251+P255</f>
        <v>488190.83755515318</v>
      </c>
      <c r="Q234" s="329">
        <f t="shared" si="161"/>
        <v>483543.68203929416</v>
      </c>
      <c r="R234" s="329">
        <f t="shared" si="161"/>
        <v>488213.62286485091</v>
      </c>
      <c r="S234" s="329">
        <f t="shared" si="161"/>
        <v>488030.12902874197</v>
      </c>
      <c r="T234" s="329">
        <f t="shared" si="161"/>
        <v>483772.74649479875</v>
      </c>
      <c r="U234" s="329">
        <f t="shared" si="161"/>
        <v>488052.91433843976</v>
      </c>
      <c r="V234" s="329">
        <f t="shared" si="161"/>
        <v>483795.53180449666</v>
      </c>
      <c r="W234" s="329">
        <f t="shared" si="161"/>
        <v>488075.69964813761</v>
      </c>
      <c r="X234" s="329">
        <f t="shared" si="161"/>
        <v>488281.97879394435</v>
      </c>
      <c r="Y234" s="329">
        <f t="shared" si="161"/>
        <v>483634.82327808545</v>
      </c>
      <c r="Z234" s="329">
        <f t="shared" si="161"/>
        <v>488304.76410364214</v>
      </c>
      <c r="AA234" s="329">
        <f t="shared" si="161"/>
        <v>483657.60858778318</v>
      </c>
      <c r="AB234" s="329">
        <f t="shared" si="161"/>
        <v>488327.54941333993</v>
      </c>
      <c r="AC234" s="329">
        <f t="shared" si="161"/>
        <v>488144.05557723099</v>
      </c>
      <c r="AD234" s="329">
        <f t="shared" si="161"/>
        <v>483886.67304328777</v>
      </c>
      <c r="AE234" s="329">
        <f t="shared" si="161"/>
        <v>488166.84088692872</v>
      </c>
      <c r="AF234" s="329">
        <f t="shared" si="161"/>
        <v>483909.45835298568</v>
      </c>
      <c r="AG234" s="329">
        <f t="shared" si="161"/>
        <v>488189.62619662657</v>
      </c>
      <c r="AH234" s="329">
        <f t="shared" si="161"/>
        <v>488395.90534243337</v>
      </c>
      <c r="AI234" s="329">
        <f t="shared" si="161"/>
        <v>483748.74982657447</v>
      </c>
      <c r="AJ234" s="329">
        <f t="shared" si="161"/>
        <v>488418.6906521311</v>
      </c>
      <c r="AK234" s="329">
        <f t="shared" si="161"/>
        <v>483771.53513627226</v>
      </c>
      <c r="AL234" s="329">
        <f t="shared" si="161"/>
        <v>488441.47596182895</v>
      </c>
      <c r="AM234" s="329">
        <f t="shared" si="161"/>
        <v>498831.20374226349</v>
      </c>
      <c r="AN234" s="175"/>
      <c r="AO234" s="107"/>
      <c r="AP234" s="107"/>
      <c r="AQ234" s="107"/>
      <c r="AR234" s="107"/>
      <c r="AS234" s="107"/>
      <c r="AT234" s="107"/>
      <c r="AU234" s="107"/>
      <c r="AV234" s="107"/>
      <c r="AW234" s="1"/>
      <c r="AX234" s="221"/>
    </row>
    <row r="235" spans="1:50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75"/>
      <c r="AO235" s="107"/>
      <c r="AP235" s="107"/>
      <c r="AQ235" s="107"/>
      <c r="AR235" s="107"/>
      <c r="AS235" s="107"/>
      <c r="AT235" s="107"/>
      <c r="AU235" s="107"/>
      <c r="AV235" s="107"/>
      <c r="AW235" s="1"/>
      <c r="AX235" s="221"/>
    </row>
    <row r="236" spans="1:50" ht="15.75" customHeight="1" x14ac:dyDescent="0.3">
      <c r="A236" s="1"/>
      <c r="B236" s="1"/>
      <c r="C236" s="60" t="s">
        <v>111</v>
      </c>
      <c r="D236" s="60"/>
      <c r="E236" s="60"/>
      <c r="F236" s="60"/>
      <c r="G236" s="60"/>
      <c r="H236" s="60"/>
      <c r="I236" s="137">
        <v>9.2499999999999999E-2</v>
      </c>
      <c r="J236" s="60"/>
      <c r="K236" s="60"/>
      <c r="L236" s="60"/>
      <c r="M236" s="1"/>
      <c r="N236" s="1"/>
      <c r="O236" s="109">
        <f t="shared" ref="O236:AM236" si="162">$I236*(O237+O238)</f>
        <v>17546.668204490092</v>
      </c>
      <c r="P236" s="109">
        <f t="shared" si="162"/>
        <v>100744.02562753369</v>
      </c>
      <c r="Q236" s="109">
        <f t="shared" si="162"/>
        <v>99663.31787623222</v>
      </c>
      <c r="R236" s="109">
        <f t="shared" si="162"/>
        <v>100778.54882404553</v>
      </c>
      <c r="S236" s="109">
        <f t="shared" si="162"/>
        <v>100500.52786024404</v>
      </c>
      <c r="T236" s="109">
        <f t="shared" si="162"/>
        <v>100010.38523305733</v>
      </c>
      <c r="U236" s="109">
        <f t="shared" si="162"/>
        <v>100535.05105675585</v>
      </c>
      <c r="V236" s="109">
        <f t="shared" si="162"/>
        <v>100044.90842956914</v>
      </c>
      <c r="W236" s="109">
        <f t="shared" si="162"/>
        <v>100569.57425326767</v>
      </c>
      <c r="X236" s="109">
        <f t="shared" si="162"/>
        <v>100882.11841358097</v>
      </c>
      <c r="Y236" s="109">
        <f t="shared" si="162"/>
        <v>99801.410662279479</v>
      </c>
      <c r="Z236" s="109">
        <f t="shared" si="162"/>
        <v>100916.64161009277</v>
      </c>
      <c r="AA236" s="109">
        <f t="shared" si="162"/>
        <v>99835.933858791308</v>
      </c>
      <c r="AB236" s="109">
        <f t="shared" si="162"/>
        <v>100951.16480660459</v>
      </c>
      <c r="AC236" s="109">
        <f t="shared" si="162"/>
        <v>100673.14384280313</v>
      </c>
      <c r="AD236" s="109">
        <f t="shared" si="162"/>
        <v>100183.00121561643</v>
      </c>
      <c r="AE236" s="109">
        <f t="shared" si="162"/>
        <v>100707.66703931493</v>
      </c>
      <c r="AF236" s="109">
        <f t="shared" si="162"/>
        <v>100217.52441212824</v>
      </c>
      <c r="AG236" s="109">
        <f t="shared" si="162"/>
        <v>100742.19023582675</v>
      </c>
      <c r="AH236" s="109">
        <f t="shared" si="162"/>
        <v>101054.73439614006</v>
      </c>
      <c r="AI236" s="109">
        <f t="shared" si="162"/>
        <v>99974.026644838566</v>
      </c>
      <c r="AJ236" s="109">
        <f t="shared" si="162"/>
        <v>101089.25759265188</v>
      </c>
      <c r="AK236" s="109">
        <f t="shared" si="162"/>
        <v>100008.54984135038</v>
      </c>
      <c r="AL236" s="109">
        <f t="shared" si="162"/>
        <v>101123.78078916369</v>
      </c>
      <c r="AM236" s="109">
        <f t="shared" si="162"/>
        <v>104423.4466503382</v>
      </c>
      <c r="AN236" s="175"/>
      <c r="AO236" s="107"/>
      <c r="AP236" s="107"/>
      <c r="AQ236" s="107"/>
      <c r="AR236" s="107"/>
      <c r="AS236" s="107"/>
      <c r="AT236" s="107"/>
      <c r="AU236" s="107"/>
      <c r="AV236" s="107"/>
      <c r="AW236" s="1"/>
      <c r="AX236" s="221"/>
    </row>
    <row r="237" spans="1:50" ht="15.75" customHeight="1" x14ac:dyDescent="0.3">
      <c r="A237" s="1"/>
      <c r="B237" s="1"/>
      <c r="C237" s="1" t="s">
        <v>113</v>
      </c>
      <c r="D237" s="1"/>
      <c r="E237" s="1"/>
      <c r="F237" s="1"/>
      <c r="G237" s="1"/>
      <c r="H237" s="1"/>
      <c r="I237" s="139">
        <v>1</v>
      </c>
      <c r="J237" s="1"/>
      <c r="K237" s="1"/>
      <c r="L237" s="1"/>
      <c r="M237" s="1"/>
      <c r="N237" s="1"/>
      <c r="O237" s="107">
        <f t="shared" ref="O237:AM237" si="163">O122*$I237</f>
        <v>552924.06825733301</v>
      </c>
      <c r="P237" s="107">
        <f t="shared" si="163"/>
        <v>1658772.2047720007</v>
      </c>
      <c r="Q237" s="107">
        <f t="shared" si="163"/>
        <v>1658772.2047720007</v>
      </c>
      <c r="R237" s="107">
        <f t="shared" si="163"/>
        <v>1658772.2047720007</v>
      </c>
      <c r="S237" s="107">
        <f t="shared" si="163"/>
        <v>1658772.2047720007</v>
      </c>
      <c r="T237" s="107">
        <f t="shared" si="163"/>
        <v>1658772.2047720007</v>
      </c>
      <c r="U237" s="107">
        <f t="shared" si="163"/>
        <v>1658772.2047720007</v>
      </c>
      <c r="V237" s="107">
        <f t="shared" si="163"/>
        <v>1658772.2047720007</v>
      </c>
      <c r="W237" s="107">
        <f t="shared" si="163"/>
        <v>1658772.2047720007</v>
      </c>
      <c r="X237" s="107">
        <f t="shared" si="163"/>
        <v>1658772.2047720007</v>
      </c>
      <c r="Y237" s="107">
        <f t="shared" si="163"/>
        <v>1658772.2047720007</v>
      </c>
      <c r="Z237" s="107">
        <f t="shared" si="163"/>
        <v>1658772.2047720007</v>
      </c>
      <c r="AA237" s="107">
        <f t="shared" si="163"/>
        <v>1658772.2047720007</v>
      </c>
      <c r="AB237" s="107">
        <f t="shared" si="163"/>
        <v>1658772.2047720007</v>
      </c>
      <c r="AC237" s="107">
        <f t="shared" si="163"/>
        <v>1658772.2047720007</v>
      </c>
      <c r="AD237" s="107">
        <f t="shared" si="163"/>
        <v>1658772.2047720007</v>
      </c>
      <c r="AE237" s="107">
        <f t="shared" si="163"/>
        <v>1658772.2047720007</v>
      </c>
      <c r="AF237" s="107">
        <f t="shared" si="163"/>
        <v>1658772.2047720007</v>
      </c>
      <c r="AG237" s="107">
        <f t="shared" si="163"/>
        <v>1658772.2047720007</v>
      </c>
      <c r="AH237" s="107">
        <f t="shared" si="163"/>
        <v>1658772.2047720007</v>
      </c>
      <c r="AI237" s="107">
        <f t="shared" si="163"/>
        <v>1658772.2047720007</v>
      </c>
      <c r="AJ237" s="107">
        <f t="shared" si="163"/>
        <v>1658772.2047720007</v>
      </c>
      <c r="AK237" s="107">
        <f t="shared" si="163"/>
        <v>1658772.2047720007</v>
      </c>
      <c r="AL237" s="107">
        <f t="shared" si="163"/>
        <v>1658772.2047720007</v>
      </c>
      <c r="AM237" s="107">
        <f t="shared" si="163"/>
        <v>1658772.2047720007</v>
      </c>
      <c r="AN237" s="175"/>
      <c r="AO237" s="107"/>
      <c r="AP237" s="107"/>
      <c r="AQ237" s="107"/>
      <c r="AR237" s="107"/>
      <c r="AS237" s="107"/>
      <c r="AT237" s="107"/>
      <c r="AU237" s="107"/>
      <c r="AV237" s="107"/>
      <c r="AW237" s="1"/>
      <c r="AX237" s="221"/>
    </row>
    <row r="238" spans="1:50" ht="15.75" customHeight="1" x14ac:dyDescent="0.3">
      <c r="A238" s="1"/>
      <c r="B238" s="1"/>
      <c r="C238" s="1" t="s">
        <v>114</v>
      </c>
      <c r="D238" s="1"/>
      <c r="E238" s="1"/>
      <c r="F238" s="1"/>
      <c r="G238" s="1"/>
      <c r="H238" s="1"/>
      <c r="I238" s="139">
        <v>0.75</v>
      </c>
      <c r="J238" s="1"/>
      <c r="K238" s="1"/>
      <c r="L238" s="1"/>
      <c r="M238" s="1"/>
      <c r="N238" s="1"/>
      <c r="O238" s="107">
        <f t="shared" ref="O238:AM238" si="164">$I$238*O106</f>
        <v>-363230.35793852119</v>
      </c>
      <c r="P238" s="107">
        <f t="shared" si="164"/>
        <v>-569647.60339325794</v>
      </c>
      <c r="Q238" s="107">
        <f t="shared" si="164"/>
        <v>-581330.93043435505</v>
      </c>
      <c r="R238" s="107">
        <f t="shared" si="164"/>
        <v>-569274.37964718428</v>
      </c>
      <c r="S238" s="107">
        <f t="shared" si="164"/>
        <v>-572280.01168828132</v>
      </c>
      <c r="T238" s="107">
        <f t="shared" si="164"/>
        <v>-577578.85090111056</v>
      </c>
      <c r="U238" s="107">
        <f t="shared" si="164"/>
        <v>-571906.78794220765</v>
      </c>
      <c r="V238" s="107">
        <f t="shared" si="164"/>
        <v>-577205.6271550369</v>
      </c>
      <c r="W238" s="107">
        <f t="shared" si="164"/>
        <v>-571533.56419613399</v>
      </c>
      <c r="X238" s="107">
        <f t="shared" si="164"/>
        <v>-568154.70840896317</v>
      </c>
      <c r="Y238" s="107">
        <f t="shared" si="164"/>
        <v>-579838.03545006027</v>
      </c>
      <c r="Z238" s="107">
        <f t="shared" si="164"/>
        <v>-567781.4846628895</v>
      </c>
      <c r="AA238" s="107">
        <f t="shared" si="164"/>
        <v>-579464.81170398649</v>
      </c>
      <c r="AB238" s="107">
        <f t="shared" si="164"/>
        <v>-567408.26091681584</v>
      </c>
      <c r="AC238" s="107">
        <f t="shared" si="164"/>
        <v>-570413.89295791287</v>
      </c>
      <c r="AD238" s="107">
        <f t="shared" si="164"/>
        <v>-575712.73217074212</v>
      </c>
      <c r="AE238" s="107">
        <f t="shared" si="164"/>
        <v>-570040.66921183921</v>
      </c>
      <c r="AF238" s="107">
        <f t="shared" si="164"/>
        <v>-575339.50842466834</v>
      </c>
      <c r="AG238" s="107">
        <f t="shared" si="164"/>
        <v>-569667.44546576543</v>
      </c>
      <c r="AH238" s="107">
        <f t="shared" si="164"/>
        <v>-566288.58967859461</v>
      </c>
      <c r="AI238" s="107">
        <f t="shared" si="164"/>
        <v>-577971.91671969171</v>
      </c>
      <c r="AJ238" s="107">
        <f t="shared" si="164"/>
        <v>-565915.36593252094</v>
      </c>
      <c r="AK238" s="107">
        <f t="shared" si="164"/>
        <v>-577598.69297361816</v>
      </c>
      <c r="AL238" s="107">
        <f t="shared" si="164"/>
        <v>-565542.14218644728</v>
      </c>
      <c r="AM238" s="107">
        <f t="shared" si="164"/>
        <v>-529870.07882239844</v>
      </c>
      <c r="AN238" s="175"/>
      <c r="AO238" s="107"/>
      <c r="AP238" s="107"/>
      <c r="AQ238" s="107"/>
      <c r="AR238" s="107"/>
      <c r="AS238" s="107"/>
      <c r="AT238" s="107"/>
      <c r="AU238" s="107"/>
      <c r="AV238" s="107"/>
      <c r="AW238" s="1"/>
      <c r="AX238" s="221"/>
    </row>
    <row r="239" spans="1:50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75"/>
      <c r="AO239" s="107"/>
      <c r="AP239" s="107"/>
      <c r="AQ239" s="107"/>
      <c r="AR239" s="107"/>
      <c r="AS239" s="107"/>
      <c r="AT239" s="107"/>
      <c r="AU239" s="107"/>
      <c r="AV239" s="107"/>
      <c r="AW239" s="1"/>
      <c r="AX239" s="221"/>
    </row>
    <row r="240" spans="1:50" ht="15.75" customHeight="1" x14ac:dyDescent="0.3">
      <c r="A240" s="1"/>
      <c r="B240" s="1"/>
      <c r="C240" s="60" t="s">
        <v>115</v>
      </c>
      <c r="D240" s="60"/>
      <c r="E240" s="60"/>
      <c r="F240" s="60"/>
      <c r="G240" s="60"/>
      <c r="H240" s="60"/>
      <c r="I240" s="60"/>
      <c r="J240" s="60"/>
      <c r="K240" s="60"/>
      <c r="L240" s="109"/>
      <c r="M240" s="1"/>
      <c r="N240" s="1"/>
      <c r="O240" s="109">
        <f t="shared" ref="O240:AM240" si="165">N243</f>
        <v>0</v>
      </c>
      <c r="P240" s="109">
        <f t="shared" si="165"/>
        <v>363230.35793852119</v>
      </c>
      <c r="Q240" s="109">
        <f t="shared" si="165"/>
        <v>726749.12907649274</v>
      </c>
      <c r="R240" s="109">
        <f t="shared" si="165"/>
        <v>1100870.5195042598</v>
      </c>
      <c r="S240" s="109">
        <f t="shared" si="165"/>
        <v>1464050.5900926695</v>
      </c>
      <c r="T240" s="109">
        <f t="shared" si="165"/>
        <v>1829958.2717583748</v>
      </c>
      <c r="U240" s="109">
        <f t="shared" si="165"/>
        <v>2200674.6500097224</v>
      </c>
      <c r="V240" s="109">
        <f t="shared" si="165"/>
        <v>2566243.6311258655</v>
      </c>
      <c r="W240" s="109">
        <f t="shared" si="165"/>
        <v>2936621.3088276512</v>
      </c>
      <c r="X240" s="109">
        <f t="shared" si="165"/>
        <v>3301851.5893942327</v>
      </c>
      <c r="Y240" s="109">
        <f t="shared" si="165"/>
        <v>3664015.5583339571</v>
      </c>
      <c r="Z240" s="109">
        <f t="shared" si="165"/>
        <v>4036782.1465634769</v>
      </c>
      <c r="AA240" s="109">
        <f t="shared" si="165"/>
        <v>4398607.4149536388</v>
      </c>
      <c r="AB240" s="109">
        <f t="shared" si="165"/>
        <v>4771035.3026335966</v>
      </c>
      <c r="AC240" s="109">
        <f t="shared" si="165"/>
        <v>5132521.870474197</v>
      </c>
      <c r="AD240" s="109">
        <f t="shared" si="165"/>
        <v>5496736.049392093</v>
      </c>
      <c r="AE240" s="109">
        <f t="shared" si="165"/>
        <v>5865758.9248956311</v>
      </c>
      <c r="AF240" s="109">
        <f t="shared" si="165"/>
        <v>6229634.4032639656</v>
      </c>
      <c r="AG240" s="109">
        <f t="shared" si="165"/>
        <v>6598318.5782179423</v>
      </c>
      <c r="AH240" s="109">
        <f t="shared" si="165"/>
        <v>6961855.3560367152</v>
      </c>
      <c r="AI240" s="109">
        <f t="shared" si="165"/>
        <v>7322325.8222286301</v>
      </c>
      <c r="AJ240" s="109">
        <f t="shared" si="165"/>
        <v>7693398.9077103399</v>
      </c>
      <c r="AK240" s="109">
        <f t="shared" si="165"/>
        <v>8053530.6733526923</v>
      </c>
      <c r="AL240" s="109">
        <f t="shared" si="165"/>
        <v>8424265.0582848396</v>
      </c>
      <c r="AM240" s="109">
        <f t="shared" si="165"/>
        <v>8784058.1233776305</v>
      </c>
      <c r="AN240" s="175"/>
      <c r="AO240" s="107"/>
      <c r="AP240" s="107"/>
      <c r="AQ240" s="107"/>
      <c r="AR240" s="107"/>
      <c r="AS240" s="107"/>
      <c r="AT240" s="107"/>
      <c r="AU240" s="107"/>
      <c r="AV240" s="107"/>
      <c r="AW240" s="1"/>
      <c r="AX240" s="221"/>
    </row>
    <row r="241" spans="1:50 16384:16384" ht="15.75" customHeight="1" x14ac:dyDescent="0.3">
      <c r="A241" s="1"/>
      <c r="B241" s="1"/>
      <c r="C241" s="1" t="s">
        <v>116</v>
      </c>
      <c r="D241" s="1"/>
      <c r="E241" s="1"/>
      <c r="F241" s="1"/>
      <c r="G241" s="1"/>
      <c r="H241" s="1"/>
      <c r="I241" s="1"/>
      <c r="J241" s="1"/>
      <c r="K241" s="1"/>
      <c r="L241" s="107"/>
      <c r="M241" s="1"/>
      <c r="N241" s="1"/>
      <c r="O241" s="107">
        <f>MAX(-O238,0)</f>
        <v>363230.35793852119</v>
      </c>
      <c r="P241" s="107">
        <f t="shared" ref="P241:AM241" si="166">MAX(-P238,0)</f>
        <v>569647.60339325794</v>
      </c>
      <c r="Q241" s="107">
        <f t="shared" si="166"/>
        <v>581330.93043435505</v>
      </c>
      <c r="R241" s="107">
        <f t="shared" si="166"/>
        <v>569274.37964718428</v>
      </c>
      <c r="S241" s="107">
        <f t="shared" si="166"/>
        <v>572280.01168828132</v>
      </c>
      <c r="T241" s="107">
        <f t="shared" si="166"/>
        <v>577578.85090111056</v>
      </c>
      <c r="U241" s="107">
        <f t="shared" si="166"/>
        <v>571906.78794220765</v>
      </c>
      <c r="V241" s="107">
        <f t="shared" si="166"/>
        <v>577205.6271550369</v>
      </c>
      <c r="W241" s="107">
        <f t="shared" si="166"/>
        <v>571533.56419613399</v>
      </c>
      <c r="X241" s="107">
        <f t="shared" si="166"/>
        <v>568154.70840896317</v>
      </c>
      <c r="Y241" s="107">
        <f t="shared" si="166"/>
        <v>579838.03545006027</v>
      </c>
      <c r="Z241" s="107">
        <f t="shared" si="166"/>
        <v>567781.4846628895</v>
      </c>
      <c r="AA241" s="107">
        <f t="shared" si="166"/>
        <v>579464.81170398649</v>
      </c>
      <c r="AB241" s="107">
        <f t="shared" si="166"/>
        <v>567408.26091681584</v>
      </c>
      <c r="AC241" s="107">
        <f t="shared" si="166"/>
        <v>570413.89295791287</v>
      </c>
      <c r="AD241" s="107">
        <f t="shared" si="166"/>
        <v>575712.73217074212</v>
      </c>
      <c r="AE241" s="107">
        <f t="shared" si="166"/>
        <v>570040.66921183921</v>
      </c>
      <c r="AF241" s="107">
        <f t="shared" si="166"/>
        <v>575339.50842466834</v>
      </c>
      <c r="AG241" s="107">
        <f t="shared" si="166"/>
        <v>569667.44546576543</v>
      </c>
      <c r="AH241" s="107">
        <f t="shared" si="166"/>
        <v>566288.58967859461</v>
      </c>
      <c r="AI241" s="107">
        <f t="shared" si="166"/>
        <v>577971.91671969171</v>
      </c>
      <c r="AJ241" s="107">
        <f t="shared" si="166"/>
        <v>565915.36593252094</v>
      </c>
      <c r="AK241" s="107">
        <f t="shared" si="166"/>
        <v>577598.69297361816</v>
      </c>
      <c r="AL241" s="107">
        <f t="shared" si="166"/>
        <v>565542.14218644728</v>
      </c>
      <c r="AM241" s="107">
        <f t="shared" si="166"/>
        <v>529870.07882239844</v>
      </c>
      <c r="AN241" s="175"/>
      <c r="AO241" s="107"/>
      <c r="AP241" s="107"/>
      <c r="AQ241" s="107"/>
      <c r="AR241" s="107"/>
      <c r="AS241" s="107"/>
      <c r="AT241" s="107"/>
      <c r="AU241" s="107"/>
      <c r="AV241" s="107"/>
      <c r="AW241" s="1"/>
      <c r="AX241" s="221"/>
    </row>
    <row r="242" spans="1:50 16384:16384" ht="15.75" customHeight="1" x14ac:dyDescent="0.3">
      <c r="A242" s="1"/>
      <c r="B242" s="1"/>
      <c r="C242" s="1" t="s">
        <v>117</v>
      </c>
      <c r="D242" s="1"/>
      <c r="E242" s="1"/>
      <c r="F242" s="1"/>
      <c r="G242" s="1"/>
      <c r="H242" s="1"/>
      <c r="I242" s="138">
        <v>9.2499999999999999E-2</v>
      </c>
      <c r="J242" s="1"/>
      <c r="K242" s="1"/>
      <c r="L242" s="107"/>
      <c r="M242" s="1"/>
      <c r="N242" s="1"/>
      <c r="O242" s="107">
        <f>-MAX(0,MIN(O240,$I$242*(O237-O238)))</f>
        <v>0</v>
      </c>
      <c r="P242" s="107">
        <f t="shared" ref="P242:AM242" si="167">-MAX(0,MIN(P240,$I$242*(P237-P238)))</f>
        <v>-206128.83225528643</v>
      </c>
      <c r="Q242" s="107">
        <f t="shared" si="167"/>
        <v>-207209.54000658789</v>
      </c>
      <c r="R242" s="107">
        <f t="shared" si="167"/>
        <v>-206094.30905877458</v>
      </c>
      <c r="S242" s="107">
        <f t="shared" si="167"/>
        <v>-206372.33002257609</v>
      </c>
      <c r="T242" s="107">
        <f t="shared" si="167"/>
        <v>-206862.47264976279</v>
      </c>
      <c r="U242" s="107">
        <f t="shared" si="167"/>
        <v>-206337.80682606428</v>
      </c>
      <c r="V242" s="107">
        <f t="shared" si="167"/>
        <v>-206827.949453251</v>
      </c>
      <c r="W242" s="107">
        <f t="shared" si="167"/>
        <v>-206303.28362955246</v>
      </c>
      <c r="X242" s="107">
        <f t="shared" si="167"/>
        <v>-205990.73946923917</v>
      </c>
      <c r="Y242" s="107">
        <f t="shared" si="167"/>
        <v>-207071.44722054063</v>
      </c>
      <c r="Z242" s="107">
        <f t="shared" si="167"/>
        <v>-205956.21627272732</v>
      </c>
      <c r="AA242" s="107">
        <f t="shared" si="167"/>
        <v>-207036.92402402882</v>
      </c>
      <c r="AB242" s="107">
        <f t="shared" si="167"/>
        <v>-205921.69307621551</v>
      </c>
      <c r="AC242" s="107">
        <f t="shared" si="167"/>
        <v>-206199.71404001699</v>
      </c>
      <c r="AD242" s="107">
        <f t="shared" si="167"/>
        <v>-206689.85666720368</v>
      </c>
      <c r="AE242" s="107">
        <f t="shared" si="167"/>
        <v>-206165.1908435052</v>
      </c>
      <c r="AF242" s="107">
        <f t="shared" si="167"/>
        <v>-206655.33347069187</v>
      </c>
      <c r="AG242" s="107">
        <f t="shared" si="167"/>
        <v>-206130.66764699336</v>
      </c>
      <c r="AH242" s="107">
        <f t="shared" si="167"/>
        <v>-205818.12348668004</v>
      </c>
      <c r="AI242" s="107">
        <f t="shared" si="167"/>
        <v>-206898.83123798156</v>
      </c>
      <c r="AJ242" s="107">
        <f t="shared" si="167"/>
        <v>-205783.60029016825</v>
      </c>
      <c r="AK242" s="107">
        <f t="shared" si="167"/>
        <v>-206864.30804146972</v>
      </c>
      <c r="AL242" s="107">
        <f t="shared" si="167"/>
        <v>-205749.07709365647</v>
      </c>
      <c r="AM242" s="107">
        <f t="shared" si="167"/>
        <v>-202449.41123248191</v>
      </c>
      <c r="AN242" s="175"/>
      <c r="AO242" s="107"/>
      <c r="AP242" s="107"/>
      <c r="AQ242" s="107"/>
      <c r="AR242" s="107"/>
      <c r="AS242" s="107"/>
      <c r="AT242" s="107"/>
      <c r="AU242" s="107"/>
      <c r="AV242" s="107"/>
      <c r="AW242" s="1"/>
      <c r="AX242" s="221"/>
    </row>
    <row r="243" spans="1:50 16384:16384" ht="15.75" customHeight="1" x14ac:dyDescent="0.3">
      <c r="A243" s="1"/>
      <c r="B243" s="1"/>
      <c r="C243" s="60" t="s">
        <v>118</v>
      </c>
      <c r="D243" s="60"/>
      <c r="E243" s="60"/>
      <c r="F243" s="60"/>
      <c r="G243" s="60"/>
      <c r="H243" s="60"/>
      <c r="I243" s="60"/>
      <c r="J243" s="60"/>
      <c r="K243" s="60"/>
      <c r="L243" s="109"/>
      <c r="M243" s="1"/>
      <c r="N243" s="1"/>
      <c r="O243" s="109">
        <f t="shared" ref="O243:AM243" si="168">SUM(O240:O242)</f>
        <v>363230.35793852119</v>
      </c>
      <c r="P243" s="109">
        <f t="shared" si="168"/>
        <v>726749.12907649274</v>
      </c>
      <c r="Q243" s="109">
        <f t="shared" si="168"/>
        <v>1100870.5195042598</v>
      </c>
      <c r="R243" s="109">
        <f t="shared" si="168"/>
        <v>1464050.5900926695</v>
      </c>
      <c r="S243" s="109">
        <f t="shared" si="168"/>
        <v>1829958.2717583748</v>
      </c>
      <c r="T243" s="109">
        <f t="shared" si="168"/>
        <v>2200674.6500097224</v>
      </c>
      <c r="U243" s="109">
        <f t="shared" si="168"/>
        <v>2566243.6311258655</v>
      </c>
      <c r="V243" s="109">
        <f t="shared" si="168"/>
        <v>2936621.3088276512</v>
      </c>
      <c r="W243" s="109">
        <f t="shared" si="168"/>
        <v>3301851.5893942327</v>
      </c>
      <c r="X243" s="109">
        <f t="shared" si="168"/>
        <v>3664015.5583339571</v>
      </c>
      <c r="Y243" s="109">
        <f t="shared" si="168"/>
        <v>4036782.1465634769</v>
      </c>
      <c r="Z243" s="109">
        <f t="shared" si="168"/>
        <v>4398607.4149536388</v>
      </c>
      <c r="AA243" s="109">
        <f t="shared" si="168"/>
        <v>4771035.3026335966</v>
      </c>
      <c r="AB243" s="109">
        <f t="shared" si="168"/>
        <v>5132521.870474197</v>
      </c>
      <c r="AC243" s="109">
        <f t="shared" si="168"/>
        <v>5496736.049392093</v>
      </c>
      <c r="AD243" s="109">
        <f t="shared" si="168"/>
        <v>5865758.9248956311</v>
      </c>
      <c r="AE243" s="109">
        <f t="shared" si="168"/>
        <v>6229634.4032639656</v>
      </c>
      <c r="AF243" s="109">
        <f t="shared" si="168"/>
        <v>6598318.5782179423</v>
      </c>
      <c r="AG243" s="109">
        <f t="shared" si="168"/>
        <v>6961855.3560367152</v>
      </c>
      <c r="AH243" s="109">
        <f t="shared" si="168"/>
        <v>7322325.8222286301</v>
      </c>
      <c r="AI243" s="109">
        <f t="shared" si="168"/>
        <v>7693398.9077103399</v>
      </c>
      <c r="AJ243" s="109">
        <f t="shared" si="168"/>
        <v>8053530.6733526923</v>
      </c>
      <c r="AK243" s="109">
        <f t="shared" si="168"/>
        <v>8424265.0582848396</v>
      </c>
      <c r="AL243" s="109">
        <f t="shared" si="168"/>
        <v>8784058.1233776305</v>
      </c>
      <c r="AM243" s="109">
        <f t="shared" si="168"/>
        <v>9111478.7909675464</v>
      </c>
      <c r="AN243" s="175"/>
      <c r="AO243" s="107"/>
      <c r="AP243" s="107"/>
      <c r="AQ243" s="107"/>
      <c r="AR243" s="107"/>
      <c r="AS243" s="107"/>
      <c r="AT243" s="107"/>
      <c r="AU243" s="107"/>
      <c r="AV243" s="107"/>
      <c r="AW243" s="1"/>
      <c r="AX243" s="221"/>
    </row>
    <row r="244" spans="1:50 16384:16384" ht="15.75" customHeight="1" x14ac:dyDescent="0.3">
      <c r="A244" s="1"/>
      <c r="B244" s="1"/>
      <c r="C244" s="60"/>
      <c r="D244" s="60"/>
      <c r="E244" s="60"/>
      <c r="F244" s="60"/>
      <c r="G244" s="60"/>
      <c r="H244" s="60"/>
      <c r="I244" s="60"/>
      <c r="J244" s="60"/>
      <c r="K244" s="60"/>
      <c r="L244" s="109"/>
      <c r="M244" s="1"/>
      <c r="N244" s="1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75"/>
      <c r="AO244" s="107"/>
      <c r="AP244" s="107"/>
      <c r="AQ244" s="107"/>
      <c r="AR244" s="107"/>
      <c r="AS244" s="107"/>
      <c r="AT244" s="107"/>
      <c r="AU244" s="107"/>
      <c r="AV244" s="107"/>
      <c r="AW244" s="1"/>
      <c r="AX244" s="221"/>
    </row>
    <row r="245" spans="1:50 16384:16384" ht="15.75" customHeight="1" x14ac:dyDescent="0.3">
      <c r="A245" s="1"/>
      <c r="B245" s="1"/>
      <c r="C245" s="141" t="s">
        <v>5168</v>
      </c>
      <c r="D245" s="141"/>
      <c r="E245" s="141"/>
      <c r="F245" s="141"/>
      <c r="G245" s="141"/>
      <c r="H245" s="141"/>
      <c r="I245" s="141"/>
      <c r="J245" s="141"/>
      <c r="K245" s="141"/>
      <c r="L245" s="142">
        <f t="shared" ref="L245" si="169">SUM(O245:AV245)</f>
        <v>29315106.827148214</v>
      </c>
      <c r="M245" s="1"/>
      <c r="N245" s="1"/>
      <c r="O245" s="328">
        <f t="shared" ref="O245:AM245" si="170">O75-O14-O236-O110</f>
        <v>349356.32274514146</v>
      </c>
      <c r="P245" s="328">
        <f t="shared" si="170"/>
        <v>1210137.6821400572</v>
      </c>
      <c r="Q245" s="328">
        <f t="shared" si="170"/>
        <v>1199648.1298913588</v>
      </c>
      <c r="R245" s="328">
        <f t="shared" si="170"/>
        <v>1210103.1589435453</v>
      </c>
      <c r="S245" s="328">
        <f t="shared" si="170"/>
        <v>1210381.1799073468</v>
      </c>
      <c r="T245" s="328">
        <f t="shared" si="170"/>
        <v>1199301.0625345337</v>
      </c>
      <c r="U245" s="328">
        <f t="shared" si="170"/>
        <v>1210346.6567108349</v>
      </c>
      <c r="V245" s="328">
        <f t="shared" si="170"/>
        <v>1199266.539338022</v>
      </c>
      <c r="W245" s="328">
        <f t="shared" si="170"/>
        <v>1210312.1335143233</v>
      </c>
      <c r="X245" s="328">
        <f t="shared" si="170"/>
        <v>1209999.5893540098</v>
      </c>
      <c r="Y245" s="328">
        <f t="shared" si="170"/>
        <v>1199510.0371053116</v>
      </c>
      <c r="Z245" s="328">
        <f t="shared" si="170"/>
        <v>1209965.0661574982</v>
      </c>
      <c r="AA245" s="328">
        <f t="shared" si="170"/>
        <v>1199475.5139087997</v>
      </c>
      <c r="AB245" s="328">
        <f t="shared" si="170"/>
        <v>1209930.5429609863</v>
      </c>
      <c r="AC245" s="328">
        <f t="shared" si="170"/>
        <v>1210208.5639247878</v>
      </c>
      <c r="AD245" s="328">
        <f t="shared" si="170"/>
        <v>1199128.4465519746</v>
      </c>
      <c r="AE245" s="328">
        <f t="shared" si="170"/>
        <v>1210174.0407282759</v>
      </c>
      <c r="AF245" s="328">
        <f t="shared" si="170"/>
        <v>1199093.923355463</v>
      </c>
      <c r="AG245" s="328">
        <f t="shared" si="170"/>
        <v>1210139.5175317642</v>
      </c>
      <c r="AH245" s="328">
        <f t="shared" si="170"/>
        <v>1209826.9733714508</v>
      </c>
      <c r="AI245" s="328">
        <f t="shared" si="170"/>
        <v>1199337.4211227526</v>
      </c>
      <c r="AJ245" s="328">
        <f t="shared" si="170"/>
        <v>1209792.4501749389</v>
      </c>
      <c r="AK245" s="328">
        <f t="shared" si="170"/>
        <v>1199302.8979262407</v>
      </c>
      <c r="AL245" s="328">
        <f t="shared" si="170"/>
        <v>1209757.9269784272</v>
      </c>
      <c r="AM245" s="328">
        <f t="shared" si="170"/>
        <v>1230611.0502703686</v>
      </c>
      <c r="AN245" s="175"/>
      <c r="AO245" s="107"/>
      <c r="AP245" s="107"/>
      <c r="AQ245" s="107"/>
      <c r="AR245" s="107"/>
      <c r="AS245" s="107"/>
      <c r="AT245" s="107"/>
      <c r="AU245" s="107"/>
      <c r="AV245" s="107"/>
      <c r="AW245" s="1"/>
      <c r="AX245" s="221"/>
      <c r="XFD245" s="142"/>
    </row>
    <row r="246" spans="1:50 16384:16384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75"/>
      <c r="AO246" s="107"/>
      <c r="AP246" s="107"/>
      <c r="AQ246" s="107"/>
      <c r="AR246" s="107"/>
      <c r="AS246" s="107"/>
      <c r="AT246" s="107"/>
      <c r="AU246" s="107"/>
      <c r="AV246" s="107"/>
      <c r="AW246" s="1"/>
      <c r="AX246" s="221"/>
    </row>
    <row r="247" spans="1:50 16384:16384" ht="15.75" customHeight="1" x14ac:dyDescent="0.3">
      <c r="A247" s="1"/>
      <c r="B247" s="1"/>
      <c r="C247" s="60" t="s">
        <v>123</v>
      </c>
      <c r="D247" s="60"/>
      <c r="E247" s="60"/>
      <c r="F247" s="60"/>
      <c r="G247" s="60"/>
      <c r="H247" s="60"/>
      <c r="I247" s="137">
        <f>15%</f>
        <v>0.15</v>
      </c>
      <c r="J247" s="60"/>
      <c r="K247" s="60"/>
      <c r="L247" s="60"/>
      <c r="M247" s="1"/>
      <c r="N247" s="1"/>
      <c r="O247" s="109">
        <f>$I247*(O248-O249)</f>
        <v>52403.44841177122</v>
      </c>
      <c r="P247" s="109">
        <f t="shared" ref="P247:AM247" si="171">$I247*(P248-P249)</f>
        <v>181520.65232100859</v>
      </c>
      <c r="Q247" s="109">
        <f t="shared" si="171"/>
        <v>179947.21948370381</v>
      </c>
      <c r="R247" s="109">
        <f t="shared" si="171"/>
        <v>181515.47384153178</v>
      </c>
      <c r="S247" s="109">
        <f t="shared" si="171"/>
        <v>181557.17698610201</v>
      </c>
      <c r="T247" s="109">
        <f t="shared" si="171"/>
        <v>179895.15938018003</v>
      </c>
      <c r="U247" s="109">
        <f t="shared" si="171"/>
        <v>181551.99850662524</v>
      </c>
      <c r="V247" s="109">
        <f t="shared" si="171"/>
        <v>179889.98090070329</v>
      </c>
      <c r="W247" s="109">
        <f t="shared" si="171"/>
        <v>181546.8200271485</v>
      </c>
      <c r="X247" s="109">
        <f t="shared" si="171"/>
        <v>181499.93840310146</v>
      </c>
      <c r="Y247" s="109">
        <f t="shared" si="171"/>
        <v>179926.50556579675</v>
      </c>
      <c r="Z247" s="109">
        <f t="shared" si="171"/>
        <v>181494.75992362472</v>
      </c>
      <c r="AA247" s="109">
        <f t="shared" si="171"/>
        <v>179921.32708631994</v>
      </c>
      <c r="AB247" s="109">
        <f t="shared" si="171"/>
        <v>181489.58144414795</v>
      </c>
      <c r="AC247" s="109">
        <f t="shared" si="171"/>
        <v>181531.28458871818</v>
      </c>
      <c r="AD247" s="109">
        <f t="shared" si="171"/>
        <v>179869.26698279619</v>
      </c>
      <c r="AE247" s="109">
        <f t="shared" si="171"/>
        <v>181526.10610924137</v>
      </c>
      <c r="AF247" s="109">
        <f t="shared" si="171"/>
        <v>179864.08850331945</v>
      </c>
      <c r="AG247" s="109">
        <f t="shared" si="171"/>
        <v>181520.92762976463</v>
      </c>
      <c r="AH247" s="109">
        <f t="shared" si="171"/>
        <v>181474.04600571762</v>
      </c>
      <c r="AI247" s="109">
        <f t="shared" si="171"/>
        <v>179900.61316841288</v>
      </c>
      <c r="AJ247" s="109">
        <f t="shared" si="171"/>
        <v>181468.86752624082</v>
      </c>
      <c r="AK247" s="109">
        <f t="shared" si="171"/>
        <v>179895.4346889361</v>
      </c>
      <c r="AL247" s="109">
        <f t="shared" si="171"/>
        <v>181463.68904676408</v>
      </c>
      <c r="AM247" s="109">
        <f t="shared" si="171"/>
        <v>184591.65754055529</v>
      </c>
      <c r="AN247" s="175"/>
      <c r="AO247" s="107"/>
      <c r="AP247" s="107"/>
      <c r="AQ247" s="107"/>
      <c r="AR247" s="107"/>
      <c r="AS247" s="107"/>
      <c r="AT247" s="107"/>
      <c r="AU247" s="107"/>
      <c r="AV247" s="107"/>
      <c r="AW247" s="1"/>
      <c r="AX247" s="221"/>
    </row>
    <row r="248" spans="1:50 16384:16384" ht="15.75" customHeight="1" x14ac:dyDescent="0.3">
      <c r="A248" s="1"/>
      <c r="B248" s="1"/>
      <c r="C248" s="1" t="s">
        <v>122</v>
      </c>
      <c r="D248" s="1"/>
      <c r="E248" s="1"/>
      <c r="F248" s="1"/>
      <c r="G248" s="1"/>
      <c r="H248" s="1"/>
      <c r="I248" s="138">
        <v>1</v>
      </c>
      <c r="J248" s="1"/>
      <c r="K248" s="1"/>
      <c r="L248" s="1"/>
      <c r="M248" s="1"/>
      <c r="N248" s="1"/>
      <c r="O248" s="107">
        <f>O245</f>
        <v>349356.32274514146</v>
      </c>
      <c r="P248" s="107">
        <f t="shared" ref="P248:AM248" si="172">P245</f>
        <v>1210137.6821400572</v>
      </c>
      <c r="Q248" s="107">
        <f t="shared" si="172"/>
        <v>1199648.1298913588</v>
      </c>
      <c r="R248" s="107">
        <f t="shared" si="172"/>
        <v>1210103.1589435453</v>
      </c>
      <c r="S248" s="107">
        <f t="shared" si="172"/>
        <v>1210381.1799073468</v>
      </c>
      <c r="T248" s="107">
        <f t="shared" si="172"/>
        <v>1199301.0625345337</v>
      </c>
      <c r="U248" s="107">
        <f t="shared" si="172"/>
        <v>1210346.6567108349</v>
      </c>
      <c r="V248" s="107">
        <f t="shared" si="172"/>
        <v>1199266.539338022</v>
      </c>
      <c r="W248" s="107">
        <f t="shared" si="172"/>
        <v>1210312.1335143233</v>
      </c>
      <c r="X248" s="107">
        <f t="shared" si="172"/>
        <v>1209999.5893540098</v>
      </c>
      <c r="Y248" s="107">
        <f t="shared" si="172"/>
        <v>1199510.0371053116</v>
      </c>
      <c r="Z248" s="107">
        <f t="shared" si="172"/>
        <v>1209965.0661574982</v>
      </c>
      <c r="AA248" s="107">
        <f t="shared" si="172"/>
        <v>1199475.5139087997</v>
      </c>
      <c r="AB248" s="107">
        <f t="shared" si="172"/>
        <v>1209930.5429609863</v>
      </c>
      <c r="AC248" s="107">
        <f t="shared" si="172"/>
        <v>1210208.5639247878</v>
      </c>
      <c r="AD248" s="107">
        <f t="shared" si="172"/>
        <v>1199128.4465519746</v>
      </c>
      <c r="AE248" s="107">
        <f t="shared" si="172"/>
        <v>1210174.0407282759</v>
      </c>
      <c r="AF248" s="107">
        <f t="shared" si="172"/>
        <v>1199093.923355463</v>
      </c>
      <c r="AG248" s="107">
        <f t="shared" si="172"/>
        <v>1210139.5175317642</v>
      </c>
      <c r="AH248" s="107">
        <f t="shared" si="172"/>
        <v>1209826.9733714508</v>
      </c>
      <c r="AI248" s="107">
        <f t="shared" si="172"/>
        <v>1199337.4211227526</v>
      </c>
      <c r="AJ248" s="107">
        <f t="shared" si="172"/>
        <v>1209792.4501749389</v>
      </c>
      <c r="AK248" s="107">
        <f t="shared" si="172"/>
        <v>1199302.8979262407</v>
      </c>
      <c r="AL248" s="107">
        <f t="shared" si="172"/>
        <v>1209757.9269784272</v>
      </c>
      <c r="AM248" s="107">
        <f t="shared" si="172"/>
        <v>1230611.0502703686</v>
      </c>
      <c r="AN248" s="175"/>
      <c r="AO248" s="107"/>
      <c r="AP248" s="107"/>
      <c r="AQ248" s="107"/>
      <c r="AR248" s="107"/>
      <c r="AS248" s="107"/>
      <c r="AT248" s="107"/>
      <c r="AU248" s="107"/>
      <c r="AV248" s="107"/>
      <c r="AW248" s="1"/>
      <c r="AX248" s="221"/>
    </row>
    <row r="249" spans="1:50 16384:16384" ht="15.75" customHeight="1" x14ac:dyDescent="0.3">
      <c r="A249" s="1"/>
      <c r="B249" s="1"/>
      <c r="C249" s="1" t="s">
        <v>114</v>
      </c>
      <c r="D249" s="1"/>
      <c r="E249" s="1"/>
      <c r="F249" s="1"/>
      <c r="G249" s="1"/>
      <c r="H249" s="1"/>
      <c r="I249" s="140">
        <v>0</v>
      </c>
      <c r="J249" s="1"/>
      <c r="K249" s="1"/>
      <c r="L249" s="1"/>
      <c r="M249" s="1"/>
      <c r="N249" s="1"/>
      <c r="O249" s="107">
        <f t="shared" ref="O249:AM249" si="173">$I249</f>
        <v>0</v>
      </c>
      <c r="P249" s="107">
        <f t="shared" si="173"/>
        <v>0</v>
      </c>
      <c r="Q249" s="107">
        <f t="shared" si="173"/>
        <v>0</v>
      </c>
      <c r="R249" s="107">
        <f t="shared" si="173"/>
        <v>0</v>
      </c>
      <c r="S249" s="107">
        <f t="shared" si="173"/>
        <v>0</v>
      </c>
      <c r="T249" s="107">
        <f t="shared" si="173"/>
        <v>0</v>
      </c>
      <c r="U249" s="107">
        <f t="shared" si="173"/>
        <v>0</v>
      </c>
      <c r="V249" s="107">
        <f t="shared" si="173"/>
        <v>0</v>
      </c>
      <c r="W249" s="107">
        <f t="shared" si="173"/>
        <v>0</v>
      </c>
      <c r="X249" s="107">
        <f t="shared" si="173"/>
        <v>0</v>
      </c>
      <c r="Y249" s="107">
        <f t="shared" si="173"/>
        <v>0</v>
      </c>
      <c r="Z249" s="107">
        <f t="shared" si="173"/>
        <v>0</v>
      </c>
      <c r="AA249" s="107">
        <f t="shared" si="173"/>
        <v>0</v>
      </c>
      <c r="AB249" s="107">
        <f t="shared" si="173"/>
        <v>0</v>
      </c>
      <c r="AC249" s="107">
        <f t="shared" si="173"/>
        <v>0</v>
      </c>
      <c r="AD249" s="107">
        <f t="shared" si="173"/>
        <v>0</v>
      </c>
      <c r="AE249" s="107">
        <f t="shared" si="173"/>
        <v>0</v>
      </c>
      <c r="AF249" s="107">
        <f t="shared" si="173"/>
        <v>0</v>
      </c>
      <c r="AG249" s="107">
        <f t="shared" si="173"/>
        <v>0</v>
      </c>
      <c r="AH249" s="107">
        <f t="shared" si="173"/>
        <v>0</v>
      </c>
      <c r="AI249" s="107">
        <f t="shared" si="173"/>
        <v>0</v>
      </c>
      <c r="AJ249" s="107">
        <f t="shared" si="173"/>
        <v>0</v>
      </c>
      <c r="AK249" s="107">
        <f t="shared" si="173"/>
        <v>0</v>
      </c>
      <c r="AL249" s="107">
        <f t="shared" si="173"/>
        <v>0</v>
      </c>
      <c r="AM249" s="107">
        <f t="shared" si="173"/>
        <v>0</v>
      </c>
      <c r="AN249" s="175"/>
      <c r="AO249" s="107"/>
      <c r="AP249" s="107"/>
      <c r="AQ249" s="107"/>
      <c r="AR249" s="107"/>
      <c r="AS249" s="107"/>
      <c r="AT249" s="107"/>
      <c r="AU249" s="107"/>
      <c r="AV249" s="107"/>
      <c r="AW249" s="1"/>
      <c r="AX249" s="221"/>
    </row>
    <row r="250" spans="1:50 16384:16384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75"/>
      <c r="AO250" s="107"/>
      <c r="AP250" s="107"/>
      <c r="AQ250" s="107"/>
      <c r="AR250" s="107"/>
      <c r="AS250" s="107"/>
      <c r="AT250" s="107"/>
      <c r="AU250" s="107"/>
      <c r="AV250" s="107"/>
      <c r="AW250" s="1"/>
      <c r="AX250" s="221"/>
    </row>
    <row r="251" spans="1:50 16384:16384" ht="15.75" customHeight="1" x14ac:dyDescent="0.3">
      <c r="A251" s="1"/>
      <c r="B251" s="1"/>
      <c r="C251" s="60" t="s">
        <v>124</v>
      </c>
      <c r="D251" s="60"/>
      <c r="E251" s="60"/>
      <c r="F251" s="60"/>
      <c r="G251" s="60"/>
      <c r="H251" s="60"/>
      <c r="I251" s="137">
        <f>10%</f>
        <v>0.1</v>
      </c>
      <c r="J251" s="60"/>
      <c r="K251" s="60"/>
      <c r="L251" s="60"/>
      <c r="M251" s="1"/>
      <c r="N251" s="1"/>
      <c r="O251" s="481">
        <f t="shared" ref="O251:AM251" si="174">MAX($I251*(O252-O253),0)</f>
        <v>10935.632274514146</v>
      </c>
      <c r="P251" s="481">
        <f t="shared" si="174"/>
        <v>97013.76821400573</v>
      </c>
      <c r="Q251" s="481">
        <f t="shared" si="174"/>
        <v>95964.812989135884</v>
      </c>
      <c r="R251" s="481">
        <f t="shared" si="174"/>
        <v>97010.315894354542</v>
      </c>
      <c r="S251" s="481">
        <f t="shared" si="174"/>
        <v>97038.117990734696</v>
      </c>
      <c r="T251" s="481">
        <f t="shared" si="174"/>
        <v>95930.10625345337</v>
      </c>
      <c r="U251" s="481">
        <f t="shared" si="174"/>
        <v>97034.665671083494</v>
      </c>
      <c r="V251" s="481">
        <f t="shared" si="174"/>
        <v>95926.653933802212</v>
      </c>
      <c r="W251" s="481">
        <f t="shared" si="174"/>
        <v>97031.213351432336</v>
      </c>
      <c r="X251" s="481">
        <f t="shared" si="174"/>
        <v>96999.958935400995</v>
      </c>
      <c r="Y251" s="481">
        <f t="shared" si="174"/>
        <v>95951.003710531164</v>
      </c>
      <c r="Z251" s="481">
        <f t="shared" si="174"/>
        <v>96996.506615749822</v>
      </c>
      <c r="AA251" s="481">
        <f t="shared" si="174"/>
        <v>95947.551390879977</v>
      </c>
      <c r="AB251" s="481">
        <f t="shared" si="174"/>
        <v>96993.054296098635</v>
      </c>
      <c r="AC251" s="481">
        <f t="shared" si="174"/>
        <v>97020.856392478789</v>
      </c>
      <c r="AD251" s="481">
        <f t="shared" si="174"/>
        <v>95912.844655197463</v>
      </c>
      <c r="AE251" s="481">
        <f t="shared" si="174"/>
        <v>97017.404072827601</v>
      </c>
      <c r="AF251" s="481">
        <f t="shared" si="174"/>
        <v>95909.392335546305</v>
      </c>
      <c r="AG251" s="481">
        <f t="shared" si="174"/>
        <v>97013.951753176429</v>
      </c>
      <c r="AH251" s="481">
        <f t="shared" si="174"/>
        <v>96982.697337145088</v>
      </c>
      <c r="AI251" s="481">
        <f t="shared" si="174"/>
        <v>95933.742112275271</v>
      </c>
      <c r="AJ251" s="481">
        <f t="shared" si="174"/>
        <v>96979.2450174939</v>
      </c>
      <c r="AK251" s="481">
        <f t="shared" si="174"/>
        <v>95930.289792624069</v>
      </c>
      <c r="AL251" s="481">
        <f t="shared" si="174"/>
        <v>96975.792697842728</v>
      </c>
      <c r="AM251" s="481">
        <f t="shared" si="174"/>
        <v>99061.105027036858</v>
      </c>
      <c r="AN251" s="175"/>
      <c r="AO251" s="107"/>
      <c r="AP251" s="107"/>
      <c r="AQ251" s="107"/>
      <c r="AR251" s="107"/>
      <c r="AS251" s="107"/>
      <c r="AT251" s="107"/>
      <c r="AU251" s="107"/>
      <c r="AV251" s="107"/>
      <c r="AW251" s="1"/>
      <c r="AX251" s="221"/>
    </row>
    <row r="252" spans="1:50 16384:16384" ht="15.75" customHeight="1" x14ac:dyDescent="0.3">
      <c r="A252" s="1"/>
      <c r="B252" s="1"/>
      <c r="C252" s="1" t="s">
        <v>122</v>
      </c>
      <c r="D252" s="1"/>
      <c r="E252" s="1"/>
      <c r="F252" s="1"/>
      <c r="G252" s="1"/>
      <c r="H252" s="1"/>
      <c r="I252" s="138">
        <v>1</v>
      </c>
      <c r="J252" s="1"/>
      <c r="K252" s="1"/>
      <c r="L252" s="1"/>
      <c r="M252" s="1"/>
      <c r="N252" s="1"/>
      <c r="O252" s="107">
        <f>O245</f>
        <v>349356.32274514146</v>
      </c>
      <c r="P252" s="107">
        <f t="shared" ref="P252:AM252" si="175">P245</f>
        <v>1210137.6821400572</v>
      </c>
      <c r="Q252" s="107">
        <f t="shared" si="175"/>
        <v>1199648.1298913588</v>
      </c>
      <c r="R252" s="107">
        <f t="shared" si="175"/>
        <v>1210103.1589435453</v>
      </c>
      <c r="S252" s="107">
        <f t="shared" si="175"/>
        <v>1210381.1799073468</v>
      </c>
      <c r="T252" s="107">
        <f t="shared" si="175"/>
        <v>1199301.0625345337</v>
      </c>
      <c r="U252" s="107">
        <f t="shared" si="175"/>
        <v>1210346.6567108349</v>
      </c>
      <c r="V252" s="107">
        <f t="shared" si="175"/>
        <v>1199266.539338022</v>
      </c>
      <c r="W252" s="107">
        <f t="shared" si="175"/>
        <v>1210312.1335143233</v>
      </c>
      <c r="X252" s="107">
        <f t="shared" si="175"/>
        <v>1209999.5893540098</v>
      </c>
      <c r="Y252" s="107">
        <f t="shared" si="175"/>
        <v>1199510.0371053116</v>
      </c>
      <c r="Z252" s="107">
        <f t="shared" si="175"/>
        <v>1209965.0661574982</v>
      </c>
      <c r="AA252" s="107">
        <f t="shared" si="175"/>
        <v>1199475.5139087997</v>
      </c>
      <c r="AB252" s="107">
        <f t="shared" si="175"/>
        <v>1209930.5429609863</v>
      </c>
      <c r="AC252" s="107">
        <f t="shared" si="175"/>
        <v>1210208.5639247878</v>
      </c>
      <c r="AD252" s="107">
        <f t="shared" si="175"/>
        <v>1199128.4465519746</v>
      </c>
      <c r="AE252" s="107">
        <f t="shared" si="175"/>
        <v>1210174.0407282759</v>
      </c>
      <c r="AF252" s="107">
        <f t="shared" si="175"/>
        <v>1199093.923355463</v>
      </c>
      <c r="AG252" s="107">
        <f t="shared" si="175"/>
        <v>1210139.5175317642</v>
      </c>
      <c r="AH252" s="107">
        <f t="shared" si="175"/>
        <v>1209826.9733714508</v>
      </c>
      <c r="AI252" s="107">
        <f t="shared" si="175"/>
        <v>1199337.4211227526</v>
      </c>
      <c r="AJ252" s="107">
        <f t="shared" si="175"/>
        <v>1209792.4501749389</v>
      </c>
      <c r="AK252" s="107">
        <f t="shared" si="175"/>
        <v>1199302.8979262407</v>
      </c>
      <c r="AL252" s="107">
        <f t="shared" si="175"/>
        <v>1209757.9269784272</v>
      </c>
      <c r="AM252" s="107">
        <f t="shared" si="175"/>
        <v>1230611.0502703686</v>
      </c>
      <c r="AN252" s="175"/>
      <c r="AO252" s="107"/>
      <c r="AP252" s="107"/>
      <c r="AQ252" s="107"/>
      <c r="AR252" s="107"/>
      <c r="AS252" s="107"/>
      <c r="AT252" s="107"/>
      <c r="AU252" s="107"/>
      <c r="AV252" s="107"/>
      <c r="AW252" s="1"/>
      <c r="AX252" s="221"/>
    </row>
    <row r="253" spans="1:50 16384:16384" ht="15.75" customHeight="1" x14ac:dyDescent="0.3">
      <c r="A253" s="1"/>
      <c r="B253" s="1"/>
      <c r="C253" s="1" t="s">
        <v>114</v>
      </c>
      <c r="D253" s="1"/>
      <c r="E253" s="1"/>
      <c r="F253" s="1"/>
      <c r="G253" s="1"/>
      <c r="H253" s="1"/>
      <c r="I253" s="143">
        <v>240000</v>
      </c>
      <c r="J253" s="1"/>
      <c r="K253" s="1"/>
      <c r="L253" s="1"/>
      <c r="M253" s="1"/>
      <c r="N253" s="1"/>
      <c r="O253" s="107">
        <f t="shared" ref="O253:AM253" si="176">$I253</f>
        <v>240000</v>
      </c>
      <c r="P253" s="107">
        <f t="shared" si="176"/>
        <v>240000</v>
      </c>
      <c r="Q253" s="107">
        <f t="shared" si="176"/>
        <v>240000</v>
      </c>
      <c r="R253" s="107">
        <f t="shared" si="176"/>
        <v>240000</v>
      </c>
      <c r="S253" s="107">
        <f t="shared" si="176"/>
        <v>240000</v>
      </c>
      <c r="T253" s="107">
        <f t="shared" si="176"/>
        <v>240000</v>
      </c>
      <c r="U253" s="107">
        <f t="shared" si="176"/>
        <v>240000</v>
      </c>
      <c r="V253" s="107">
        <f t="shared" si="176"/>
        <v>240000</v>
      </c>
      <c r="W253" s="107">
        <f t="shared" si="176"/>
        <v>240000</v>
      </c>
      <c r="X253" s="107">
        <f t="shared" si="176"/>
        <v>240000</v>
      </c>
      <c r="Y253" s="107">
        <f t="shared" si="176"/>
        <v>240000</v>
      </c>
      <c r="Z253" s="107">
        <f t="shared" si="176"/>
        <v>240000</v>
      </c>
      <c r="AA253" s="107">
        <f t="shared" si="176"/>
        <v>240000</v>
      </c>
      <c r="AB253" s="107">
        <f t="shared" si="176"/>
        <v>240000</v>
      </c>
      <c r="AC253" s="107">
        <f t="shared" si="176"/>
        <v>240000</v>
      </c>
      <c r="AD253" s="107">
        <f t="shared" si="176"/>
        <v>240000</v>
      </c>
      <c r="AE253" s="107">
        <f t="shared" si="176"/>
        <v>240000</v>
      </c>
      <c r="AF253" s="107">
        <f t="shared" si="176"/>
        <v>240000</v>
      </c>
      <c r="AG253" s="107">
        <f t="shared" si="176"/>
        <v>240000</v>
      </c>
      <c r="AH253" s="107">
        <f t="shared" si="176"/>
        <v>240000</v>
      </c>
      <c r="AI253" s="107">
        <f t="shared" si="176"/>
        <v>240000</v>
      </c>
      <c r="AJ253" s="107">
        <f t="shared" si="176"/>
        <v>240000</v>
      </c>
      <c r="AK253" s="107">
        <f t="shared" si="176"/>
        <v>240000</v>
      </c>
      <c r="AL253" s="107">
        <f t="shared" si="176"/>
        <v>240000</v>
      </c>
      <c r="AM253" s="107">
        <f t="shared" si="176"/>
        <v>240000</v>
      </c>
      <c r="AN253" s="175"/>
      <c r="AO253" s="107"/>
      <c r="AP253" s="107"/>
      <c r="AQ253" s="107"/>
      <c r="AR253" s="107"/>
      <c r="AS253" s="107"/>
      <c r="AT253" s="107"/>
      <c r="AU253" s="107"/>
      <c r="AV253" s="107"/>
      <c r="AW253" s="1"/>
      <c r="AX253" s="221"/>
    </row>
    <row r="254" spans="1:50 16384:16384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75"/>
      <c r="AO254" s="107"/>
      <c r="AP254" s="107"/>
      <c r="AQ254" s="107"/>
      <c r="AR254" s="107"/>
      <c r="AS254" s="107"/>
      <c r="AT254" s="107"/>
      <c r="AU254" s="107"/>
      <c r="AV254" s="107"/>
      <c r="AW254" s="1"/>
      <c r="AX254" s="221"/>
    </row>
    <row r="255" spans="1:50 16384:16384" ht="15.75" customHeight="1" x14ac:dyDescent="0.3">
      <c r="A255" s="1"/>
      <c r="B255" s="1"/>
      <c r="C255" s="60" t="s">
        <v>125</v>
      </c>
      <c r="D255" s="60"/>
      <c r="E255" s="60"/>
      <c r="F255" s="60"/>
      <c r="G255" s="60"/>
      <c r="H255" s="60"/>
      <c r="I255" s="137">
        <v>0.09</v>
      </c>
      <c r="J255" s="60"/>
      <c r="K255" s="60"/>
      <c r="L255" s="60"/>
      <c r="M255" s="1"/>
      <c r="N255" s="1"/>
      <c r="O255" s="109">
        <f>MAX($I255*(O256-O257),0)</f>
        <v>31442.069047062731</v>
      </c>
      <c r="P255" s="109">
        <f t="shared" ref="P255:AM255" si="177">$I255*(P256-P257)</f>
        <v>108912.39139260515</v>
      </c>
      <c r="Q255" s="109">
        <f t="shared" si="177"/>
        <v>107968.33169022229</v>
      </c>
      <c r="R255" s="109">
        <f t="shared" si="177"/>
        <v>108909.28430491907</v>
      </c>
      <c r="S255" s="109">
        <f t="shared" si="177"/>
        <v>108934.30619166121</v>
      </c>
      <c r="T255" s="109">
        <f t="shared" si="177"/>
        <v>107937.09562810803</v>
      </c>
      <c r="U255" s="109">
        <f t="shared" si="177"/>
        <v>108931.19910397514</v>
      </c>
      <c r="V255" s="109">
        <f t="shared" si="177"/>
        <v>107933.98854042198</v>
      </c>
      <c r="W255" s="109">
        <f t="shared" si="177"/>
        <v>108928.09201628908</v>
      </c>
      <c r="X255" s="109">
        <f t="shared" si="177"/>
        <v>108899.96304186089</v>
      </c>
      <c r="Y255" s="109">
        <f t="shared" si="177"/>
        <v>107955.90333947804</v>
      </c>
      <c r="Z255" s="109">
        <f t="shared" si="177"/>
        <v>108896.85595417483</v>
      </c>
      <c r="AA255" s="109">
        <f t="shared" si="177"/>
        <v>107952.79625179197</v>
      </c>
      <c r="AB255" s="109">
        <f t="shared" si="177"/>
        <v>108893.74886648876</v>
      </c>
      <c r="AC255" s="109">
        <f t="shared" si="177"/>
        <v>108918.7707532309</v>
      </c>
      <c r="AD255" s="109">
        <f t="shared" si="177"/>
        <v>107921.56018967771</v>
      </c>
      <c r="AE255" s="109">
        <f t="shared" si="177"/>
        <v>108915.66366554482</v>
      </c>
      <c r="AF255" s="109">
        <f t="shared" si="177"/>
        <v>107918.45310199166</v>
      </c>
      <c r="AG255" s="109">
        <f t="shared" si="177"/>
        <v>108912.55657785878</v>
      </c>
      <c r="AH255" s="109">
        <f t="shared" si="177"/>
        <v>108884.42760343057</v>
      </c>
      <c r="AI255" s="109">
        <f t="shared" si="177"/>
        <v>107940.36790104774</v>
      </c>
      <c r="AJ255" s="109">
        <f t="shared" si="177"/>
        <v>108881.32051574449</v>
      </c>
      <c r="AK255" s="109">
        <f t="shared" si="177"/>
        <v>107937.26081336166</v>
      </c>
      <c r="AL255" s="109">
        <f t="shared" si="177"/>
        <v>108878.21342805844</v>
      </c>
      <c r="AM255" s="109">
        <f t="shared" si="177"/>
        <v>110754.99452433317</v>
      </c>
      <c r="AN255" s="175"/>
      <c r="AO255" s="107"/>
      <c r="AP255" s="107"/>
      <c r="AQ255" s="107"/>
      <c r="AR255" s="107"/>
      <c r="AS255" s="107"/>
      <c r="AT255" s="107"/>
      <c r="AU255" s="107"/>
      <c r="AV255" s="107"/>
      <c r="AW255" s="1"/>
      <c r="AX255" s="221"/>
    </row>
    <row r="256" spans="1:50 16384:16384" ht="15.75" customHeight="1" x14ac:dyDescent="0.3">
      <c r="A256" s="1"/>
      <c r="B256" s="1"/>
      <c r="C256" s="1" t="s">
        <v>122</v>
      </c>
      <c r="D256" s="1"/>
      <c r="E256" s="1"/>
      <c r="F256" s="1"/>
      <c r="G256" s="1"/>
      <c r="H256" s="1"/>
      <c r="I256" s="138">
        <v>1</v>
      </c>
      <c r="J256" s="1"/>
      <c r="K256" s="1"/>
      <c r="L256" s="1"/>
      <c r="M256" s="1"/>
      <c r="N256" s="1"/>
      <c r="O256" s="107">
        <f>O245</f>
        <v>349356.32274514146</v>
      </c>
      <c r="P256" s="107">
        <f t="shared" ref="P256:AM256" si="178">P245</f>
        <v>1210137.6821400572</v>
      </c>
      <c r="Q256" s="107">
        <f t="shared" si="178"/>
        <v>1199648.1298913588</v>
      </c>
      <c r="R256" s="107">
        <f t="shared" si="178"/>
        <v>1210103.1589435453</v>
      </c>
      <c r="S256" s="107">
        <f t="shared" si="178"/>
        <v>1210381.1799073468</v>
      </c>
      <c r="T256" s="107">
        <f t="shared" si="178"/>
        <v>1199301.0625345337</v>
      </c>
      <c r="U256" s="107">
        <f t="shared" si="178"/>
        <v>1210346.6567108349</v>
      </c>
      <c r="V256" s="107">
        <f t="shared" si="178"/>
        <v>1199266.539338022</v>
      </c>
      <c r="W256" s="107">
        <f t="shared" si="178"/>
        <v>1210312.1335143233</v>
      </c>
      <c r="X256" s="107">
        <f t="shared" si="178"/>
        <v>1209999.5893540098</v>
      </c>
      <c r="Y256" s="107">
        <f t="shared" si="178"/>
        <v>1199510.0371053116</v>
      </c>
      <c r="Z256" s="107">
        <f t="shared" si="178"/>
        <v>1209965.0661574982</v>
      </c>
      <c r="AA256" s="107">
        <f t="shared" si="178"/>
        <v>1199475.5139087997</v>
      </c>
      <c r="AB256" s="107">
        <f t="shared" si="178"/>
        <v>1209930.5429609863</v>
      </c>
      <c r="AC256" s="107">
        <f t="shared" si="178"/>
        <v>1210208.5639247878</v>
      </c>
      <c r="AD256" s="107">
        <f t="shared" si="178"/>
        <v>1199128.4465519746</v>
      </c>
      <c r="AE256" s="107">
        <f t="shared" si="178"/>
        <v>1210174.0407282759</v>
      </c>
      <c r="AF256" s="107">
        <f t="shared" si="178"/>
        <v>1199093.923355463</v>
      </c>
      <c r="AG256" s="107">
        <f t="shared" si="178"/>
        <v>1210139.5175317642</v>
      </c>
      <c r="AH256" s="107">
        <f t="shared" si="178"/>
        <v>1209826.9733714508</v>
      </c>
      <c r="AI256" s="107">
        <f t="shared" si="178"/>
        <v>1199337.4211227526</v>
      </c>
      <c r="AJ256" s="107">
        <f t="shared" si="178"/>
        <v>1209792.4501749389</v>
      </c>
      <c r="AK256" s="107">
        <f t="shared" si="178"/>
        <v>1199302.8979262407</v>
      </c>
      <c r="AL256" s="107">
        <f t="shared" si="178"/>
        <v>1209757.9269784272</v>
      </c>
      <c r="AM256" s="107">
        <f t="shared" si="178"/>
        <v>1230611.0502703686</v>
      </c>
      <c r="AN256" s="175"/>
      <c r="AO256" s="107"/>
      <c r="AP256" s="107"/>
      <c r="AQ256" s="107"/>
      <c r="AR256" s="107"/>
      <c r="AS256" s="107"/>
      <c r="AT256" s="107"/>
      <c r="AU256" s="107"/>
      <c r="AV256" s="107"/>
      <c r="AW256" s="1"/>
      <c r="AX256" s="221"/>
    </row>
    <row r="257" spans="1:50" ht="15.75" customHeight="1" x14ac:dyDescent="0.3">
      <c r="A257" s="1"/>
      <c r="B257" s="1"/>
      <c r="C257" s="1" t="s">
        <v>114</v>
      </c>
      <c r="D257" s="1"/>
      <c r="E257" s="1"/>
      <c r="F257" s="1"/>
      <c r="G257" s="1"/>
      <c r="H257" s="1"/>
      <c r="I257" s="140">
        <v>0</v>
      </c>
      <c r="J257" s="1"/>
      <c r="K257" s="1"/>
      <c r="L257" s="1"/>
      <c r="M257" s="1"/>
      <c r="N257" s="1"/>
      <c r="O257" s="107">
        <f t="shared" ref="O257:AM257" si="179">$I257</f>
        <v>0</v>
      </c>
      <c r="P257" s="107">
        <f t="shared" si="179"/>
        <v>0</v>
      </c>
      <c r="Q257" s="107">
        <f t="shared" si="179"/>
        <v>0</v>
      </c>
      <c r="R257" s="107">
        <f t="shared" si="179"/>
        <v>0</v>
      </c>
      <c r="S257" s="107">
        <f t="shared" si="179"/>
        <v>0</v>
      </c>
      <c r="T257" s="107">
        <f t="shared" si="179"/>
        <v>0</v>
      </c>
      <c r="U257" s="107">
        <f t="shared" si="179"/>
        <v>0</v>
      </c>
      <c r="V257" s="107">
        <f t="shared" si="179"/>
        <v>0</v>
      </c>
      <c r="W257" s="107">
        <f t="shared" si="179"/>
        <v>0</v>
      </c>
      <c r="X257" s="107">
        <f t="shared" si="179"/>
        <v>0</v>
      </c>
      <c r="Y257" s="107">
        <f t="shared" si="179"/>
        <v>0</v>
      </c>
      <c r="Z257" s="107">
        <f t="shared" si="179"/>
        <v>0</v>
      </c>
      <c r="AA257" s="107">
        <f t="shared" si="179"/>
        <v>0</v>
      </c>
      <c r="AB257" s="107">
        <f t="shared" si="179"/>
        <v>0</v>
      </c>
      <c r="AC257" s="107">
        <f t="shared" si="179"/>
        <v>0</v>
      </c>
      <c r="AD257" s="107">
        <f t="shared" si="179"/>
        <v>0</v>
      </c>
      <c r="AE257" s="107">
        <f t="shared" si="179"/>
        <v>0</v>
      </c>
      <c r="AF257" s="107">
        <f t="shared" si="179"/>
        <v>0</v>
      </c>
      <c r="AG257" s="107">
        <f t="shared" si="179"/>
        <v>0</v>
      </c>
      <c r="AH257" s="107">
        <f t="shared" si="179"/>
        <v>0</v>
      </c>
      <c r="AI257" s="107">
        <f t="shared" si="179"/>
        <v>0</v>
      </c>
      <c r="AJ257" s="107">
        <f t="shared" si="179"/>
        <v>0</v>
      </c>
      <c r="AK257" s="107">
        <f t="shared" si="179"/>
        <v>0</v>
      </c>
      <c r="AL257" s="107">
        <f t="shared" si="179"/>
        <v>0</v>
      </c>
      <c r="AM257" s="107">
        <f t="shared" si="179"/>
        <v>0</v>
      </c>
      <c r="AN257" s="175"/>
      <c r="AO257" s="107"/>
      <c r="AP257" s="107"/>
      <c r="AQ257" s="107"/>
      <c r="AR257" s="107"/>
      <c r="AS257" s="107"/>
      <c r="AT257" s="107"/>
      <c r="AU257" s="107"/>
      <c r="AV257" s="107"/>
      <c r="AW257" s="1"/>
      <c r="AX257" s="221"/>
    </row>
    <row r="258" spans="1:50" ht="15.75" customHeight="1" x14ac:dyDescent="0.3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109"/>
      <c r="M258" s="1"/>
      <c r="N258" s="1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75"/>
      <c r="AO258" s="109"/>
      <c r="AP258" s="109"/>
      <c r="AQ258" s="109"/>
      <c r="AR258" s="109"/>
      <c r="AS258" s="109"/>
      <c r="AT258" s="109"/>
      <c r="AU258" s="109"/>
      <c r="AV258" s="109"/>
      <c r="AW258" s="60"/>
      <c r="AX258" s="221"/>
    </row>
    <row r="259" spans="1:50" ht="15.75" customHeight="1" x14ac:dyDescent="0.3">
      <c r="A259" s="1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1"/>
      <c r="N259" s="1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5"/>
      <c r="AO259" s="25"/>
      <c r="AP259" s="25"/>
      <c r="AQ259" s="25"/>
      <c r="AR259" s="25"/>
      <c r="AS259" s="25"/>
      <c r="AT259" s="25"/>
      <c r="AU259" s="25"/>
      <c r="AV259" s="25"/>
      <c r="AW259" s="1"/>
      <c r="AX259" s="221"/>
    </row>
    <row r="260" spans="1:50" ht="15.75" customHeight="1" x14ac:dyDescent="0.3">
      <c r="A260" s="60"/>
      <c r="B260" s="60"/>
      <c r="C260" s="60" t="s">
        <v>75</v>
      </c>
      <c r="D260" s="60"/>
      <c r="E260" s="60"/>
      <c r="F260" s="60"/>
      <c r="G260" s="60"/>
      <c r="H260" s="60"/>
      <c r="I260" s="137">
        <f>'Fluxo Rateio'!$H$35</f>
        <v>0.02</v>
      </c>
      <c r="J260" s="60"/>
      <c r="K260" s="60"/>
      <c r="L260" s="60"/>
      <c r="M260" s="1"/>
      <c r="N260" s="1"/>
      <c r="O260" s="109">
        <f t="shared" ref="O260:AM260" si="180">$I260*(O261-O262)</f>
        <v>11058.481365146661</v>
      </c>
      <c r="P260" s="109">
        <f t="shared" si="180"/>
        <v>33175.444095440012</v>
      </c>
      <c r="Q260" s="109">
        <f t="shared" si="180"/>
        <v>33175.444095440012</v>
      </c>
      <c r="R260" s="109">
        <f t="shared" si="180"/>
        <v>33175.444095440012</v>
      </c>
      <c r="S260" s="109">
        <f t="shared" si="180"/>
        <v>33175.444095440012</v>
      </c>
      <c r="T260" s="109">
        <f t="shared" si="180"/>
        <v>33175.444095440012</v>
      </c>
      <c r="U260" s="109">
        <f t="shared" si="180"/>
        <v>33175.444095440012</v>
      </c>
      <c r="V260" s="109">
        <f t="shared" si="180"/>
        <v>33175.444095440012</v>
      </c>
      <c r="W260" s="109">
        <f t="shared" si="180"/>
        <v>33175.444095440012</v>
      </c>
      <c r="X260" s="109">
        <f t="shared" si="180"/>
        <v>33175.444095440012</v>
      </c>
      <c r="Y260" s="109">
        <f t="shared" si="180"/>
        <v>33175.444095440012</v>
      </c>
      <c r="Z260" s="109">
        <f t="shared" si="180"/>
        <v>33175.444095440012</v>
      </c>
      <c r="AA260" s="109">
        <f t="shared" si="180"/>
        <v>33175.444095440012</v>
      </c>
      <c r="AB260" s="109">
        <f t="shared" si="180"/>
        <v>33175.444095440012</v>
      </c>
      <c r="AC260" s="109">
        <f t="shared" si="180"/>
        <v>33175.444095440012</v>
      </c>
      <c r="AD260" s="109">
        <f t="shared" si="180"/>
        <v>33175.444095440012</v>
      </c>
      <c r="AE260" s="109">
        <f t="shared" si="180"/>
        <v>33175.444095440012</v>
      </c>
      <c r="AF260" s="109">
        <f t="shared" si="180"/>
        <v>33175.444095440012</v>
      </c>
      <c r="AG260" s="109">
        <f t="shared" si="180"/>
        <v>33175.444095440012</v>
      </c>
      <c r="AH260" s="109">
        <f t="shared" si="180"/>
        <v>33175.444095440012</v>
      </c>
      <c r="AI260" s="109">
        <f t="shared" si="180"/>
        <v>33175.444095440012</v>
      </c>
      <c r="AJ260" s="109">
        <f t="shared" si="180"/>
        <v>33175.444095440012</v>
      </c>
      <c r="AK260" s="109">
        <f t="shared" si="180"/>
        <v>33175.444095440012</v>
      </c>
      <c r="AL260" s="109">
        <f t="shared" si="180"/>
        <v>33175.444095440012</v>
      </c>
      <c r="AM260" s="109">
        <f t="shared" si="180"/>
        <v>33175.444095440012</v>
      </c>
      <c r="AN260" s="5"/>
      <c r="AO260" s="109"/>
      <c r="AP260" s="109"/>
      <c r="AQ260" s="109"/>
      <c r="AR260" s="109"/>
      <c r="AS260" s="109"/>
      <c r="AT260" s="109"/>
      <c r="AU260" s="109"/>
      <c r="AV260" s="109"/>
      <c r="AW260" s="60"/>
      <c r="AX260" s="221"/>
    </row>
    <row r="261" spans="1:50" ht="15.75" customHeight="1" x14ac:dyDescent="0.3">
      <c r="A261" s="1"/>
      <c r="B261" s="1"/>
      <c r="C261" s="1" t="s">
        <v>121</v>
      </c>
      <c r="D261" s="1"/>
      <c r="E261" s="1"/>
      <c r="F261" s="1"/>
      <c r="G261" s="1"/>
      <c r="H261" s="1"/>
      <c r="I261" s="138">
        <v>1</v>
      </c>
      <c r="J261" s="1"/>
      <c r="K261" s="1"/>
      <c r="L261" s="1"/>
      <c r="M261" s="1"/>
      <c r="N261" s="1"/>
      <c r="O261" s="107">
        <f t="shared" ref="O261:AM261" si="181">O122*$I213</f>
        <v>552924.06825733301</v>
      </c>
      <c r="P261" s="107">
        <f t="shared" si="181"/>
        <v>1658772.2047720007</v>
      </c>
      <c r="Q261" s="107">
        <f t="shared" si="181"/>
        <v>1658772.2047720007</v>
      </c>
      <c r="R261" s="107">
        <f t="shared" si="181"/>
        <v>1658772.2047720007</v>
      </c>
      <c r="S261" s="107">
        <f t="shared" si="181"/>
        <v>1658772.2047720007</v>
      </c>
      <c r="T261" s="107">
        <f t="shared" si="181"/>
        <v>1658772.2047720007</v>
      </c>
      <c r="U261" s="107">
        <f t="shared" si="181"/>
        <v>1658772.2047720007</v>
      </c>
      <c r="V261" s="107">
        <f t="shared" si="181"/>
        <v>1658772.2047720007</v>
      </c>
      <c r="W261" s="107">
        <f t="shared" si="181"/>
        <v>1658772.2047720007</v>
      </c>
      <c r="X261" s="107">
        <f t="shared" si="181"/>
        <v>1658772.2047720007</v>
      </c>
      <c r="Y261" s="107">
        <f t="shared" si="181"/>
        <v>1658772.2047720007</v>
      </c>
      <c r="Z261" s="107">
        <f t="shared" si="181"/>
        <v>1658772.2047720007</v>
      </c>
      <c r="AA261" s="107">
        <f t="shared" si="181"/>
        <v>1658772.2047720007</v>
      </c>
      <c r="AB261" s="107">
        <f t="shared" si="181"/>
        <v>1658772.2047720007</v>
      </c>
      <c r="AC261" s="107">
        <f t="shared" si="181"/>
        <v>1658772.2047720007</v>
      </c>
      <c r="AD261" s="107">
        <f t="shared" si="181"/>
        <v>1658772.2047720007</v>
      </c>
      <c r="AE261" s="107">
        <f t="shared" si="181"/>
        <v>1658772.2047720007</v>
      </c>
      <c r="AF261" s="107">
        <f t="shared" si="181"/>
        <v>1658772.2047720007</v>
      </c>
      <c r="AG261" s="107">
        <f t="shared" si="181"/>
        <v>1658772.2047720007</v>
      </c>
      <c r="AH261" s="107">
        <f t="shared" si="181"/>
        <v>1658772.2047720007</v>
      </c>
      <c r="AI261" s="107">
        <f t="shared" si="181"/>
        <v>1658772.2047720007</v>
      </c>
      <c r="AJ261" s="107">
        <f t="shared" si="181"/>
        <v>1658772.2047720007</v>
      </c>
      <c r="AK261" s="107">
        <f t="shared" si="181"/>
        <v>1658772.2047720007</v>
      </c>
      <c r="AL261" s="107">
        <f t="shared" si="181"/>
        <v>1658772.2047720007</v>
      </c>
      <c r="AM261" s="107">
        <f t="shared" si="181"/>
        <v>1658772.2047720007</v>
      </c>
      <c r="AN261" s="5"/>
      <c r="AO261" s="107"/>
      <c r="AP261" s="107"/>
      <c r="AQ261" s="107"/>
      <c r="AR261" s="107"/>
      <c r="AS261" s="107"/>
      <c r="AT261" s="107"/>
      <c r="AU261" s="107"/>
      <c r="AV261" s="107"/>
      <c r="AW261" s="1"/>
      <c r="AX261" s="221"/>
    </row>
    <row r="262" spans="1:50" ht="15.75" customHeight="1" x14ac:dyDescent="0.3">
      <c r="A262" s="1"/>
      <c r="B262" s="1"/>
      <c r="C262" s="1" t="s">
        <v>114</v>
      </c>
      <c r="D262" s="1"/>
      <c r="E262" s="1"/>
      <c r="F262" s="1"/>
      <c r="G262" s="1"/>
      <c r="H262" s="1"/>
      <c r="I262" s="140">
        <v>0</v>
      </c>
      <c r="J262" s="1"/>
      <c r="K262" s="1"/>
      <c r="M262" s="1"/>
      <c r="N262" s="1"/>
      <c r="O262" s="107">
        <f t="shared" ref="O262:AM262" si="182">$I262</f>
        <v>0</v>
      </c>
      <c r="P262" s="107">
        <f t="shared" si="182"/>
        <v>0</v>
      </c>
      <c r="Q262" s="107">
        <f t="shared" si="182"/>
        <v>0</v>
      </c>
      <c r="R262" s="107">
        <f t="shared" si="182"/>
        <v>0</v>
      </c>
      <c r="S262" s="107">
        <f t="shared" si="182"/>
        <v>0</v>
      </c>
      <c r="T262" s="107">
        <f t="shared" si="182"/>
        <v>0</v>
      </c>
      <c r="U262" s="107">
        <f t="shared" si="182"/>
        <v>0</v>
      </c>
      <c r="V262" s="107">
        <f t="shared" si="182"/>
        <v>0</v>
      </c>
      <c r="W262" s="107">
        <f t="shared" si="182"/>
        <v>0</v>
      </c>
      <c r="X262" s="107">
        <f t="shared" si="182"/>
        <v>0</v>
      </c>
      <c r="Y262" s="107">
        <f t="shared" si="182"/>
        <v>0</v>
      </c>
      <c r="Z262" s="107">
        <f t="shared" si="182"/>
        <v>0</v>
      </c>
      <c r="AA262" s="107">
        <f t="shared" si="182"/>
        <v>0</v>
      </c>
      <c r="AB262" s="107">
        <f t="shared" si="182"/>
        <v>0</v>
      </c>
      <c r="AC262" s="107">
        <f t="shared" si="182"/>
        <v>0</v>
      </c>
      <c r="AD262" s="107">
        <f t="shared" si="182"/>
        <v>0</v>
      </c>
      <c r="AE262" s="107">
        <f t="shared" si="182"/>
        <v>0</v>
      </c>
      <c r="AF262" s="107">
        <f t="shared" si="182"/>
        <v>0</v>
      </c>
      <c r="AG262" s="107">
        <f t="shared" si="182"/>
        <v>0</v>
      </c>
      <c r="AH262" s="107">
        <f t="shared" si="182"/>
        <v>0</v>
      </c>
      <c r="AI262" s="107">
        <f t="shared" si="182"/>
        <v>0</v>
      </c>
      <c r="AJ262" s="107">
        <f t="shared" si="182"/>
        <v>0</v>
      </c>
      <c r="AK262" s="107">
        <f t="shared" si="182"/>
        <v>0</v>
      </c>
      <c r="AL262" s="107">
        <f t="shared" si="182"/>
        <v>0</v>
      </c>
      <c r="AM262" s="107">
        <f t="shared" si="182"/>
        <v>0</v>
      </c>
      <c r="AN262" s="5"/>
      <c r="AO262" s="107"/>
      <c r="AP262" s="107"/>
      <c r="AQ262" s="107"/>
      <c r="AR262" s="107"/>
      <c r="AS262" s="107"/>
      <c r="AT262" s="107"/>
      <c r="AU262" s="107"/>
      <c r="AV262" s="107"/>
      <c r="AW262" s="1"/>
      <c r="AX262" s="221"/>
    </row>
    <row r="263" spans="1:50" ht="15.75" customHeight="1" x14ac:dyDescent="0.3">
      <c r="A263" s="1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1"/>
      <c r="N263" s="1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5"/>
      <c r="AO263" s="108"/>
      <c r="AP263" s="108"/>
      <c r="AQ263" s="108"/>
      <c r="AR263" s="108"/>
      <c r="AS263" s="108"/>
      <c r="AT263" s="108"/>
      <c r="AU263" s="108"/>
      <c r="AV263" s="108"/>
      <c r="AW263" s="1"/>
      <c r="AX263" s="221"/>
    </row>
    <row r="264" spans="1:50" ht="15.75" customHeight="1" x14ac:dyDescent="0.3">
      <c r="A264" s="1"/>
      <c r="B264" s="321" t="s">
        <v>5231</v>
      </c>
      <c r="C264" s="321"/>
      <c r="D264" s="321"/>
      <c r="E264" s="321"/>
      <c r="F264" s="321"/>
      <c r="G264" s="321"/>
      <c r="H264" s="321"/>
      <c r="I264" s="321"/>
      <c r="J264" s="321"/>
      <c r="K264" s="321"/>
      <c r="L264" s="321"/>
      <c r="M264" s="1"/>
      <c r="N264" s="1"/>
      <c r="O264" s="321"/>
      <c r="P264" s="321"/>
      <c r="Q264" s="321"/>
      <c r="R264" s="321"/>
      <c r="S264" s="321"/>
      <c r="T264" s="321"/>
      <c r="U264" s="321"/>
      <c r="V264" s="321"/>
      <c r="W264" s="321"/>
      <c r="X264" s="321"/>
      <c r="Y264" s="321"/>
      <c r="Z264" s="321"/>
      <c r="AA264" s="321"/>
      <c r="AB264" s="321"/>
      <c r="AC264" s="321"/>
      <c r="AD264" s="321"/>
      <c r="AE264" s="321"/>
      <c r="AF264" s="321"/>
      <c r="AG264" s="321"/>
      <c r="AH264" s="321"/>
      <c r="AI264" s="321"/>
      <c r="AJ264" s="321"/>
      <c r="AK264" s="321"/>
      <c r="AL264" s="321"/>
      <c r="AM264" s="321"/>
    </row>
    <row r="265" spans="1:50" ht="5.25" customHeight="1" x14ac:dyDescent="0.3">
      <c r="A265" s="1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1"/>
      <c r="N265" s="1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75"/>
      <c r="AO265" s="108"/>
      <c r="AP265" s="108"/>
      <c r="AQ265" s="108"/>
      <c r="AR265" s="108"/>
      <c r="AS265" s="108"/>
      <c r="AT265" s="108"/>
      <c r="AU265" s="108"/>
      <c r="AV265" s="108"/>
      <c r="AW265" s="1"/>
      <c r="AX265" s="221"/>
    </row>
    <row r="266" spans="1:50" ht="15.75" customHeight="1" x14ac:dyDescent="0.3">
      <c r="A266" s="1"/>
      <c r="B266" s="442"/>
      <c r="C266" s="442" t="s">
        <v>5232</v>
      </c>
      <c r="D266" s="442"/>
      <c r="E266" s="442"/>
      <c r="F266" s="443" t="s">
        <v>5233</v>
      </c>
      <c r="G266" s="443" t="s">
        <v>5234</v>
      </c>
      <c r="H266" s="443" t="s">
        <v>5235</v>
      </c>
      <c r="I266" s="443" t="s">
        <v>5236</v>
      </c>
      <c r="J266" s="442"/>
      <c r="K266" s="442"/>
      <c r="L266" s="444">
        <f>SUM(O266:AM266)</f>
        <v>77341.625299183856</v>
      </c>
      <c r="M266" s="183"/>
      <c r="N266" s="183"/>
      <c r="O266" s="445">
        <f t="shared" ref="O266:AM266" si="183">SUM(O267:O268)</f>
        <v>8668.456021622982</v>
      </c>
      <c r="P266" s="445">
        <f t="shared" si="183"/>
        <v>5722.7641064634026</v>
      </c>
      <c r="Q266" s="445">
        <f t="shared" si="183"/>
        <v>5473.9482757476017</v>
      </c>
      <c r="R266" s="445">
        <f t="shared" si="183"/>
        <v>5225.1324450318034</v>
      </c>
      <c r="S266" s="445">
        <f t="shared" si="183"/>
        <v>4976.3166143160024</v>
      </c>
      <c r="T266" s="445">
        <f t="shared" si="183"/>
        <v>4727.5007836002014</v>
      </c>
      <c r="U266" s="445">
        <f t="shared" si="183"/>
        <v>4478.6849528844023</v>
      </c>
      <c r="V266" s="445">
        <f t="shared" si="183"/>
        <v>4229.8691221686022</v>
      </c>
      <c r="W266" s="445">
        <f t="shared" si="183"/>
        <v>3981.0532914528012</v>
      </c>
      <c r="X266" s="445">
        <f t="shared" si="183"/>
        <v>3732.2374607370011</v>
      </c>
      <c r="Y266" s="445">
        <f t="shared" si="183"/>
        <v>3483.4216300212015</v>
      </c>
      <c r="Z266" s="445">
        <f t="shared" si="183"/>
        <v>3234.6057993054014</v>
      </c>
      <c r="AA266" s="445">
        <f t="shared" si="183"/>
        <v>2985.7899685896014</v>
      </c>
      <c r="AB266" s="445">
        <f t="shared" si="183"/>
        <v>2736.9741378738013</v>
      </c>
      <c r="AC266" s="445">
        <f t="shared" si="183"/>
        <v>2488.1583071580017</v>
      </c>
      <c r="AD266" s="445">
        <f t="shared" si="183"/>
        <v>2239.3424764422016</v>
      </c>
      <c r="AE266" s="445">
        <f t="shared" si="183"/>
        <v>1990.526645726402</v>
      </c>
      <c r="AF266" s="445">
        <f t="shared" si="183"/>
        <v>1741.7108150106019</v>
      </c>
      <c r="AG266" s="445">
        <f t="shared" si="183"/>
        <v>1492.894984294802</v>
      </c>
      <c r="AH266" s="445">
        <f t="shared" si="183"/>
        <v>1244.0791535790024</v>
      </c>
      <c r="AI266" s="445">
        <f t="shared" si="183"/>
        <v>995.26332286320189</v>
      </c>
      <c r="AJ266" s="445">
        <f t="shared" si="183"/>
        <v>746.44749214740125</v>
      </c>
      <c r="AK266" s="445">
        <f t="shared" si="183"/>
        <v>497.63166143160095</v>
      </c>
      <c r="AL266" s="445">
        <f t="shared" si="183"/>
        <v>248.81583071580047</v>
      </c>
      <c r="AM266" s="445">
        <f t="shared" si="183"/>
        <v>0</v>
      </c>
      <c r="AN266" s="175"/>
      <c r="AO266" s="108"/>
      <c r="AP266" s="108"/>
      <c r="AQ266" s="108"/>
      <c r="AR266" s="108"/>
      <c r="AS266" s="108"/>
      <c r="AT266" s="108"/>
      <c r="AU266" s="108"/>
      <c r="AV266" s="108"/>
      <c r="AW266" s="1"/>
      <c r="AX266" s="221"/>
    </row>
    <row r="267" spans="1:50" ht="15.75" customHeight="1" x14ac:dyDescent="0.3">
      <c r="A267" s="1"/>
      <c r="B267" s="446"/>
      <c r="C267" s="446" t="s">
        <v>5237</v>
      </c>
      <c r="D267" s="446"/>
      <c r="E267" s="446"/>
      <c r="F267" s="488">
        <v>0.03</v>
      </c>
      <c r="G267" s="447">
        <f>($F$267*$L$75)*(1+$I$267)</f>
        <v>1300268.4032434472</v>
      </c>
      <c r="H267" s="448">
        <v>5.0000000000000001E-3</v>
      </c>
      <c r="I267" s="448">
        <v>7.3800000000000004E-2</v>
      </c>
      <c r="J267" s="446"/>
      <c r="K267" s="446"/>
      <c r="L267" s="449">
        <f>SUM(O267:AM267)</f>
        <v>75174.511293778094</v>
      </c>
      <c r="M267" s="183"/>
      <c r="N267" s="183"/>
      <c r="O267" s="450">
        <f>$G$267*$H$267</f>
        <v>6501.3420162172361</v>
      </c>
      <c r="P267" s="450">
        <f>$H$267*($L$75-SUM($O75:P$75))*$F$267</f>
        <v>5722.7641064634026</v>
      </c>
      <c r="Q267" s="450">
        <f>$H$267*($L$75-SUM($O75:Q$75))*$F$267</f>
        <v>5473.9482757476017</v>
      </c>
      <c r="R267" s="450">
        <f>$H$267*($L$75-SUM($O75:R$75))*$F$267</f>
        <v>5225.1324450318034</v>
      </c>
      <c r="S267" s="450">
        <f>$H$267*($L$75-SUM($O75:S$75))*$F$267</f>
        <v>4976.3166143160024</v>
      </c>
      <c r="T267" s="450">
        <f>$H$267*($L$75-SUM($O75:T$75))*$F$267</f>
        <v>4727.5007836002014</v>
      </c>
      <c r="U267" s="450">
        <f>$H$267*($L$75-SUM($O75:U$75))*$F$267</f>
        <v>4478.6849528844023</v>
      </c>
      <c r="V267" s="450">
        <f>$H$267*($L$75-SUM($O75:V$75))*$F$267</f>
        <v>4229.8691221686022</v>
      </c>
      <c r="W267" s="450">
        <f>$H$267*($L$75-SUM($O75:W$75))*$F$267</f>
        <v>3981.0532914528012</v>
      </c>
      <c r="X267" s="450">
        <f>$H$267*($L$75-SUM($O75:X$75))*$F$267</f>
        <v>3732.2374607370011</v>
      </c>
      <c r="Y267" s="450">
        <f>$H$267*($L$75-SUM($O75:Y$75))*$F$267</f>
        <v>3483.4216300212015</v>
      </c>
      <c r="Z267" s="450">
        <f>$H$267*($L$75-SUM($O75:Z$75))*$F$267</f>
        <v>3234.6057993054014</v>
      </c>
      <c r="AA267" s="450">
        <f>$H$267*($L$75-SUM($O75:AA$75))*$F$267</f>
        <v>2985.7899685896014</v>
      </c>
      <c r="AB267" s="450">
        <f>$H$267*($L$75-SUM($O75:AB$75))*$F$267</f>
        <v>2736.9741378738013</v>
      </c>
      <c r="AC267" s="450">
        <f>$H$267*($L$75-SUM($O75:AC$75))*$F$267</f>
        <v>2488.1583071580017</v>
      </c>
      <c r="AD267" s="450">
        <f>$H$267*($L$75-SUM($O75:AD$75))*$F$267</f>
        <v>2239.3424764422016</v>
      </c>
      <c r="AE267" s="450">
        <f>$H$267*($L$75-SUM($O75:AE$75))*$F$267</f>
        <v>1990.526645726402</v>
      </c>
      <c r="AF267" s="450">
        <f>$H$267*($L$75-SUM($O75:AF$75))*$F$267</f>
        <v>1741.7108150106019</v>
      </c>
      <c r="AG267" s="450">
        <f>$H$267*($L$75-SUM($O75:AG$75))*$F$267</f>
        <v>1492.894984294802</v>
      </c>
      <c r="AH267" s="450">
        <f>$H$267*($L$75-SUM($O75:AH$75))*$F$267</f>
        <v>1244.0791535790024</v>
      </c>
      <c r="AI267" s="450">
        <f>$H$267*($L$75-SUM($O75:AI$75))*$F$267</f>
        <v>995.26332286320189</v>
      </c>
      <c r="AJ267" s="450">
        <f>$H$267*($L$75-SUM($O75:AJ$75))*$F$267</f>
        <v>746.44749214740125</v>
      </c>
      <c r="AK267" s="450">
        <f>$H$267*($L$75-SUM($O75:AK$75))*$F$267</f>
        <v>497.63166143160095</v>
      </c>
      <c r="AL267" s="450">
        <f>$H$267*($L$75-SUM($O75:AL$75))*$F$267</f>
        <v>248.81583071580047</v>
      </c>
      <c r="AM267" s="450">
        <f>$H$267*($L$75-SUM($O75:AM$75))*$F$267</f>
        <v>0</v>
      </c>
      <c r="AN267" s="175"/>
      <c r="AO267" s="108"/>
      <c r="AP267" s="108"/>
      <c r="AQ267" s="108"/>
      <c r="AR267" s="108"/>
      <c r="AS267" s="108"/>
      <c r="AT267" s="108"/>
      <c r="AU267" s="108"/>
      <c r="AV267" s="108"/>
      <c r="AW267" s="1"/>
      <c r="AX267" s="221"/>
    </row>
    <row r="268" spans="1:50" ht="15.75" customHeight="1" x14ac:dyDescent="0.3">
      <c r="A268" s="1"/>
      <c r="B268" s="451"/>
      <c r="C268" s="451" t="s">
        <v>5238</v>
      </c>
      <c r="D268" s="451"/>
      <c r="E268" s="451"/>
      <c r="F268" s="489">
        <v>0.01</v>
      </c>
      <c r="G268" s="455">
        <f>($F$268*$L$75)*(1+$I$267)</f>
        <v>433422.80108114914</v>
      </c>
      <c r="H268" s="452">
        <v>5.0000000000000001E-3</v>
      </c>
      <c r="I268" s="451"/>
      <c r="J268" s="451"/>
      <c r="K268" s="451"/>
      <c r="L268" s="453">
        <f>SUM(O268:AM268)</f>
        <v>2167.114005405746</v>
      </c>
      <c r="M268" s="183"/>
      <c r="N268" s="183"/>
      <c r="O268" s="454">
        <f>$H$268*$G$268</f>
        <v>2167.114005405746</v>
      </c>
      <c r="P268" s="454"/>
      <c r="Q268" s="454"/>
      <c r="R268" s="454"/>
      <c r="S268" s="454"/>
      <c r="T268" s="454"/>
      <c r="U268" s="454"/>
      <c r="V268" s="454"/>
      <c r="W268" s="454"/>
      <c r="X268" s="454"/>
      <c r="Y268" s="454"/>
      <c r="Z268" s="454"/>
      <c r="AA268" s="454"/>
      <c r="AB268" s="454"/>
      <c r="AC268" s="454"/>
      <c r="AD268" s="454"/>
      <c r="AE268" s="454"/>
      <c r="AF268" s="454"/>
      <c r="AG268" s="454"/>
      <c r="AH268" s="454"/>
      <c r="AI268" s="454"/>
      <c r="AJ268" s="454"/>
      <c r="AK268" s="454"/>
      <c r="AL268" s="454"/>
      <c r="AM268" s="454"/>
      <c r="AN268" s="175"/>
      <c r="AO268" s="108"/>
      <c r="AP268" s="108"/>
      <c r="AQ268" s="108"/>
      <c r="AR268" s="108"/>
      <c r="AS268" s="108"/>
      <c r="AT268" s="108"/>
      <c r="AU268" s="108"/>
      <c r="AV268" s="108"/>
      <c r="AW268" s="1"/>
      <c r="AX268" s="221"/>
    </row>
    <row r="269" spans="1:50" ht="15.75" customHeight="1" x14ac:dyDescent="0.3">
      <c r="A269" s="1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1"/>
      <c r="N269" s="1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5"/>
      <c r="AO269" s="87"/>
      <c r="AP269" s="87"/>
      <c r="AQ269" s="87"/>
      <c r="AR269" s="87"/>
      <c r="AS269" s="87"/>
      <c r="AT269" s="87"/>
      <c r="AU269" s="87"/>
      <c r="AV269" s="87"/>
      <c r="AW269" s="1"/>
      <c r="AX269" s="221"/>
    </row>
    <row r="270" spans="1:50" ht="15" customHeight="1" x14ac:dyDescent="0.3">
      <c r="B270" s="321" t="s">
        <v>5151</v>
      </c>
      <c r="C270" s="321"/>
      <c r="D270" s="321"/>
      <c r="E270" s="321"/>
      <c r="F270" s="321"/>
      <c r="G270" s="321"/>
      <c r="H270" s="321"/>
      <c r="I270" s="321"/>
      <c r="J270" s="321"/>
      <c r="K270" s="321"/>
      <c r="L270" s="321"/>
      <c r="M270" s="1"/>
      <c r="N270" s="1"/>
      <c r="O270" s="321"/>
      <c r="P270" s="321"/>
      <c r="Q270" s="321"/>
      <c r="R270" s="321"/>
      <c r="S270" s="321"/>
      <c r="T270" s="321"/>
      <c r="U270" s="321"/>
      <c r="V270" s="321"/>
      <c r="W270" s="321"/>
      <c r="X270" s="321"/>
      <c r="Y270" s="321"/>
      <c r="Z270" s="321"/>
      <c r="AA270" s="321"/>
      <c r="AB270" s="321"/>
      <c r="AC270" s="321"/>
      <c r="AD270" s="321"/>
      <c r="AE270" s="321"/>
      <c r="AF270" s="321"/>
      <c r="AG270" s="321"/>
      <c r="AH270" s="321"/>
      <c r="AI270" s="321"/>
      <c r="AJ270" s="321"/>
      <c r="AK270" s="321"/>
      <c r="AL270" s="321"/>
      <c r="AM270" s="321"/>
    </row>
    <row r="271" spans="1:50" ht="15" customHeight="1" x14ac:dyDescent="0.3">
      <c r="B271" s="233"/>
    </row>
    <row r="272" spans="1:50" ht="15" customHeight="1" x14ac:dyDescent="0.3">
      <c r="B272" s="323" t="s">
        <v>5152</v>
      </c>
      <c r="C272" s="324"/>
      <c r="D272" s="324"/>
      <c r="E272" s="324"/>
      <c r="F272" s="324"/>
      <c r="G272" s="324"/>
      <c r="H272" s="324"/>
      <c r="I272" s="324"/>
      <c r="J272" s="324"/>
      <c r="K272" s="324"/>
      <c r="L272" s="142"/>
      <c r="O272" s="348">
        <f t="shared" ref="O272:AM272" si="184">O273+O275</f>
        <v>3354594.1324510635</v>
      </c>
      <c r="P272" s="348">
        <f t="shared" si="184"/>
        <v>3354594.1324510635</v>
      </c>
      <c r="Q272" s="348">
        <f t="shared" si="184"/>
        <v>3354594.1324510635</v>
      </c>
      <c r="R272" s="348">
        <f t="shared" si="184"/>
        <v>3354594.1324510635</v>
      </c>
      <c r="S272" s="348">
        <f t="shared" si="184"/>
        <v>4740601.2120738579</v>
      </c>
      <c r="T272" s="348">
        <f t="shared" si="184"/>
        <v>4740601.2120738579</v>
      </c>
      <c r="U272" s="348">
        <f t="shared" si="184"/>
        <v>4740601.2120738579</v>
      </c>
      <c r="V272" s="348">
        <f t="shared" si="184"/>
        <v>4874602.0508284681</v>
      </c>
      <c r="W272" s="348">
        <f t="shared" si="184"/>
        <v>5082061.8109535389</v>
      </c>
      <c r="X272" s="348">
        <f t="shared" si="184"/>
        <v>5082061.8109535389</v>
      </c>
      <c r="Y272" s="348">
        <f t="shared" si="184"/>
        <v>6457907.6584334746</v>
      </c>
      <c r="Z272" s="348">
        <f t="shared" si="184"/>
        <v>6457907.6584334746</v>
      </c>
      <c r="AA272" s="348">
        <f t="shared" si="184"/>
        <v>7029757.830225124</v>
      </c>
      <c r="AB272" s="348">
        <f t="shared" si="184"/>
        <v>7029757.830225124</v>
      </c>
      <c r="AC272" s="348">
        <f t="shared" si="184"/>
        <v>7029757.830225124</v>
      </c>
      <c r="AD272" s="348">
        <f t="shared" si="184"/>
        <v>8539458.6526354775</v>
      </c>
      <c r="AE272" s="348">
        <f t="shared" si="184"/>
        <v>8580689.5509541426</v>
      </c>
      <c r="AF272" s="348">
        <f t="shared" si="184"/>
        <v>8747064.2765847407</v>
      </c>
      <c r="AG272" s="348">
        <f t="shared" si="184"/>
        <v>8747064.2765847407</v>
      </c>
      <c r="AH272" s="348">
        <f t="shared" si="184"/>
        <v>8747064.2765847407</v>
      </c>
      <c r="AI272" s="348">
        <f t="shared" si="184"/>
        <v>10132925.492383342</v>
      </c>
      <c r="AJ272" s="348">
        <f t="shared" si="184"/>
        <v>10132925.492383342</v>
      </c>
      <c r="AK272" s="348">
        <f t="shared" si="184"/>
        <v>10266926.331137953</v>
      </c>
      <c r="AL272" s="348">
        <f t="shared" si="184"/>
        <v>10266926.331137953</v>
      </c>
      <c r="AM272" s="348">
        <f t="shared" si="184"/>
        <v>10276941.699456619</v>
      </c>
    </row>
    <row r="273" spans="1:39" ht="15" customHeight="1" x14ac:dyDescent="0.3">
      <c r="B273" s="100" t="s">
        <v>5184</v>
      </c>
      <c r="L273" s="303"/>
      <c r="O273" s="303">
        <f>SUM(O274)</f>
        <v>0</v>
      </c>
      <c r="P273" s="303">
        <f t="shared" ref="P273:AM273" si="185">SUM(P274)</f>
        <v>0</v>
      </c>
      <c r="Q273" s="303">
        <f t="shared" si="185"/>
        <v>0</v>
      </c>
      <c r="R273" s="303">
        <f t="shared" si="185"/>
        <v>0</v>
      </c>
      <c r="S273" s="303">
        <f t="shared" si="185"/>
        <v>0</v>
      </c>
      <c r="T273" s="303">
        <f t="shared" si="185"/>
        <v>0</v>
      </c>
      <c r="U273" s="303">
        <f t="shared" si="185"/>
        <v>0</v>
      </c>
      <c r="V273" s="303">
        <f t="shared" si="185"/>
        <v>0</v>
      </c>
      <c r="W273" s="303">
        <f t="shared" si="185"/>
        <v>0</v>
      </c>
      <c r="X273" s="303">
        <f t="shared" si="185"/>
        <v>0</v>
      </c>
      <c r="Y273" s="303">
        <f t="shared" si="185"/>
        <v>0</v>
      </c>
      <c r="Z273" s="303">
        <f t="shared" si="185"/>
        <v>0</v>
      </c>
      <c r="AA273" s="303">
        <f t="shared" si="185"/>
        <v>0</v>
      </c>
      <c r="AB273" s="303">
        <f t="shared" si="185"/>
        <v>0</v>
      </c>
      <c r="AC273" s="303">
        <f t="shared" si="185"/>
        <v>0</v>
      </c>
      <c r="AD273" s="303">
        <f t="shared" si="185"/>
        <v>0</v>
      </c>
      <c r="AE273" s="303">
        <f t="shared" si="185"/>
        <v>0</v>
      </c>
      <c r="AF273" s="303">
        <f t="shared" si="185"/>
        <v>0</v>
      </c>
      <c r="AG273" s="303">
        <f t="shared" si="185"/>
        <v>0</v>
      </c>
      <c r="AH273" s="303">
        <f t="shared" si="185"/>
        <v>0</v>
      </c>
      <c r="AI273" s="303">
        <f t="shared" si="185"/>
        <v>0</v>
      </c>
      <c r="AJ273" s="303">
        <f t="shared" si="185"/>
        <v>0</v>
      </c>
      <c r="AK273" s="303">
        <f t="shared" si="185"/>
        <v>0</v>
      </c>
      <c r="AL273" s="303">
        <f t="shared" si="185"/>
        <v>0</v>
      </c>
      <c r="AM273" s="303">
        <f t="shared" si="185"/>
        <v>0</v>
      </c>
    </row>
    <row r="274" spans="1:39" ht="15" customHeight="1" x14ac:dyDescent="0.3">
      <c r="B274" s="362" t="s">
        <v>5185</v>
      </c>
      <c r="C274" s="363"/>
      <c r="D274" s="363"/>
      <c r="E274" s="363"/>
      <c r="F274" s="363"/>
      <c r="G274" s="363"/>
      <c r="H274" s="363"/>
      <c r="I274" s="363"/>
      <c r="J274" s="363"/>
      <c r="K274" s="363"/>
      <c r="L274" s="361"/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1">
        <v>0</v>
      </c>
      <c r="U274" s="361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1">
        <v>0</v>
      </c>
      <c r="AD274" s="361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1">
        <v>0</v>
      </c>
      <c r="AM274" s="361">
        <v>0</v>
      </c>
    </row>
    <row r="275" spans="1:39" ht="15" customHeight="1" x14ac:dyDescent="0.3">
      <c r="B275" s="345" t="s">
        <v>5186</v>
      </c>
      <c r="C275" s="344"/>
      <c r="D275" s="344"/>
      <c r="E275" s="344"/>
      <c r="F275" s="344"/>
      <c r="G275" s="344"/>
      <c r="H275" s="344"/>
      <c r="I275" s="344"/>
      <c r="J275" s="344"/>
      <c r="K275" s="344"/>
      <c r="L275" s="347"/>
      <c r="O275" s="347">
        <f>O276</f>
        <v>3354594.1324510635</v>
      </c>
      <c r="P275" s="347">
        <f t="shared" ref="P275:AM275" si="186">P276</f>
        <v>3354594.1324510635</v>
      </c>
      <c r="Q275" s="347">
        <f t="shared" si="186"/>
        <v>3354594.1324510635</v>
      </c>
      <c r="R275" s="347">
        <f t="shared" si="186"/>
        <v>3354594.1324510635</v>
      </c>
      <c r="S275" s="347">
        <f t="shared" si="186"/>
        <v>4740601.2120738579</v>
      </c>
      <c r="T275" s="347">
        <f t="shared" si="186"/>
        <v>4740601.2120738579</v>
      </c>
      <c r="U275" s="347">
        <f t="shared" si="186"/>
        <v>4740601.2120738579</v>
      </c>
      <c r="V275" s="347">
        <f t="shared" si="186"/>
        <v>4874602.0508284681</v>
      </c>
      <c r="W275" s="347">
        <f t="shared" si="186"/>
        <v>5082061.8109535389</v>
      </c>
      <c r="X275" s="347">
        <f t="shared" si="186"/>
        <v>5082061.8109535389</v>
      </c>
      <c r="Y275" s="347">
        <f t="shared" si="186"/>
        <v>6457907.6584334746</v>
      </c>
      <c r="Z275" s="347">
        <f t="shared" si="186"/>
        <v>6457907.6584334746</v>
      </c>
      <c r="AA275" s="347">
        <f t="shared" si="186"/>
        <v>7029757.830225124</v>
      </c>
      <c r="AB275" s="347">
        <f t="shared" si="186"/>
        <v>7029757.830225124</v>
      </c>
      <c r="AC275" s="347">
        <f t="shared" si="186"/>
        <v>7029757.830225124</v>
      </c>
      <c r="AD275" s="347">
        <f t="shared" si="186"/>
        <v>8539458.6526354775</v>
      </c>
      <c r="AE275" s="347">
        <f t="shared" si="186"/>
        <v>8580689.5509541426</v>
      </c>
      <c r="AF275" s="347">
        <f t="shared" si="186"/>
        <v>8747064.2765847407</v>
      </c>
      <c r="AG275" s="347">
        <f t="shared" si="186"/>
        <v>8747064.2765847407</v>
      </c>
      <c r="AH275" s="347">
        <f t="shared" si="186"/>
        <v>8747064.2765847407</v>
      </c>
      <c r="AI275" s="347">
        <f t="shared" si="186"/>
        <v>10132925.492383342</v>
      </c>
      <c r="AJ275" s="347">
        <f t="shared" si="186"/>
        <v>10132925.492383342</v>
      </c>
      <c r="AK275" s="347">
        <f t="shared" si="186"/>
        <v>10266926.331137953</v>
      </c>
      <c r="AL275" s="347">
        <f t="shared" si="186"/>
        <v>10266926.331137953</v>
      </c>
      <c r="AM275" s="347">
        <f t="shared" si="186"/>
        <v>10276941.699456619</v>
      </c>
    </row>
    <row r="276" spans="1:39" ht="15" customHeight="1" x14ac:dyDescent="0.3">
      <c r="B276" s="364" t="s">
        <v>5187</v>
      </c>
      <c r="C276" s="365"/>
      <c r="D276" s="365"/>
      <c r="E276" s="365"/>
      <c r="F276" s="365"/>
      <c r="G276" s="365"/>
      <c r="H276" s="365"/>
      <c r="I276" s="365"/>
      <c r="J276" s="365"/>
      <c r="K276" s="365"/>
      <c r="L276" s="366"/>
      <c r="O276" s="366">
        <f>-SUM($O150:O150)</f>
        <v>3354594.1324510635</v>
      </c>
      <c r="P276" s="366">
        <f>-SUM($O150:P150)</f>
        <v>3354594.1324510635</v>
      </c>
      <c r="Q276" s="366">
        <f>-SUM($O150:Q150)</f>
        <v>3354594.1324510635</v>
      </c>
      <c r="R276" s="366">
        <f>-SUM($O150:R150)</f>
        <v>3354594.1324510635</v>
      </c>
      <c r="S276" s="366">
        <f>-SUM($O150:S150)</f>
        <v>4740601.2120738579</v>
      </c>
      <c r="T276" s="366">
        <f>-SUM($O150:T150)</f>
        <v>4740601.2120738579</v>
      </c>
      <c r="U276" s="366">
        <f>-SUM($O150:U150)</f>
        <v>4740601.2120738579</v>
      </c>
      <c r="V276" s="366">
        <f>-SUM($O150:V150)</f>
        <v>4874602.0508284681</v>
      </c>
      <c r="W276" s="366">
        <f>-SUM($O150:W150)</f>
        <v>5082061.8109535389</v>
      </c>
      <c r="X276" s="366">
        <f>-SUM($O150:X150)</f>
        <v>5082061.8109535389</v>
      </c>
      <c r="Y276" s="366">
        <f>-SUM($O150:Y150)</f>
        <v>6457907.6584334746</v>
      </c>
      <c r="Z276" s="366">
        <f>-SUM($O150:Z150)</f>
        <v>6457907.6584334746</v>
      </c>
      <c r="AA276" s="366">
        <f>-SUM($O150:AA150)</f>
        <v>7029757.830225124</v>
      </c>
      <c r="AB276" s="366">
        <f>-SUM($O150:AB150)</f>
        <v>7029757.830225124</v>
      </c>
      <c r="AC276" s="366">
        <f>-SUM($O150:AC150)</f>
        <v>7029757.830225124</v>
      </c>
      <c r="AD276" s="366">
        <f>-SUM($O150:AD150)</f>
        <v>8539458.6526354775</v>
      </c>
      <c r="AE276" s="366">
        <f>-SUM($O150:AE150)</f>
        <v>8580689.5509541426</v>
      </c>
      <c r="AF276" s="366">
        <f>-SUM($O150:AF150)</f>
        <v>8747064.2765847407</v>
      </c>
      <c r="AG276" s="366">
        <f>-SUM($O150:AG150)</f>
        <v>8747064.2765847407</v>
      </c>
      <c r="AH276" s="366">
        <f>-SUM($O150:AH150)</f>
        <v>8747064.2765847407</v>
      </c>
      <c r="AI276" s="366">
        <f>-SUM($O150:AI150)</f>
        <v>10132925.492383342</v>
      </c>
      <c r="AJ276" s="366">
        <f>-SUM($O150:AJ150)</f>
        <v>10132925.492383342</v>
      </c>
      <c r="AK276" s="366">
        <f>-SUM($O150:AK150)</f>
        <v>10266926.331137953</v>
      </c>
      <c r="AL276" s="366">
        <f>-SUM($O150:AL150)</f>
        <v>10266926.331137953</v>
      </c>
      <c r="AM276" s="366">
        <f>-SUM($O150:AM150)</f>
        <v>10276941.699456619</v>
      </c>
    </row>
    <row r="277" spans="1:39" ht="5.25" customHeight="1" x14ac:dyDescent="0.3">
      <c r="B277" s="100"/>
    </row>
    <row r="278" spans="1:39" ht="15" customHeight="1" x14ac:dyDescent="0.3">
      <c r="B278" s="323" t="s">
        <v>5153</v>
      </c>
      <c r="C278" s="324"/>
      <c r="D278" s="324"/>
      <c r="E278" s="324"/>
      <c r="F278" s="324"/>
      <c r="G278" s="324"/>
      <c r="H278" s="324"/>
      <c r="I278" s="324"/>
      <c r="J278" s="324"/>
      <c r="K278" s="324"/>
      <c r="L278" s="142"/>
      <c r="O278" s="348">
        <f>SUM(O279:O280)</f>
        <v>3354594.1324510635</v>
      </c>
      <c r="P278" s="348">
        <f t="shared" ref="P278:AM278" si="187">SUM(P279:P280)</f>
        <v>3354594.1324510635</v>
      </c>
      <c r="Q278" s="348">
        <f t="shared" si="187"/>
        <v>3354594.1324510635</v>
      </c>
      <c r="R278" s="348">
        <f t="shared" si="187"/>
        <v>3354594.1324510635</v>
      </c>
      <c r="S278" s="348">
        <f t="shared" si="187"/>
        <v>4740601.2120738579</v>
      </c>
      <c r="T278" s="348">
        <f t="shared" si="187"/>
        <v>4740601.2120738579</v>
      </c>
      <c r="U278" s="348">
        <f t="shared" si="187"/>
        <v>4740601.2120738579</v>
      </c>
      <c r="V278" s="348">
        <f t="shared" si="187"/>
        <v>4874602.0508284681</v>
      </c>
      <c r="W278" s="348">
        <f t="shared" si="187"/>
        <v>5082061.8109535389</v>
      </c>
      <c r="X278" s="348">
        <f t="shared" si="187"/>
        <v>5082061.8109535389</v>
      </c>
      <c r="Y278" s="348">
        <f t="shared" si="187"/>
        <v>6457907.6584334746</v>
      </c>
      <c r="Z278" s="348">
        <f t="shared" si="187"/>
        <v>6457907.6584334746</v>
      </c>
      <c r="AA278" s="348">
        <f t="shared" si="187"/>
        <v>7029757.830225124</v>
      </c>
      <c r="AB278" s="348">
        <f t="shared" si="187"/>
        <v>7029757.830225124</v>
      </c>
      <c r="AC278" s="348">
        <f t="shared" si="187"/>
        <v>7029757.830225124</v>
      </c>
      <c r="AD278" s="348">
        <f t="shared" si="187"/>
        <v>8539458.6526354775</v>
      </c>
      <c r="AE278" s="348">
        <f t="shared" si="187"/>
        <v>8580689.5509541426</v>
      </c>
      <c r="AF278" s="348">
        <f t="shared" si="187"/>
        <v>8747064.2765847407</v>
      </c>
      <c r="AG278" s="348">
        <f t="shared" si="187"/>
        <v>8747064.2765847407</v>
      </c>
      <c r="AH278" s="348">
        <f t="shared" si="187"/>
        <v>8747064.2765847407</v>
      </c>
      <c r="AI278" s="348">
        <f t="shared" si="187"/>
        <v>10132925.492383342</v>
      </c>
      <c r="AJ278" s="348">
        <f t="shared" si="187"/>
        <v>10132925.492383342</v>
      </c>
      <c r="AK278" s="348">
        <f t="shared" si="187"/>
        <v>10266926.331137953</v>
      </c>
      <c r="AL278" s="348">
        <f t="shared" si="187"/>
        <v>10266926.331137953</v>
      </c>
      <c r="AM278" s="348">
        <f t="shared" si="187"/>
        <v>10276941.699456619</v>
      </c>
    </row>
    <row r="279" spans="1:39" ht="15" customHeight="1" x14ac:dyDescent="0.3">
      <c r="B279" s="100" t="s">
        <v>5188</v>
      </c>
      <c r="O279" s="303">
        <f>SUM($O163:O163,$O164:O164)</f>
        <v>1772591.6838856027</v>
      </c>
      <c r="P279" s="303">
        <f>SUM($O163:P163,$O164:P164)</f>
        <v>1477159.7365713357</v>
      </c>
      <c r="Q279" s="303">
        <f>SUM($O163:Q163,$O164:Q164)</f>
        <v>1181727.7892570687</v>
      </c>
      <c r="R279" s="303">
        <f>SUM($O163:R163,$O164:R164)</f>
        <v>886295.84194280161</v>
      </c>
      <c r="S279" s="303">
        <f>SUM($O163:S163,$O164:S164)</f>
        <v>590863.89462853456</v>
      </c>
      <c r="T279" s="303">
        <f>SUM($O163:T163,$O164:T164)</f>
        <v>295431.94731426745</v>
      </c>
      <c r="U279" s="303">
        <f>SUM($O163:U163,$O164:U164)</f>
        <v>0</v>
      </c>
      <c r="V279" s="303">
        <f>SUM($O163:V163,$O164:V164)</f>
        <v>3.4924596548080444E-10</v>
      </c>
      <c r="W279" s="303">
        <f>SUM($O163:W163,$O164:W164)</f>
        <v>3.4924596548080444E-10</v>
      </c>
      <c r="X279" s="303">
        <f>SUM($O163:X163,$O164:X164)</f>
        <v>3.4924596548080444E-10</v>
      </c>
      <c r="Y279" s="303">
        <f>SUM($O163:Y163,$O164:Y164)</f>
        <v>3.4924596548080444E-10</v>
      </c>
      <c r="Z279" s="303">
        <f>SUM($O163:Z163,$O164:Z164)</f>
        <v>3.4924596548080444E-10</v>
      </c>
      <c r="AA279" s="303">
        <f>SUM($O163:AA163,$O164:AA164)</f>
        <v>3.4924596548080444E-10</v>
      </c>
      <c r="AB279" s="303">
        <f>SUM($O163:AB163,$O164:AB164)</f>
        <v>3.4924596548080444E-10</v>
      </c>
      <c r="AC279" s="303">
        <f>SUM($O163:AC163,$O164:AC164)</f>
        <v>3.4924596548080444E-10</v>
      </c>
      <c r="AD279" s="303">
        <f>SUM($O163:AD163,$O164:AD164)</f>
        <v>3.4924596548080444E-10</v>
      </c>
      <c r="AE279" s="303">
        <f>SUM($O163:AE163,$O164:AE164)</f>
        <v>3.4924596548080444E-10</v>
      </c>
      <c r="AF279" s="303">
        <f>SUM($O163:AF163,$O164:AF164)</f>
        <v>3.4924596548080444E-10</v>
      </c>
      <c r="AG279" s="303">
        <f>SUM($O163:AG163,$O164:AG164)</f>
        <v>3.4924596548080444E-10</v>
      </c>
      <c r="AH279" s="303">
        <f>SUM($O163:AH163,$O164:AH164)</f>
        <v>3.4924596548080444E-10</v>
      </c>
      <c r="AI279" s="303">
        <f>SUM($O163:AI163,$O164:AI164)</f>
        <v>3.4924596548080444E-10</v>
      </c>
      <c r="AJ279" s="303">
        <f>SUM($O163:AJ163,$O164:AJ164)</f>
        <v>3.4924596548080444E-10</v>
      </c>
      <c r="AK279" s="303">
        <f>SUM($O163:AK163,$O164:AK164)</f>
        <v>3.4924596548080444E-10</v>
      </c>
      <c r="AL279" s="303">
        <f>SUM($O163:AL163,$O164:AL164)</f>
        <v>3.4924596548080444E-10</v>
      </c>
      <c r="AM279" s="303">
        <f>SUM($O163:AM163,$O164:AM164)</f>
        <v>3.4924596548080444E-10</v>
      </c>
    </row>
    <row r="280" spans="1:39" ht="15" customHeight="1" x14ac:dyDescent="0.3">
      <c r="B280" s="345" t="s">
        <v>5155</v>
      </c>
      <c r="C280" s="344"/>
      <c r="D280" s="344"/>
      <c r="E280" s="344"/>
      <c r="F280" s="344"/>
      <c r="G280" s="344"/>
      <c r="H280" s="344"/>
      <c r="I280" s="344"/>
      <c r="J280" s="344"/>
      <c r="K280" s="344"/>
      <c r="L280" s="344"/>
      <c r="O280" s="361">
        <f>O272-O279</f>
        <v>1582002.4485654607</v>
      </c>
      <c r="P280" s="361">
        <f t="shared" ref="P280:AM280" si="188">P272-P279</f>
        <v>1877434.3958797278</v>
      </c>
      <c r="Q280" s="361">
        <f t="shared" si="188"/>
        <v>2172866.3431939948</v>
      </c>
      <c r="R280" s="361">
        <f t="shared" si="188"/>
        <v>2468298.2905082619</v>
      </c>
      <c r="S280" s="361">
        <f t="shared" si="188"/>
        <v>4149737.3174453233</v>
      </c>
      <c r="T280" s="361">
        <f t="shared" si="188"/>
        <v>4445169.2647595908</v>
      </c>
      <c r="U280" s="361">
        <f t="shared" si="188"/>
        <v>4740601.2120738579</v>
      </c>
      <c r="V280" s="361">
        <f t="shared" si="188"/>
        <v>4874602.0508284681</v>
      </c>
      <c r="W280" s="361">
        <f t="shared" si="188"/>
        <v>5082061.8109535389</v>
      </c>
      <c r="X280" s="361">
        <f t="shared" si="188"/>
        <v>5082061.8109535389</v>
      </c>
      <c r="Y280" s="361">
        <f t="shared" si="188"/>
        <v>6457907.6584334746</v>
      </c>
      <c r="Z280" s="361">
        <f t="shared" si="188"/>
        <v>6457907.6584334746</v>
      </c>
      <c r="AA280" s="361">
        <f t="shared" si="188"/>
        <v>7029757.830225124</v>
      </c>
      <c r="AB280" s="361">
        <f t="shared" si="188"/>
        <v>7029757.830225124</v>
      </c>
      <c r="AC280" s="361">
        <f t="shared" si="188"/>
        <v>7029757.830225124</v>
      </c>
      <c r="AD280" s="361">
        <f t="shared" si="188"/>
        <v>8539458.6526354775</v>
      </c>
      <c r="AE280" s="361">
        <f t="shared" si="188"/>
        <v>8580689.5509541426</v>
      </c>
      <c r="AF280" s="361">
        <f t="shared" si="188"/>
        <v>8747064.2765847407</v>
      </c>
      <c r="AG280" s="361">
        <f t="shared" si="188"/>
        <v>8747064.2765847407</v>
      </c>
      <c r="AH280" s="361">
        <f t="shared" si="188"/>
        <v>8747064.2765847407</v>
      </c>
      <c r="AI280" s="361">
        <f t="shared" si="188"/>
        <v>10132925.492383342</v>
      </c>
      <c r="AJ280" s="361">
        <f t="shared" si="188"/>
        <v>10132925.492383342</v>
      </c>
      <c r="AK280" s="361">
        <f t="shared" si="188"/>
        <v>10266926.331137953</v>
      </c>
      <c r="AL280" s="361">
        <f t="shared" si="188"/>
        <v>10266926.331137953</v>
      </c>
      <c r="AM280" s="361">
        <f t="shared" si="188"/>
        <v>10276941.699456619</v>
      </c>
    </row>
    <row r="281" spans="1:39" s="346" customFormat="1" ht="5.25" customHeight="1" x14ac:dyDescent="0.3">
      <c r="A281"/>
      <c r="B281" s="345"/>
      <c r="C281" s="344"/>
      <c r="D281" s="344"/>
      <c r="E281" s="344"/>
      <c r="F281" s="344"/>
      <c r="G281" s="344"/>
      <c r="H281" s="344"/>
      <c r="I281" s="344"/>
      <c r="J281" s="344"/>
      <c r="K281" s="344"/>
      <c r="L281" s="344"/>
      <c r="M281"/>
      <c r="N281"/>
      <c r="O281" s="344"/>
      <c r="P281" s="344"/>
      <c r="Q281" s="344"/>
      <c r="R281" s="344"/>
      <c r="S281" s="344"/>
      <c r="T281" s="344"/>
      <c r="U281" s="344"/>
      <c r="V281" s="344"/>
      <c r="W281" s="344"/>
      <c r="X281" s="344"/>
      <c r="Y281" s="344"/>
      <c r="Z281" s="344"/>
      <c r="AA281" s="344"/>
      <c r="AB281" s="344"/>
      <c r="AC281" s="344"/>
      <c r="AD281" s="344"/>
      <c r="AE281" s="344"/>
      <c r="AF281" s="344"/>
      <c r="AG281" s="344"/>
      <c r="AH281" s="344"/>
      <c r="AI281" s="344"/>
      <c r="AJ281" s="344"/>
      <c r="AK281" s="344"/>
      <c r="AL281" s="344"/>
      <c r="AM281" s="344"/>
    </row>
    <row r="282" spans="1:39" ht="9" customHeight="1" x14ac:dyDescent="0.3">
      <c r="B282" s="100"/>
    </row>
    <row r="283" spans="1:39" ht="15" customHeight="1" x14ac:dyDescent="0.3">
      <c r="B283" s="321" t="s">
        <v>5156</v>
      </c>
      <c r="C283" s="321"/>
      <c r="D283" s="321"/>
      <c r="E283" s="321"/>
      <c r="F283" s="321"/>
      <c r="G283" s="321"/>
      <c r="H283" s="321"/>
      <c r="I283" s="321"/>
      <c r="J283" s="321"/>
      <c r="K283" s="321"/>
      <c r="L283" s="321"/>
      <c r="M283" s="1"/>
      <c r="N283" s="1"/>
      <c r="O283" s="321"/>
      <c r="P283" s="321"/>
      <c r="Q283" s="321"/>
      <c r="R283" s="321"/>
      <c r="S283" s="321"/>
      <c r="T283" s="321"/>
      <c r="U283" s="321"/>
      <c r="V283" s="321"/>
      <c r="W283" s="321"/>
      <c r="X283" s="321"/>
      <c r="Y283" s="321"/>
      <c r="Z283" s="321"/>
      <c r="AA283" s="321"/>
      <c r="AB283" s="321"/>
      <c r="AC283" s="321"/>
      <c r="AD283" s="321"/>
      <c r="AE283" s="321"/>
      <c r="AF283" s="321"/>
      <c r="AG283" s="321"/>
      <c r="AH283" s="321"/>
      <c r="AI283" s="321"/>
      <c r="AJ283" s="321"/>
      <c r="AK283" s="321"/>
      <c r="AL283" s="321"/>
      <c r="AM283" s="321"/>
    </row>
    <row r="285" spans="1:39" ht="15" customHeight="1" x14ac:dyDescent="0.3">
      <c r="B285" s="326" t="s">
        <v>5159</v>
      </c>
    </row>
    <row r="286" spans="1:39" ht="15" customHeight="1" x14ac:dyDescent="0.3">
      <c r="B286" s="364" t="s">
        <v>5162</v>
      </c>
      <c r="C286" s="365"/>
      <c r="D286" s="365"/>
      <c r="E286" s="365"/>
      <c r="F286" s="365"/>
      <c r="G286" s="365"/>
      <c r="H286" s="365"/>
      <c r="I286" s="365"/>
      <c r="J286" s="365"/>
      <c r="K286" s="365"/>
      <c r="L286" s="365"/>
      <c r="O286" s="365">
        <v>0</v>
      </c>
      <c r="P286" s="367">
        <f>O288</f>
        <v>-5087.8539593976529</v>
      </c>
      <c r="Q286" s="367">
        <f t="shared" ref="Q286:AM286" si="189">P288</f>
        <v>2302731.3722781143</v>
      </c>
      <c r="R286" s="367">
        <f t="shared" si="189"/>
        <v>2851272.3036465403</v>
      </c>
      <c r="S286" s="367">
        <f t="shared" si="189"/>
        <v>3461127.5222541713</v>
      </c>
      <c r="T286" s="367">
        <f t="shared" si="189"/>
        <v>4116707.2838309724</v>
      </c>
      <c r="U286" s="367">
        <f t="shared" si="189"/>
        <v>4682233.961835824</v>
      </c>
      <c r="V286" s="367">
        <f t="shared" si="189"/>
        <v>5301752.4362054467</v>
      </c>
      <c r="W286" s="367">
        <f t="shared" si="189"/>
        <v>5965246.2112451121</v>
      </c>
      <c r="X286" s="367">
        <f t="shared" si="189"/>
        <v>6679103.4543514904</v>
      </c>
      <c r="Y286" s="367">
        <f t="shared" si="189"/>
        <v>7437221.5560474358</v>
      </c>
      <c r="Z286" s="367">
        <f t="shared" si="189"/>
        <v>8244071.2656761166</v>
      </c>
      <c r="AA286" s="367">
        <f t="shared" si="189"/>
        <v>9001042.7920571752</v>
      </c>
      <c r="AB286" s="367">
        <f t="shared" si="189"/>
        <v>9806582.6222805958</v>
      </c>
      <c r="AC286" s="367">
        <f t="shared" si="189"/>
        <v>10641918.306903157</v>
      </c>
      <c r="AD286" s="367">
        <f t="shared" si="189"/>
        <v>11545126.327622239</v>
      </c>
      <c r="AE286" s="367">
        <f t="shared" si="189"/>
        <v>12520288.244671045</v>
      </c>
      <c r="AF286" s="367">
        <f t="shared" si="189"/>
        <v>13439935.345801063</v>
      </c>
      <c r="AG286" s="367">
        <f t="shared" si="189"/>
        <v>14429024.572773656</v>
      </c>
      <c r="AH286" s="367">
        <f t="shared" si="189"/>
        <v>15497353.166780481</v>
      </c>
      <c r="AI286" s="367">
        <f t="shared" si="189"/>
        <v>16665506.987989971</v>
      </c>
      <c r="AJ286" s="367">
        <f t="shared" si="189"/>
        <v>17922870.40118438</v>
      </c>
      <c r="AK286" s="367">
        <f t="shared" si="189"/>
        <v>19173859.189107038</v>
      </c>
      <c r="AL286" s="367">
        <f t="shared" si="189"/>
        <v>20522235.385918386</v>
      </c>
      <c r="AM286" s="367">
        <f t="shared" si="189"/>
        <v>21997562.881661873</v>
      </c>
    </row>
    <row r="287" spans="1:39" ht="15" customHeight="1" x14ac:dyDescent="0.3">
      <c r="B287" s="364" t="s">
        <v>5160</v>
      </c>
      <c r="C287" s="365"/>
      <c r="D287" s="365"/>
      <c r="E287" s="365"/>
      <c r="F287" s="365"/>
      <c r="G287" s="365"/>
      <c r="H287" s="365"/>
      <c r="I287" s="365"/>
      <c r="J287" s="365"/>
      <c r="K287" s="365"/>
      <c r="L287" s="365"/>
      <c r="O287" s="367">
        <f t="shared" ref="O287:AM287" si="190">O138</f>
        <v>-5087.8539593976529</v>
      </c>
      <c r="P287" s="367">
        <f t="shared" si="190"/>
        <v>2307819.2262375122</v>
      </c>
      <c r="Q287" s="367">
        <f t="shared" si="190"/>
        <v>548540.93136842572</v>
      </c>
      <c r="R287" s="367">
        <f t="shared" si="190"/>
        <v>609855.21860763105</v>
      </c>
      <c r="S287" s="367">
        <f t="shared" si="190"/>
        <v>655579.76157680119</v>
      </c>
      <c r="T287" s="367">
        <f t="shared" si="190"/>
        <v>565526.6780048518</v>
      </c>
      <c r="U287" s="367">
        <f t="shared" si="190"/>
        <v>619518.4743696223</v>
      </c>
      <c r="V287" s="367">
        <f t="shared" si="190"/>
        <v>663493.77503966587</v>
      </c>
      <c r="W287" s="367">
        <f t="shared" si="190"/>
        <v>713857.24310637824</v>
      </c>
      <c r="X287" s="367">
        <f t="shared" si="190"/>
        <v>758118.10169594572</v>
      </c>
      <c r="Y287" s="367">
        <f t="shared" si="190"/>
        <v>806849.70962868049</v>
      </c>
      <c r="Z287" s="367">
        <f t="shared" si="190"/>
        <v>756971.52638105815</v>
      </c>
      <c r="AA287" s="367">
        <f t="shared" si="190"/>
        <v>805539.83022342122</v>
      </c>
      <c r="AB287" s="367">
        <f t="shared" si="190"/>
        <v>835335.68462256063</v>
      </c>
      <c r="AC287" s="367">
        <f t="shared" si="190"/>
        <v>903208.02071908023</v>
      </c>
      <c r="AD287" s="367">
        <f t="shared" si="190"/>
        <v>975161.91704880656</v>
      </c>
      <c r="AE287" s="367">
        <f t="shared" si="190"/>
        <v>919647.10113001848</v>
      </c>
      <c r="AF287" s="367">
        <f t="shared" si="190"/>
        <v>989089.22697259323</v>
      </c>
      <c r="AG287" s="367">
        <f t="shared" si="190"/>
        <v>1068328.5940068257</v>
      </c>
      <c r="AH287" s="367">
        <f t="shared" si="190"/>
        <v>1168153.8212094898</v>
      </c>
      <c r="AI287" s="367">
        <f t="shared" si="190"/>
        <v>1257363.4131944077</v>
      </c>
      <c r="AJ287" s="367">
        <f t="shared" si="190"/>
        <v>1250988.787922659</v>
      </c>
      <c r="AK287" s="367">
        <f t="shared" si="190"/>
        <v>1348376.1968113463</v>
      </c>
      <c r="AL287" s="367">
        <f t="shared" si="190"/>
        <v>1475327.4957434887</v>
      </c>
      <c r="AM287" s="367">
        <f t="shared" si="190"/>
        <v>1658087.5187326497</v>
      </c>
    </row>
    <row r="288" spans="1:39" ht="15" customHeight="1" x14ac:dyDescent="0.3">
      <c r="B288" s="364" t="s">
        <v>5164</v>
      </c>
      <c r="C288" s="365"/>
      <c r="D288" s="365"/>
      <c r="E288" s="365"/>
      <c r="F288" s="365"/>
      <c r="G288" s="365"/>
      <c r="H288" s="365"/>
      <c r="I288" s="365"/>
      <c r="J288" s="365"/>
      <c r="K288" s="365"/>
      <c r="L288" s="365"/>
      <c r="O288" s="367">
        <f>O287+O286</f>
        <v>-5087.8539593976529</v>
      </c>
      <c r="P288" s="367">
        <f t="shared" ref="P288:AM288" si="191">P287+P286</f>
        <v>2302731.3722781143</v>
      </c>
      <c r="Q288" s="367">
        <f t="shared" si="191"/>
        <v>2851272.3036465403</v>
      </c>
      <c r="R288" s="367">
        <f t="shared" si="191"/>
        <v>3461127.5222541713</v>
      </c>
      <c r="S288" s="367">
        <f t="shared" si="191"/>
        <v>4116707.2838309724</v>
      </c>
      <c r="T288" s="367">
        <f t="shared" si="191"/>
        <v>4682233.961835824</v>
      </c>
      <c r="U288" s="367">
        <f t="shared" si="191"/>
        <v>5301752.4362054467</v>
      </c>
      <c r="V288" s="367">
        <f t="shared" si="191"/>
        <v>5965246.2112451121</v>
      </c>
      <c r="W288" s="367">
        <f t="shared" si="191"/>
        <v>6679103.4543514904</v>
      </c>
      <c r="X288" s="367">
        <f t="shared" si="191"/>
        <v>7437221.5560474358</v>
      </c>
      <c r="Y288" s="367">
        <f t="shared" si="191"/>
        <v>8244071.2656761166</v>
      </c>
      <c r="Z288" s="367">
        <f t="shared" si="191"/>
        <v>9001042.7920571752</v>
      </c>
      <c r="AA288" s="367">
        <f t="shared" si="191"/>
        <v>9806582.6222805958</v>
      </c>
      <c r="AB288" s="367">
        <f t="shared" si="191"/>
        <v>10641918.306903157</v>
      </c>
      <c r="AC288" s="367">
        <f t="shared" si="191"/>
        <v>11545126.327622239</v>
      </c>
      <c r="AD288" s="367">
        <f t="shared" si="191"/>
        <v>12520288.244671045</v>
      </c>
      <c r="AE288" s="367">
        <f t="shared" si="191"/>
        <v>13439935.345801063</v>
      </c>
      <c r="AF288" s="367">
        <f t="shared" si="191"/>
        <v>14429024.572773656</v>
      </c>
      <c r="AG288" s="367">
        <f t="shared" si="191"/>
        <v>15497353.166780481</v>
      </c>
      <c r="AH288" s="367">
        <f t="shared" si="191"/>
        <v>16665506.987989971</v>
      </c>
      <c r="AI288" s="367">
        <f t="shared" si="191"/>
        <v>17922870.40118438</v>
      </c>
      <c r="AJ288" s="367">
        <f t="shared" si="191"/>
        <v>19173859.189107038</v>
      </c>
      <c r="AK288" s="367">
        <f t="shared" si="191"/>
        <v>20522235.385918386</v>
      </c>
      <c r="AL288" s="367">
        <f t="shared" si="191"/>
        <v>21997562.881661873</v>
      </c>
      <c r="AM288" s="367">
        <f t="shared" si="191"/>
        <v>23655650.400394522</v>
      </c>
    </row>
    <row r="289" spans="2:50" ht="14.25" customHeight="1" x14ac:dyDescent="0.3"/>
    <row r="290" spans="2:50" ht="15" customHeight="1" x14ac:dyDescent="0.3">
      <c r="B290" s="326" t="s">
        <v>5161</v>
      </c>
    </row>
    <row r="291" spans="2:50" ht="15" customHeight="1" x14ac:dyDescent="0.3">
      <c r="B291" s="364" t="s">
        <v>5162</v>
      </c>
      <c r="C291" s="365"/>
      <c r="D291" s="365"/>
      <c r="E291" s="365"/>
      <c r="F291" s="365"/>
      <c r="G291" s="365"/>
      <c r="H291" s="365"/>
      <c r="I291" s="365"/>
      <c r="J291" s="365"/>
      <c r="K291" s="365"/>
      <c r="L291" s="365"/>
      <c r="O291" s="365">
        <v>0</v>
      </c>
      <c r="P291" s="367">
        <f t="shared" ref="P291:AM291" si="192">O294</f>
        <v>0</v>
      </c>
      <c r="Q291" s="367">
        <f t="shared" si="192"/>
        <v>0</v>
      </c>
      <c r="R291" s="367">
        <f t="shared" si="192"/>
        <v>0</v>
      </c>
      <c r="S291" s="367">
        <f t="shared" si="192"/>
        <v>0</v>
      </c>
      <c r="T291" s="367">
        <f t="shared" si="192"/>
        <v>0</v>
      </c>
      <c r="U291" s="367">
        <f t="shared" si="192"/>
        <v>0</v>
      </c>
      <c r="V291" s="367">
        <f t="shared" si="192"/>
        <v>0</v>
      </c>
      <c r="W291" s="367">
        <f t="shared" si="192"/>
        <v>0</v>
      </c>
      <c r="X291" s="367">
        <f t="shared" si="192"/>
        <v>0</v>
      </c>
      <c r="Y291" s="367">
        <f t="shared" si="192"/>
        <v>0</v>
      </c>
      <c r="Z291" s="367">
        <f t="shared" si="192"/>
        <v>0</v>
      </c>
      <c r="AA291" s="367">
        <f t="shared" si="192"/>
        <v>0</v>
      </c>
      <c r="AB291" s="367">
        <f t="shared" si="192"/>
        <v>0</v>
      </c>
      <c r="AC291" s="367">
        <f t="shared" si="192"/>
        <v>0</v>
      </c>
      <c r="AD291" s="367">
        <f t="shared" si="192"/>
        <v>0</v>
      </c>
      <c r="AE291" s="367">
        <f t="shared" si="192"/>
        <v>0</v>
      </c>
      <c r="AF291" s="367">
        <f t="shared" si="192"/>
        <v>0</v>
      </c>
      <c r="AG291" s="367">
        <f t="shared" si="192"/>
        <v>0</v>
      </c>
      <c r="AH291" s="367">
        <f t="shared" si="192"/>
        <v>0</v>
      </c>
      <c r="AI291" s="367">
        <f t="shared" si="192"/>
        <v>0</v>
      </c>
      <c r="AJ291" s="367">
        <f t="shared" si="192"/>
        <v>0</v>
      </c>
      <c r="AK291" s="367">
        <f t="shared" si="192"/>
        <v>0</v>
      </c>
      <c r="AL291" s="367">
        <f t="shared" si="192"/>
        <v>0</v>
      </c>
      <c r="AM291" s="367">
        <f t="shared" si="192"/>
        <v>0</v>
      </c>
    </row>
    <row r="292" spans="2:50" ht="3.75" customHeight="1" x14ac:dyDescent="0.3"/>
    <row r="293" spans="2:50" ht="15" customHeight="1" x14ac:dyDescent="0.3">
      <c r="B293" s="359" t="s">
        <v>5163</v>
      </c>
      <c r="C293" s="360"/>
      <c r="D293" s="360"/>
      <c r="E293" s="360"/>
      <c r="F293" s="360"/>
      <c r="G293" s="360"/>
      <c r="H293" s="360"/>
      <c r="I293" s="360"/>
      <c r="J293" s="360"/>
      <c r="K293" s="360"/>
      <c r="L293" s="360"/>
      <c r="O293" s="368">
        <f t="shared" ref="O293:AM293" si="193">-O288</f>
        <v>5087.8539593976529</v>
      </c>
      <c r="P293" s="368">
        <f t="shared" si="193"/>
        <v>-2302731.3722781143</v>
      </c>
      <c r="Q293" s="368">
        <f t="shared" si="193"/>
        <v>-2851272.3036465403</v>
      </c>
      <c r="R293" s="368">
        <f t="shared" si="193"/>
        <v>-3461127.5222541713</v>
      </c>
      <c r="S293" s="368">
        <f t="shared" si="193"/>
        <v>-4116707.2838309724</v>
      </c>
      <c r="T293" s="368">
        <f t="shared" si="193"/>
        <v>-4682233.961835824</v>
      </c>
      <c r="U293" s="368">
        <f t="shared" si="193"/>
        <v>-5301752.4362054467</v>
      </c>
      <c r="V293" s="368">
        <f t="shared" si="193"/>
        <v>-5965246.2112451121</v>
      </c>
      <c r="W293" s="368">
        <f t="shared" si="193"/>
        <v>-6679103.4543514904</v>
      </c>
      <c r="X293" s="368">
        <f t="shared" si="193"/>
        <v>-7437221.5560474358</v>
      </c>
      <c r="Y293" s="368">
        <f t="shared" si="193"/>
        <v>-8244071.2656761166</v>
      </c>
      <c r="Z293" s="368">
        <f t="shared" si="193"/>
        <v>-9001042.7920571752</v>
      </c>
      <c r="AA293" s="368">
        <f t="shared" si="193"/>
        <v>-9806582.6222805958</v>
      </c>
      <c r="AB293" s="368">
        <f t="shared" si="193"/>
        <v>-10641918.306903157</v>
      </c>
      <c r="AC293" s="368">
        <f t="shared" si="193"/>
        <v>-11545126.327622239</v>
      </c>
      <c r="AD293" s="368">
        <f t="shared" si="193"/>
        <v>-12520288.244671045</v>
      </c>
      <c r="AE293" s="368">
        <f t="shared" si="193"/>
        <v>-13439935.345801063</v>
      </c>
      <c r="AF293" s="368">
        <f t="shared" si="193"/>
        <v>-14429024.572773656</v>
      </c>
      <c r="AG293" s="368">
        <f t="shared" si="193"/>
        <v>-15497353.166780481</v>
      </c>
      <c r="AH293" s="368">
        <f t="shared" si="193"/>
        <v>-16665506.987989971</v>
      </c>
      <c r="AI293" s="368">
        <f t="shared" si="193"/>
        <v>-17922870.40118438</v>
      </c>
      <c r="AJ293" s="368">
        <f t="shared" si="193"/>
        <v>-19173859.189107038</v>
      </c>
      <c r="AK293" s="368">
        <f t="shared" si="193"/>
        <v>-20522235.385918386</v>
      </c>
      <c r="AL293" s="368">
        <f t="shared" si="193"/>
        <v>-21997562.881661873</v>
      </c>
      <c r="AM293" s="368">
        <f t="shared" si="193"/>
        <v>-23655650.400394522</v>
      </c>
    </row>
    <row r="294" spans="2:50" ht="15" customHeight="1" x14ac:dyDescent="0.3">
      <c r="B294" s="364" t="s">
        <v>5164</v>
      </c>
      <c r="C294" s="365"/>
      <c r="D294" s="365"/>
      <c r="E294" s="365"/>
      <c r="F294" s="365"/>
      <c r="G294" s="365"/>
      <c r="H294" s="365"/>
      <c r="I294" s="365"/>
      <c r="J294" s="365"/>
      <c r="K294" s="365"/>
      <c r="L294" s="365"/>
      <c r="O294" s="367">
        <f t="shared" ref="O294:AM294" si="194">O288+O293</f>
        <v>0</v>
      </c>
      <c r="P294" s="367">
        <f t="shared" si="194"/>
        <v>0</v>
      </c>
      <c r="Q294" s="367">
        <f t="shared" si="194"/>
        <v>0</v>
      </c>
      <c r="R294" s="367">
        <f t="shared" si="194"/>
        <v>0</v>
      </c>
      <c r="S294" s="367">
        <f t="shared" si="194"/>
        <v>0</v>
      </c>
      <c r="T294" s="367">
        <f t="shared" si="194"/>
        <v>0</v>
      </c>
      <c r="U294" s="367">
        <f t="shared" si="194"/>
        <v>0</v>
      </c>
      <c r="V294" s="367">
        <f t="shared" si="194"/>
        <v>0</v>
      </c>
      <c r="W294" s="367">
        <f t="shared" si="194"/>
        <v>0</v>
      </c>
      <c r="X294" s="367">
        <f t="shared" si="194"/>
        <v>0</v>
      </c>
      <c r="Y294" s="367">
        <f t="shared" si="194"/>
        <v>0</v>
      </c>
      <c r="Z294" s="367">
        <f t="shared" si="194"/>
        <v>0</v>
      </c>
      <c r="AA294" s="367">
        <f t="shared" si="194"/>
        <v>0</v>
      </c>
      <c r="AB294" s="367">
        <f t="shared" si="194"/>
        <v>0</v>
      </c>
      <c r="AC294" s="367">
        <f t="shared" si="194"/>
        <v>0</v>
      </c>
      <c r="AD294" s="367">
        <f t="shared" si="194"/>
        <v>0</v>
      </c>
      <c r="AE294" s="367">
        <f t="shared" si="194"/>
        <v>0</v>
      </c>
      <c r="AF294" s="367">
        <f t="shared" si="194"/>
        <v>0</v>
      </c>
      <c r="AG294" s="367">
        <f t="shared" si="194"/>
        <v>0</v>
      </c>
      <c r="AH294" s="367">
        <f t="shared" si="194"/>
        <v>0</v>
      </c>
      <c r="AI294" s="367">
        <f t="shared" si="194"/>
        <v>0</v>
      </c>
      <c r="AJ294" s="367">
        <f t="shared" si="194"/>
        <v>0</v>
      </c>
      <c r="AK294" s="367">
        <f t="shared" si="194"/>
        <v>0</v>
      </c>
      <c r="AL294" s="367">
        <f t="shared" si="194"/>
        <v>0</v>
      </c>
      <c r="AM294" s="367">
        <f t="shared" si="194"/>
        <v>0</v>
      </c>
    </row>
    <row r="295" spans="2:50" ht="4.5" customHeight="1" x14ac:dyDescent="0.3"/>
    <row r="296" spans="2:50" ht="15" customHeight="1" x14ac:dyDescent="0.3">
      <c r="B296" s="324"/>
      <c r="C296" s="323" t="s">
        <v>5165</v>
      </c>
      <c r="D296" s="324"/>
      <c r="E296" s="324"/>
      <c r="F296" s="324"/>
      <c r="G296" s="324"/>
      <c r="H296" s="324"/>
      <c r="I296" s="324"/>
      <c r="J296" s="324"/>
      <c r="K296" s="324"/>
      <c r="L296" s="324"/>
      <c r="O296" s="369">
        <f>-O293</f>
        <v>-5087.8539593976529</v>
      </c>
      <c r="P296" s="369">
        <f t="shared" ref="P296:AM296" si="195">-P293</f>
        <v>2302731.3722781143</v>
      </c>
      <c r="Q296" s="369">
        <f t="shared" si="195"/>
        <v>2851272.3036465403</v>
      </c>
      <c r="R296" s="369">
        <f t="shared" si="195"/>
        <v>3461127.5222541713</v>
      </c>
      <c r="S296" s="369">
        <f t="shared" si="195"/>
        <v>4116707.2838309724</v>
      </c>
      <c r="T296" s="369">
        <f t="shared" si="195"/>
        <v>4682233.961835824</v>
      </c>
      <c r="U296" s="369">
        <f t="shared" si="195"/>
        <v>5301752.4362054467</v>
      </c>
      <c r="V296" s="369">
        <f t="shared" si="195"/>
        <v>5965246.2112451121</v>
      </c>
      <c r="W296" s="369">
        <f t="shared" si="195"/>
        <v>6679103.4543514904</v>
      </c>
      <c r="X296" s="369">
        <f t="shared" si="195"/>
        <v>7437221.5560474358</v>
      </c>
      <c r="Y296" s="369">
        <f t="shared" si="195"/>
        <v>8244071.2656761166</v>
      </c>
      <c r="Z296" s="369">
        <f t="shared" si="195"/>
        <v>9001042.7920571752</v>
      </c>
      <c r="AA296" s="369">
        <f t="shared" si="195"/>
        <v>9806582.6222805958</v>
      </c>
      <c r="AB296" s="369">
        <f t="shared" si="195"/>
        <v>10641918.306903157</v>
      </c>
      <c r="AC296" s="369">
        <f t="shared" si="195"/>
        <v>11545126.327622239</v>
      </c>
      <c r="AD296" s="369">
        <f t="shared" si="195"/>
        <v>12520288.244671045</v>
      </c>
      <c r="AE296" s="369">
        <f t="shared" si="195"/>
        <v>13439935.345801063</v>
      </c>
      <c r="AF296" s="369">
        <f t="shared" si="195"/>
        <v>14429024.572773656</v>
      </c>
      <c r="AG296" s="369">
        <f t="shared" si="195"/>
        <v>15497353.166780481</v>
      </c>
      <c r="AH296" s="369">
        <f t="shared" si="195"/>
        <v>16665506.987989971</v>
      </c>
      <c r="AI296" s="369">
        <f t="shared" si="195"/>
        <v>17922870.40118438</v>
      </c>
      <c r="AJ296" s="369">
        <f t="shared" si="195"/>
        <v>19173859.189107038</v>
      </c>
      <c r="AK296" s="369">
        <f t="shared" si="195"/>
        <v>20522235.385918386</v>
      </c>
      <c r="AL296" s="369">
        <f t="shared" si="195"/>
        <v>21997562.881661873</v>
      </c>
      <c r="AM296" s="369">
        <f t="shared" si="195"/>
        <v>23655650.400394522</v>
      </c>
    </row>
    <row r="297" spans="2:50" ht="12.75" customHeight="1" x14ac:dyDescent="0.3"/>
    <row r="298" spans="2:50" ht="15" customHeight="1" x14ac:dyDescent="0.3">
      <c r="B298" s="321" t="s">
        <v>126</v>
      </c>
      <c r="C298" s="321"/>
      <c r="D298" s="321"/>
      <c r="E298" s="321"/>
      <c r="F298" s="321"/>
      <c r="G298" s="321"/>
      <c r="H298" s="321"/>
      <c r="I298" s="321"/>
      <c r="J298" s="321"/>
      <c r="K298" s="321"/>
      <c r="L298" s="321"/>
      <c r="M298" s="322"/>
      <c r="N298" s="322"/>
      <c r="O298" s="321"/>
      <c r="P298" s="321"/>
      <c r="Q298" s="321"/>
      <c r="R298" s="321"/>
      <c r="S298" s="321"/>
      <c r="T298" s="321"/>
      <c r="U298" s="321"/>
      <c r="V298" s="321"/>
      <c r="W298" s="321"/>
      <c r="X298" s="321"/>
      <c r="Y298" s="321"/>
      <c r="Z298" s="321"/>
      <c r="AA298" s="321"/>
      <c r="AB298" s="321"/>
      <c r="AC298" s="321"/>
      <c r="AD298" s="321"/>
      <c r="AE298" s="321"/>
      <c r="AF298" s="321"/>
      <c r="AG298" s="321"/>
      <c r="AH298" s="321"/>
      <c r="AI298" s="321"/>
      <c r="AJ298" s="321"/>
      <c r="AK298" s="321"/>
      <c r="AL298" s="321"/>
      <c r="AM298" s="321"/>
      <c r="AN298" s="5"/>
      <c r="AO298" s="9"/>
      <c r="AP298" s="9"/>
      <c r="AQ298" s="9"/>
      <c r="AR298" s="9"/>
      <c r="AS298" s="9"/>
      <c r="AT298" s="9"/>
      <c r="AU298" s="9"/>
      <c r="AV298" s="9"/>
      <c r="AW298" s="9"/>
      <c r="AX298" s="221"/>
    </row>
    <row r="299" spans="2:50" ht="15" customHeight="1" thickBot="1" x14ac:dyDescent="0.35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5"/>
      <c r="AO299" s="1"/>
      <c r="AP299" s="1"/>
      <c r="AQ299" s="1"/>
      <c r="AR299" s="1"/>
      <c r="AS299" s="1"/>
      <c r="AT299" s="1"/>
      <c r="AU299" s="1"/>
      <c r="AV299" s="1"/>
      <c r="AW299" s="1"/>
      <c r="AX299" s="221"/>
    </row>
    <row r="300" spans="2:50" ht="15" customHeight="1" x14ac:dyDescent="0.3">
      <c r="B300" s="1"/>
      <c r="C300" s="636" t="s">
        <v>5275</v>
      </c>
      <c r="D300" s="637"/>
      <c r="E300" s="637"/>
      <c r="F300" s="638"/>
      <c r="G300" s="165"/>
      <c r="H300" s="165"/>
      <c r="I300" s="205"/>
      <c r="J300" s="205"/>
      <c r="K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5"/>
      <c r="AO300" s="1"/>
      <c r="AP300" s="1"/>
      <c r="AQ300" s="1"/>
      <c r="AR300" s="1"/>
      <c r="AS300" s="1"/>
      <c r="AT300" s="1"/>
      <c r="AU300" s="1"/>
      <c r="AV300" s="1"/>
      <c r="AW300" s="1"/>
      <c r="AX300" s="221"/>
    </row>
    <row r="301" spans="2:50" ht="15" customHeight="1" x14ac:dyDescent="0.3">
      <c r="B301" s="1"/>
      <c r="C301" s="634" t="s">
        <v>127</v>
      </c>
      <c r="D301" s="627"/>
      <c r="E301" s="635" t="s">
        <v>128</v>
      </c>
      <c r="F301" s="629"/>
      <c r="G301" s="165"/>
      <c r="H301" s="295"/>
      <c r="I301" s="295"/>
      <c r="J301" s="296"/>
      <c r="K301" s="144"/>
      <c r="L301" s="144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5"/>
      <c r="AO301" s="1"/>
      <c r="AP301" s="1"/>
      <c r="AQ301" s="1"/>
      <c r="AR301" s="1"/>
      <c r="AS301" s="1"/>
      <c r="AT301" s="1"/>
      <c r="AU301" s="1"/>
      <c r="AV301" s="1"/>
      <c r="AW301" s="1"/>
      <c r="AX301" s="221"/>
    </row>
    <row r="302" spans="2:50" ht="15" customHeight="1" x14ac:dyDescent="0.3">
      <c r="B302" s="1"/>
      <c r="C302" s="626" t="s">
        <v>5158</v>
      </c>
      <c r="D302" s="627"/>
      <c r="E302" s="639">
        <f>Painel!K17</f>
        <v>265705.22000000003</v>
      </c>
      <c r="F302" s="640"/>
      <c r="G302" s="297"/>
      <c r="H302" s="298"/>
      <c r="I302" s="296"/>
      <c r="J302" s="16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5"/>
      <c r="AO302" s="1"/>
      <c r="AP302" s="1"/>
      <c r="AQ302" s="1"/>
      <c r="AR302" s="1"/>
      <c r="AS302" s="1"/>
      <c r="AT302" s="1"/>
      <c r="AU302" s="1"/>
      <c r="AV302" s="1"/>
      <c r="AW302" s="1"/>
      <c r="AX302" s="221"/>
    </row>
    <row r="303" spans="2:50" ht="15" customHeight="1" x14ac:dyDescent="0.3">
      <c r="B303" s="1"/>
      <c r="C303" s="626" t="s">
        <v>5171</v>
      </c>
      <c r="D303" s="641"/>
      <c r="E303" s="639">
        <f>Painel!K18</f>
        <v>172309.53</v>
      </c>
      <c r="F303" s="640"/>
      <c r="G303" s="297"/>
      <c r="H303" s="298"/>
      <c r="I303" s="296"/>
      <c r="J303" s="16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75"/>
      <c r="AO303" s="1"/>
      <c r="AP303" s="1"/>
      <c r="AQ303" s="1"/>
      <c r="AR303" s="1"/>
      <c r="AS303" s="1"/>
      <c r="AT303" s="1"/>
      <c r="AU303" s="1"/>
      <c r="AV303" s="1"/>
      <c r="AW303" s="1"/>
      <c r="AX303" s="221"/>
    </row>
    <row r="304" spans="2:50" ht="15" customHeight="1" x14ac:dyDescent="0.3">
      <c r="B304" s="1"/>
      <c r="C304" s="626" t="s">
        <v>5173</v>
      </c>
      <c r="D304" s="627"/>
      <c r="E304" s="642">
        <f>SUM(E302:F303)</f>
        <v>438014.75</v>
      </c>
      <c r="F304" s="643"/>
      <c r="G304" s="297"/>
      <c r="H304" s="298"/>
      <c r="I304" s="296"/>
      <c r="J304" s="16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75"/>
      <c r="AO304" s="1"/>
      <c r="AP304" s="1"/>
      <c r="AQ304" s="1"/>
      <c r="AR304" s="1"/>
      <c r="AS304" s="1"/>
      <c r="AT304" s="1"/>
      <c r="AU304" s="1"/>
      <c r="AV304" s="1"/>
      <c r="AW304" s="1"/>
      <c r="AX304" s="221"/>
    </row>
    <row r="305" spans="2:50" ht="15" customHeight="1" x14ac:dyDescent="0.3">
      <c r="B305" s="1"/>
      <c r="C305" s="626" t="s">
        <v>5172</v>
      </c>
      <c r="D305" s="627"/>
      <c r="E305" s="642">
        <f>E304*12</f>
        <v>5256177</v>
      </c>
      <c r="F305" s="643"/>
      <c r="G305" s="165"/>
      <c r="H305" s="165"/>
      <c r="I305" s="165"/>
      <c r="J305" s="299"/>
      <c r="K305" s="17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5"/>
      <c r="AO305" s="1"/>
      <c r="AP305" s="1"/>
      <c r="AQ305" s="1"/>
      <c r="AR305" s="1"/>
      <c r="AS305" s="1"/>
      <c r="AT305" s="1"/>
      <c r="AU305" s="1"/>
      <c r="AV305" s="1"/>
      <c r="AW305" s="1"/>
      <c r="AX305" s="221"/>
    </row>
    <row r="306" spans="2:50" ht="15" customHeight="1" x14ac:dyDescent="0.3">
      <c r="B306" s="1"/>
      <c r="C306" s="178"/>
      <c r="D306" s="179"/>
      <c r="E306" s="179"/>
      <c r="F306" s="176"/>
      <c r="G306" s="180"/>
      <c r="H306" s="181"/>
      <c r="I306" s="146"/>
      <c r="J306" s="145"/>
      <c r="K306" s="145"/>
      <c r="L306" s="147"/>
      <c r="M306" s="148"/>
      <c r="N306" s="148"/>
      <c r="O306" s="148"/>
      <c r="P306" s="149"/>
      <c r="Q306" s="149"/>
      <c r="R306" s="149"/>
      <c r="S306" s="149"/>
      <c r="T306" s="149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75"/>
      <c r="AO306" s="1"/>
      <c r="AP306" s="1"/>
      <c r="AQ306" s="1"/>
      <c r="AR306" s="1"/>
      <c r="AS306" s="1"/>
      <c r="AT306" s="1"/>
      <c r="AU306" s="1"/>
      <c r="AV306" s="1"/>
      <c r="AW306" s="1"/>
    </row>
    <row r="307" spans="2:50" ht="15" customHeight="1" x14ac:dyDescent="0.3">
      <c r="B307" s="321" t="s">
        <v>209</v>
      </c>
      <c r="C307" s="321"/>
      <c r="D307" s="321"/>
      <c r="E307" s="321"/>
      <c r="F307" s="321"/>
      <c r="G307" s="321"/>
      <c r="H307" s="321"/>
      <c r="I307" s="321"/>
      <c r="J307" s="321"/>
      <c r="K307" s="321"/>
      <c r="L307" s="321"/>
      <c r="M307" s="1"/>
      <c r="N307" s="1"/>
      <c r="O307" s="321"/>
      <c r="P307" s="321"/>
      <c r="Q307" s="321"/>
      <c r="R307" s="321"/>
      <c r="S307" s="321"/>
      <c r="T307" s="321"/>
      <c r="U307" s="321"/>
      <c r="V307" s="321"/>
      <c r="W307" s="321"/>
      <c r="X307" s="321"/>
      <c r="Y307" s="321"/>
      <c r="Z307" s="321"/>
      <c r="AA307" s="321"/>
      <c r="AB307" s="321"/>
      <c r="AC307" s="321"/>
      <c r="AD307" s="321"/>
      <c r="AE307" s="321"/>
      <c r="AF307" s="321"/>
      <c r="AG307" s="321"/>
      <c r="AH307" s="321"/>
      <c r="AI307" s="321"/>
      <c r="AJ307" s="321"/>
      <c r="AK307" s="321"/>
      <c r="AL307" s="321"/>
      <c r="AM307" s="321"/>
      <c r="AN307" s="5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2:50" ht="15" customHeight="1" x14ac:dyDescent="0.3">
      <c r="B308" s="94" t="s">
        <v>5169</v>
      </c>
      <c r="C308" s="94"/>
      <c r="D308" s="94"/>
      <c r="E308" s="94"/>
      <c r="F308" s="94"/>
      <c r="G308" s="94"/>
      <c r="H308" s="94"/>
      <c r="I308" s="94"/>
      <c r="J308" s="94"/>
      <c r="K308" s="97">
        <f>NPV(WACC!$D$35,O308:AV308)</f>
        <v>14129772.624927646</v>
      </c>
      <c r="L308" s="97">
        <f t="shared" ref="L308:L310" si="196">SUM(O308:AV308)</f>
        <v>40363456.982785352</v>
      </c>
      <c r="M308" s="1"/>
      <c r="N308" s="1"/>
      <c r="O308" s="97">
        <f t="shared" ref="O308:AM308" si="197">O75</f>
        <v>552924.06825733301</v>
      </c>
      <c r="P308" s="97">
        <f t="shared" si="197"/>
        <v>1658772.2047720007</v>
      </c>
      <c r="Q308" s="97">
        <f t="shared" si="197"/>
        <v>1658772.2047720007</v>
      </c>
      <c r="R308" s="97">
        <f t="shared" si="197"/>
        <v>1658772.2047720007</v>
      </c>
      <c r="S308" s="97">
        <f t="shared" si="197"/>
        <v>1658772.2047720007</v>
      </c>
      <c r="T308" s="97">
        <f t="shared" si="197"/>
        <v>1658772.2047720007</v>
      </c>
      <c r="U308" s="97">
        <f t="shared" si="197"/>
        <v>1658772.2047720007</v>
      </c>
      <c r="V308" s="97">
        <f t="shared" si="197"/>
        <v>1658772.2047720007</v>
      </c>
      <c r="W308" s="97">
        <f t="shared" si="197"/>
        <v>1658772.2047720007</v>
      </c>
      <c r="X308" s="97">
        <f t="shared" si="197"/>
        <v>1658772.2047720007</v>
      </c>
      <c r="Y308" s="97">
        <f t="shared" si="197"/>
        <v>1658772.2047720007</v>
      </c>
      <c r="Z308" s="97">
        <f t="shared" si="197"/>
        <v>1658772.2047720007</v>
      </c>
      <c r="AA308" s="97">
        <f t="shared" si="197"/>
        <v>1658772.2047720007</v>
      </c>
      <c r="AB308" s="97">
        <f t="shared" si="197"/>
        <v>1658772.2047720007</v>
      </c>
      <c r="AC308" s="97">
        <f t="shared" si="197"/>
        <v>1658772.2047720007</v>
      </c>
      <c r="AD308" s="97">
        <f t="shared" si="197"/>
        <v>1658772.2047720007</v>
      </c>
      <c r="AE308" s="97">
        <f t="shared" si="197"/>
        <v>1658772.2047720007</v>
      </c>
      <c r="AF308" s="97">
        <f t="shared" si="197"/>
        <v>1658772.2047720007</v>
      </c>
      <c r="AG308" s="97">
        <f t="shared" si="197"/>
        <v>1658772.2047720007</v>
      </c>
      <c r="AH308" s="97">
        <f t="shared" si="197"/>
        <v>1658772.2047720007</v>
      </c>
      <c r="AI308" s="97">
        <f t="shared" si="197"/>
        <v>1658772.2047720007</v>
      </c>
      <c r="AJ308" s="97">
        <f t="shared" si="197"/>
        <v>1658772.2047720007</v>
      </c>
      <c r="AK308" s="97">
        <f t="shared" si="197"/>
        <v>1658772.2047720007</v>
      </c>
      <c r="AL308" s="97">
        <f t="shared" si="197"/>
        <v>1658772.2047720007</v>
      </c>
      <c r="AM308" s="97">
        <f t="shared" si="197"/>
        <v>1658772.2047720007</v>
      </c>
      <c r="AN308" s="5"/>
      <c r="AO308" s="1"/>
      <c r="AP308" s="1"/>
      <c r="AQ308" s="1"/>
      <c r="AR308" s="1"/>
      <c r="AS308" s="1"/>
      <c r="AT308" s="1"/>
      <c r="AU308" s="1"/>
      <c r="AV308" s="1"/>
      <c r="AW308" s="1"/>
    </row>
    <row r="309" spans="2:50" ht="15" customHeight="1" x14ac:dyDescent="0.3">
      <c r="B309" s="94" t="s">
        <v>5170</v>
      </c>
      <c r="C309" s="94"/>
      <c r="D309" s="94"/>
      <c r="E309" s="94"/>
      <c r="F309" s="94"/>
      <c r="G309" s="94"/>
      <c r="H309" s="94"/>
      <c r="I309" s="94"/>
      <c r="J309" s="94"/>
      <c r="K309" s="97">
        <f>NPV(WACC!$D$35,O309:AV309)</f>
        <v>47960757.586036168</v>
      </c>
      <c r="L309" s="177">
        <f t="shared" si="196"/>
        <v>131404425</v>
      </c>
      <c r="M309" s="1"/>
      <c r="N309" s="1"/>
      <c r="O309" s="97">
        <f t="shared" ref="O309:AM309" si="198">$E$305</f>
        <v>5256177</v>
      </c>
      <c r="P309" s="97">
        <f t="shared" si="198"/>
        <v>5256177</v>
      </c>
      <c r="Q309" s="97">
        <f t="shared" si="198"/>
        <v>5256177</v>
      </c>
      <c r="R309" s="97">
        <f t="shared" si="198"/>
        <v>5256177</v>
      </c>
      <c r="S309" s="97">
        <f t="shared" si="198"/>
        <v>5256177</v>
      </c>
      <c r="T309" s="97">
        <f t="shared" si="198"/>
        <v>5256177</v>
      </c>
      <c r="U309" s="97">
        <f t="shared" si="198"/>
        <v>5256177</v>
      </c>
      <c r="V309" s="97">
        <f t="shared" si="198"/>
        <v>5256177</v>
      </c>
      <c r="W309" s="97">
        <f t="shared" si="198"/>
        <v>5256177</v>
      </c>
      <c r="X309" s="97">
        <f t="shared" si="198"/>
        <v>5256177</v>
      </c>
      <c r="Y309" s="97">
        <f t="shared" si="198"/>
        <v>5256177</v>
      </c>
      <c r="Z309" s="97">
        <f t="shared" si="198"/>
        <v>5256177</v>
      </c>
      <c r="AA309" s="97">
        <f t="shared" si="198"/>
        <v>5256177</v>
      </c>
      <c r="AB309" s="97">
        <f t="shared" si="198"/>
        <v>5256177</v>
      </c>
      <c r="AC309" s="97">
        <f t="shared" si="198"/>
        <v>5256177</v>
      </c>
      <c r="AD309" s="97">
        <f t="shared" si="198"/>
        <v>5256177</v>
      </c>
      <c r="AE309" s="97">
        <f t="shared" si="198"/>
        <v>5256177</v>
      </c>
      <c r="AF309" s="97">
        <f t="shared" si="198"/>
        <v>5256177</v>
      </c>
      <c r="AG309" s="97">
        <f t="shared" si="198"/>
        <v>5256177</v>
      </c>
      <c r="AH309" s="97">
        <f t="shared" si="198"/>
        <v>5256177</v>
      </c>
      <c r="AI309" s="97">
        <f t="shared" si="198"/>
        <v>5256177</v>
      </c>
      <c r="AJ309" s="97">
        <f t="shared" si="198"/>
        <v>5256177</v>
      </c>
      <c r="AK309" s="97">
        <f t="shared" si="198"/>
        <v>5256177</v>
      </c>
      <c r="AL309" s="97">
        <f t="shared" si="198"/>
        <v>5256177</v>
      </c>
      <c r="AM309" s="97">
        <f t="shared" si="198"/>
        <v>5256177</v>
      </c>
      <c r="AN309" s="5"/>
      <c r="AO309" s="1"/>
      <c r="AP309" s="1"/>
      <c r="AQ309" s="1"/>
      <c r="AR309" s="1"/>
      <c r="AS309" s="1"/>
      <c r="AT309" s="1"/>
      <c r="AU309" s="1"/>
      <c r="AV309" s="1"/>
      <c r="AW309" s="1"/>
    </row>
    <row r="310" spans="2:50" ht="15" customHeight="1" x14ac:dyDescent="0.3">
      <c r="B310" s="53" t="s">
        <v>210</v>
      </c>
      <c r="C310" s="53"/>
      <c r="D310" s="53"/>
      <c r="E310" s="53"/>
      <c r="F310" s="53"/>
      <c r="G310" s="53"/>
      <c r="H310" s="53"/>
      <c r="I310" s="53"/>
      <c r="J310" s="53"/>
      <c r="K310" s="97">
        <f>NPV(WACC!$D$35,O310:AV310)</f>
        <v>33830984.961108521</v>
      </c>
      <c r="L310" s="177">
        <f t="shared" si="196"/>
        <v>91040968.017214671</v>
      </c>
      <c r="M310" s="1"/>
      <c r="N310" s="1"/>
      <c r="O310" s="54">
        <f>O309-O308</f>
        <v>4703252.9317426672</v>
      </c>
      <c r="P310" s="54">
        <f t="shared" ref="P310:AM310" si="199">P309-P308</f>
        <v>3597404.7952279993</v>
      </c>
      <c r="Q310" s="54">
        <f t="shared" si="199"/>
        <v>3597404.7952279993</v>
      </c>
      <c r="R310" s="54">
        <f t="shared" si="199"/>
        <v>3597404.7952279993</v>
      </c>
      <c r="S310" s="54">
        <f t="shared" si="199"/>
        <v>3597404.7952279993</v>
      </c>
      <c r="T310" s="54">
        <f t="shared" si="199"/>
        <v>3597404.7952279993</v>
      </c>
      <c r="U310" s="54">
        <f t="shared" si="199"/>
        <v>3597404.7952279993</v>
      </c>
      <c r="V310" s="54">
        <f t="shared" si="199"/>
        <v>3597404.7952279993</v>
      </c>
      <c r="W310" s="54">
        <f t="shared" si="199"/>
        <v>3597404.7952279993</v>
      </c>
      <c r="X310" s="54">
        <f t="shared" si="199"/>
        <v>3597404.7952279993</v>
      </c>
      <c r="Y310" s="54">
        <f t="shared" si="199"/>
        <v>3597404.7952279993</v>
      </c>
      <c r="Z310" s="54">
        <f t="shared" si="199"/>
        <v>3597404.7952279993</v>
      </c>
      <c r="AA310" s="54">
        <f t="shared" si="199"/>
        <v>3597404.7952279993</v>
      </c>
      <c r="AB310" s="54">
        <f t="shared" si="199"/>
        <v>3597404.7952279993</v>
      </c>
      <c r="AC310" s="54">
        <f t="shared" si="199"/>
        <v>3597404.7952279993</v>
      </c>
      <c r="AD310" s="54">
        <f t="shared" si="199"/>
        <v>3597404.7952279993</v>
      </c>
      <c r="AE310" s="54">
        <f t="shared" si="199"/>
        <v>3597404.7952279993</v>
      </c>
      <c r="AF310" s="54">
        <f t="shared" si="199"/>
        <v>3597404.7952279993</v>
      </c>
      <c r="AG310" s="54">
        <f t="shared" si="199"/>
        <v>3597404.7952279993</v>
      </c>
      <c r="AH310" s="54">
        <f t="shared" si="199"/>
        <v>3597404.7952279993</v>
      </c>
      <c r="AI310" s="54">
        <f t="shared" si="199"/>
        <v>3597404.7952279993</v>
      </c>
      <c r="AJ310" s="54">
        <f t="shared" si="199"/>
        <v>3597404.7952279993</v>
      </c>
      <c r="AK310" s="54">
        <f t="shared" si="199"/>
        <v>3597404.7952279993</v>
      </c>
      <c r="AL310" s="54">
        <f t="shared" si="199"/>
        <v>3597404.7952279993</v>
      </c>
      <c r="AM310" s="54">
        <f t="shared" si="199"/>
        <v>3597404.7952279993</v>
      </c>
      <c r="AN310" s="5"/>
      <c r="AO310" s="1"/>
      <c r="AP310" s="1"/>
      <c r="AQ310" s="1"/>
      <c r="AR310" s="1"/>
      <c r="AS310" s="1"/>
      <c r="AT310" s="1"/>
      <c r="AU310" s="1"/>
      <c r="AV310" s="1"/>
      <c r="AW310" s="1"/>
    </row>
    <row r="311" spans="2:50" ht="15" customHeight="1" x14ac:dyDescent="0.3">
      <c r="B311" s="53" t="s">
        <v>211</v>
      </c>
      <c r="C311" s="53"/>
      <c r="D311" s="53"/>
      <c r="E311" s="53"/>
      <c r="F311" s="53"/>
      <c r="G311" s="53"/>
      <c r="H311" s="53"/>
      <c r="I311" s="53"/>
      <c r="J311" s="53"/>
      <c r="K311" s="177"/>
      <c r="L311" s="191">
        <f>AVERAGE(O311:AM311)</f>
        <v>0.69283030626415121</v>
      </c>
      <c r="M311" s="1"/>
      <c r="N311" s="1"/>
      <c r="O311" s="182">
        <f>1-(O308/O309)</f>
        <v>0.89480489940553121</v>
      </c>
      <c r="P311" s="182">
        <f t="shared" ref="P311:AM311" si="200">1-(P308/P309)</f>
        <v>0.6844146982165934</v>
      </c>
      <c r="Q311" s="182">
        <f t="shared" si="200"/>
        <v>0.6844146982165934</v>
      </c>
      <c r="R311" s="182">
        <f t="shared" si="200"/>
        <v>0.6844146982165934</v>
      </c>
      <c r="S311" s="182">
        <f t="shared" si="200"/>
        <v>0.6844146982165934</v>
      </c>
      <c r="T311" s="182">
        <f t="shared" si="200"/>
        <v>0.6844146982165934</v>
      </c>
      <c r="U311" s="182">
        <f t="shared" si="200"/>
        <v>0.6844146982165934</v>
      </c>
      <c r="V311" s="182">
        <f t="shared" si="200"/>
        <v>0.6844146982165934</v>
      </c>
      <c r="W311" s="182">
        <f t="shared" si="200"/>
        <v>0.6844146982165934</v>
      </c>
      <c r="X311" s="182">
        <f t="shared" si="200"/>
        <v>0.6844146982165934</v>
      </c>
      <c r="Y311" s="182">
        <f t="shared" si="200"/>
        <v>0.6844146982165934</v>
      </c>
      <c r="Z311" s="182">
        <f t="shared" si="200"/>
        <v>0.6844146982165934</v>
      </c>
      <c r="AA311" s="182">
        <f t="shared" si="200"/>
        <v>0.6844146982165934</v>
      </c>
      <c r="AB311" s="182">
        <f t="shared" si="200"/>
        <v>0.6844146982165934</v>
      </c>
      <c r="AC311" s="182">
        <f t="shared" si="200"/>
        <v>0.6844146982165934</v>
      </c>
      <c r="AD311" s="182">
        <f t="shared" si="200"/>
        <v>0.6844146982165934</v>
      </c>
      <c r="AE311" s="182">
        <f t="shared" si="200"/>
        <v>0.6844146982165934</v>
      </c>
      <c r="AF311" s="182">
        <f t="shared" si="200"/>
        <v>0.6844146982165934</v>
      </c>
      <c r="AG311" s="182">
        <f t="shared" si="200"/>
        <v>0.6844146982165934</v>
      </c>
      <c r="AH311" s="182">
        <f t="shared" si="200"/>
        <v>0.6844146982165934</v>
      </c>
      <c r="AI311" s="182">
        <f t="shared" si="200"/>
        <v>0.6844146982165934</v>
      </c>
      <c r="AJ311" s="182">
        <f t="shared" si="200"/>
        <v>0.6844146982165934</v>
      </c>
      <c r="AK311" s="182">
        <f t="shared" si="200"/>
        <v>0.6844146982165934</v>
      </c>
      <c r="AL311" s="182">
        <f t="shared" si="200"/>
        <v>0.6844146982165934</v>
      </c>
      <c r="AM311" s="182">
        <f t="shared" si="200"/>
        <v>0.6844146982165934</v>
      </c>
      <c r="AN311" s="5"/>
      <c r="AO311" s="1"/>
      <c r="AP311" s="1"/>
      <c r="AQ311" s="1"/>
      <c r="AR311" s="1"/>
      <c r="AS311" s="1"/>
      <c r="AT311" s="1"/>
      <c r="AU311" s="1"/>
      <c r="AV311" s="1"/>
      <c r="AW311" s="1"/>
    </row>
    <row r="312" spans="2:50" ht="15" customHeight="1" thickBot="1" x14ac:dyDescent="0.35">
      <c r="AO312" s="1"/>
      <c r="AP312" s="1"/>
      <c r="AQ312" s="1"/>
      <c r="AR312" s="1"/>
      <c r="AS312" s="1"/>
      <c r="AT312" s="1"/>
      <c r="AU312" s="1"/>
      <c r="AV312" s="1"/>
      <c r="AW312" s="1"/>
    </row>
    <row r="313" spans="2:50" ht="15" customHeight="1" x14ac:dyDescent="0.3">
      <c r="C313" s="636" t="s">
        <v>5157</v>
      </c>
      <c r="D313" s="637"/>
      <c r="E313" s="637"/>
      <c r="F313" s="638"/>
      <c r="AO313" s="1"/>
      <c r="AP313" s="1"/>
      <c r="AQ313" s="1"/>
      <c r="AR313" s="1"/>
      <c r="AS313" s="1"/>
      <c r="AT313" s="1"/>
      <c r="AU313" s="1"/>
      <c r="AV313" s="1"/>
      <c r="AW313" s="1"/>
    </row>
    <row r="314" spans="2:50" ht="15" customHeight="1" x14ac:dyDescent="0.3">
      <c r="C314" s="634" t="s">
        <v>163</v>
      </c>
      <c r="D314" s="627"/>
      <c r="E314" s="635" t="s">
        <v>128</v>
      </c>
      <c r="F314" s="629"/>
      <c r="AO314" s="1"/>
      <c r="AP314" s="1"/>
      <c r="AQ314" s="1"/>
      <c r="AR314" s="1"/>
      <c r="AS314" s="1"/>
      <c r="AT314" s="1"/>
      <c r="AU314" s="1"/>
      <c r="AV314" s="1"/>
      <c r="AW314" s="1"/>
    </row>
    <row r="315" spans="2:50" ht="15" customHeight="1" x14ac:dyDescent="0.3">
      <c r="C315" s="626" t="s">
        <v>212</v>
      </c>
      <c r="D315" s="627"/>
      <c r="E315" s="628">
        <f>K308</f>
        <v>14129772.624927646</v>
      </c>
      <c r="F315" s="629"/>
      <c r="AO315" s="1"/>
      <c r="AP315" s="1"/>
      <c r="AQ315" s="1"/>
      <c r="AR315" s="1"/>
      <c r="AS315" s="1"/>
      <c r="AT315" s="1"/>
      <c r="AU315" s="1"/>
      <c r="AV315" s="1"/>
      <c r="AW315" s="1"/>
    </row>
    <row r="316" spans="2:50" ht="15" customHeight="1" x14ac:dyDescent="0.3">
      <c r="C316" s="626" t="s">
        <v>213</v>
      </c>
      <c r="D316" s="627"/>
      <c r="E316" s="628">
        <f>K309</f>
        <v>47960757.586036168</v>
      </c>
      <c r="F316" s="629"/>
      <c r="AO316" s="1"/>
      <c r="AP316" s="1"/>
      <c r="AQ316" s="1"/>
      <c r="AR316" s="1"/>
      <c r="AS316" s="1"/>
      <c r="AT316" s="1"/>
      <c r="AU316" s="1"/>
      <c r="AV316" s="1"/>
      <c r="AW316" s="1"/>
    </row>
    <row r="317" spans="2:50" ht="15" customHeight="1" x14ac:dyDescent="0.3">
      <c r="C317" s="626" t="s">
        <v>214</v>
      </c>
      <c r="D317" s="627"/>
      <c r="E317" s="632">
        <f>E316-E315</f>
        <v>33830984.961108521</v>
      </c>
      <c r="F317" s="633"/>
      <c r="AO317" s="1"/>
      <c r="AP317" s="1"/>
      <c r="AQ317" s="1"/>
      <c r="AR317" s="1"/>
      <c r="AS317" s="1"/>
      <c r="AT317" s="1"/>
      <c r="AU317" s="1"/>
      <c r="AV317" s="1"/>
      <c r="AW317" s="1"/>
    </row>
    <row r="318" spans="2:50" ht="15" customHeight="1" x14ac:dyDescent="0.3">
      <c r="C318" s="626" t="s">
        <v>164</v>
      </c>
      <c r="D318" s="627"/>
      <c r="E318" s="628">
        <f>L308</f>
        <v>40363456.982785352</v>
      </c>
      <c r="F318" s="629"/>
      <c r="AO318" s="1"/>
      <c r="AP318" s="1"/>
      <c r="AQ318" s="1"/>
      <c r="AR318" s="1"/>
      <c r="AS318" s="1"/>
      <c r="AT318" s="1"/>
      <c r="AU318" s="1"/>
      <c r="AV318" s="1"/>
      <c r="AW318" s="1"/>
    </row>
    <row r="319" spans="2:50" ht="15" customHeight="1" x14ac:dyDescent="0.3">
      <c r="B319" s="1"/>
      <c r="C319" s="626" t="s">
        <v>165</v>
      </c>
      <c r="D319" s="627"/>
      <c r="E319" s="628">
        <f>L309</f>
        <v>131404425</v>
      </c>
      <c r="F319" s="629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5"/>
      <c r="AO319" s="1"/>
      <c r="AP319" s="1"/>
      <c r="AQ319" s="1"/>
      <c r="AR319" s="1"/>
      <c r="AS319" s="1"/>
      <c r="AT319" s="1"/>
      <c r="AU319" s="1"/>
      <c r="AV319" s="1"/>
      <c r="AW319" s="1"/>
    </row>
    <row r="320" spans="2:50" ht="15" customHeight="1" x14ac:dyDescent="0.3">
      <c r="B320" s="1"/>
      <c r="C320" s="626" t="s">
        <v>5174</v>
      </c>
      <c r="D320" s="627"/>
      <c r="E320" s="630">
        <f>1-(E318/E319)</f>
        <v>0.69283030626415099</v>
      </c>
      <c r="F320" s="63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5"/>
      <c r="AO320" s="1"/>
      <c r="AP320" s="1"/>
      <c r="AQ320" s="1"/>
      <c r="AR320" s="1"/>
      <c r="AS320" s="1"/>
      <c r="AT320" s="1"/>
      <c r="AU320" s="1"/>
      <c r="AV320" s="1"/>
      <c r="AW320" s="1"/>
    </row>
    <row r="321" spans="2:49" ht="1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5"/>
      <c r="AO321" s="1"/>
      <c r="AP321" s="1"/>
      <c r="AQ321" s="1"/>
      <c r="AR321" s="1"/>
      <c r="AS321" s="1"/>
      <c r="AT321" s="1"/>
      <c r="AU321" s="1"/>
      <c r="AV321" s="1"/>
      <c r="AW321" s="1"/>
    </row>
    <row r="322" spans="2:49" ht="15" customHeight="1" x14ac:dyDescent="0.3">
      <c r="B322" s="321" t="s">
        <v>5189</v>
      </c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1"/>
      <c r="N322" s="1"/>
      <c r="O322" s="321"/>
      <c r="P322" s="321"/>
      <c r="Q322" s="321"/>
      <c r="R322" s="321"/>
      <c r="S322" s="321"/>
      <c r="T322" s="321"/>
      <c r="U322" s="321"/>
      <c r="V322" s="321"/>
      <c r="W322" s="321"/>
      <c r="X322" s="321"/>
      <c r="Y322" s="321"/>
      <c r="Z322" s="321"/>
      <c r="AA322" s="321"/>
      <c r="AB322" s="321"/>
      <c r="AC322" s="321"/>
      <c r="AD322" s="321"/>
      <c r="AE322" s="321"/>
      <c r="AF322" s="321"/>
      <c r="AG322" s="321"/>
      <c r="AH322" s="321"/>
      <c r="AI322" s="321"/>
      <c r="AJ322" s="321"/>
      <c r="AK322" s="321"/>
      <c r="AL322" s="321"/>
      <c r="AM322" s="321"/>
      <c r="AN322" s="5"/>
      <c r="AO322" s="9"/>
      <c r="AP322" s="9"/>
      <c r="AQ322" s="9"/>
      <c r="AR322" s="9"/>
      <c r="AS322" s="9"/>
      <c r="AT322" s="9"/>
      <c r="AU322" s="9"/>
      <c r="AV322" s="9"/>
      <c r="AW322" s="9"/>
    </row>
    <row r="323" spans="2:49" ht="1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5"/>
      <c r="AO323" s="1"/>
      <c r="AP323" s="1"/>
      <c r="AQ323" s="1"/>
      <c r="AR323" s="1"/>
      <c r="AS323" s="1"/>
      <c r="AT323" s="1"/>
      <c r="AU323" s="1"/>
      <c r="AV323" s="1"/>
      <c r="AW323" s="1"/>
    </row>
    <row r="324" spans="2:49" ht="15" customHeight="1" x14ac:dyDescent="0.3">
      <c r="B324" s="1"/>
      <c r="C324" s="376" t="s">
        <v>5190</v>
      </c>
      <c r="D324" s="377" t="s">
        <v>5191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5"/>
      <c r="AO324" s="1"/>
      <c r="AP324" s="1"/>
      <c r="AQ324" s="1"/>
      <c r="AR324" s="1"/>
      <c r="AS324" s="1"/>
      <c r="AT324" s="1"/>
      <c r="AU324" s="1"/>
      <c r="AV324" s="1"/>
      <c r="AW324" s="1"/>
    </row>
    <row r="325" spans="2:49" ht="13.8" x14ac:dyDescent="0.3">
      <c r="B325" s="1"/>
      <c r="C325" s="110">
        <v>0</v>
      </c>
      <c r="D325" s="110">
        <v>0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5"/>
      <c r="AO325" s="1"/>
      <c r="AP325" s="1"/>
      <c r="AQ325" s="1"/>
      <c r="AR325" s="1"/>
      <c r="AS325" s="1"/>
      <c r="AT325" s="1"/>
      <c r="AU325" s="1"/>
      <c r="AV325" s="1"/>
      <c r="AW325" s="1"/>
    </row>
    <row r="326" spans="2:49" ht="8.25" customHeight="1" x14ac:dyDescent="0.3">
      <c r="B326" s="1"/>
      <c r="C326" s="370"/>
      <c r="D326" s="370"/>
      <c r="E326" s="60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5"/>
      <c r="AO326" s="1"/>
      <c r="AP326" s="1"/>
      <c r="AQ326" s="1"/>
      <c r="AR326" s="1"/>
      <c r="AS326" s="1"/>
      <c r="AT326" s="1"/>
      <c r="AU326" s="1"/>
      <c r="AV326" s="1"/>
      <c r="AW326" s="1"/>
    </row>
    <row r="327" spans="2:49" ht="15" customHeight="1" x14ac:dyDescent="0.3">
      <c r="B327" s="1"/>
      <c r="C327" s="376" t="s">
        <v>5192</v>
      </c>
      <c r="D327" s="376" t="s">
        <v>5193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5"/>
      <c r="AO327" s="1"/>
      <c r="AP327" s="1"/>
      <c r="AQ327" s="1"/>
      <c r="AR327" s="1"/>
      <c r="AS327" s="1"/>
      <c r="AT327" s="1"/>
      <c r="AU327" s="1"/>
      <c r="AV327" s="1"/>
      <c r="AW327" s="1"/>
    </row>
    <row r="328" spans="2:49" ht="15" customHeight="1" x14ac:dyDescent="0.3">
      <c r="B328" s="1"/>
      <c r="C328" s="371">
        <f>L29</f>
        <v>10156757.279632637</v>
      </c>
      <c r="D328" s="371">
        <f>L11</f>
        <v>18747995.265310675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5"/>
      <c r="AO328" s="1"/>
      <c r="AP328" s="1"/>
      <c r="AQ328" s="1"/>
      <c r="AR328" s="1"/>
      <c r="AS328" s="1"/>
      <c r="AT328" s="1"/>
      <c r="AU328" s="1"/>
      <c r="AV328" s="1"/>
      <c r="AW328" s="1"/>
    </row>
    <row r="329" spans="2:49" ht="9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5"/>
      <c r="AO329" s="1"/>
      <c r="AP329" s="1"/>
      <c r="AQ329" s="1"/>
      <c r="AR329" s="1"/>
      <c r="AS329" s="1"/>
      <c r="AT329" s="1"/>
      <c r="AU329" s="1"/>
      <c r="AV329" s="1"/>
      <c r="AW329" s="1"/>
    </row>
    <row r="330" spans="2:49" ht="15" customHeight="1" x14ac:dyDescent="0.3">
      <c r="B330" s="1"/>
      <c r="C330" s="376" t="s">
        <v>5194</v>
      </c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5"/>
      <c r="AO330" s="1"/>
      <c r="AP330" s="1"/>
      <c r="AQ330" s="1"/>
      <c r="AR330" s="1"/>
      <c r="AS330" s="1"/>
      <c r="AT330" s="1"/>
      <c r="AU330" s="1"/>
      <c r="AV330" s="1"/>
      <c r="AW330" s="1"/>
    </row>
    <row r="331" spans="2:49" ht="15" customHeight="1" x14ac:dyDescent="0.3">
      <c r="B331" s="1"/>
      <c r="C331" s="379">
        <f>$L$157</f>
        <v>9.9320884002751519E-2</v>
      </c>
      <c r="D331" s="60"/>
      <c r="E331" s="60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5"/>
      <c r="AO331" s="1"/>
      <c r="AP331" s="1"/>
      <c r="AQ331" s="1"/>
      <c r="AR331" s="1"/>
      <c r="AS331" s="1"/>
      <c r="AT331" s="1"/>
      <c r="AU331" s="1"/>
      <c r="AV331" s="1"/>
      <c r="AW331" s="1"/>
    </row>
    <row r="332" spans="2:49" ht="3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5"/>
      <c r="AO332" s="1"/>
      <c r="AP332" s="1"/>
      <c r="AQ332" s="1"/>
      <c r="AR332" s="1"/>
      <c r="AS332" s="1"/>
      <c r="AT332" s="1"/>
      <c r="AU332" s="1"/>
      <c r="AV332" s="1"/>
      <c r="AW332" s="1"/>
    </row>
    <row r="333" spans="2:49" ht="15" customHeight="1" x14ac:dyDescent="0.3">
      <c r="B333" s="234"/>
      <c r="C333" s="378"/>
      <c r="D333" s="624" t="s">
        <v>104</v>
      </c>
      <c r="E333" s="624"/>
      <c r="F333" s="624"/>
      <c r="G333" s="624"/>
      <c r="H333" s="624"/>
      <c r="I333" s="624"/>
      <c r="J333" s="624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5"/>
      <c r="AO333" s="1"/>
      <c r="AP333" s="1"/>
      <c r="AQ333" s="1"/>
      <c r="AR333" s="1"/>
      <c r="AS333" s="1"/>
      <c r="AT333" s="1"/>
      <c r="AU333" s="1"/>
      <c r="AV333" s="1"/>
      <c r="AW333" s="1"/>
    </row>
    <row r="334" spans="2:49" ht="15" customHeight="1" x14ac:dyDescent="0.3">
      <c r="B334" s="625" t="s">
        <v>5195</v>
      </c>
      <c r="C334" s="375">
        <f>$C$331</f>
        <v>9.9320884002751519E-2</v>
      </c>
      <c r="D334" s="372">
        <v>-15</v>
      </c>
      <c r="E334" s="372">
        <v>-10</v>
      </c>
      <c r="F334" s="372">
        <v>-5</v>
      </c>
      <c r="G334" s="372">
        <v>0</v>
      </c>
      <c r="H334" s="372">
        <v>5</v>
      </c>
      <c r="I334" s="372">
        <v>10</v>
      </c>
      <c r="J334" s="372">
        <v>15</v>
      </c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5"/>
      <c r="AO334" s="1"/>
      <c r="AP334" s="1"/>
      <c r="AQ334" s="1"/>
      <c r="AR334" s="1"/>
      <c r="AS334" s="1"/>
      <c r="AT334" s="1"/>
      <c r="AU334" s="1"/>
      <c r="AV334" s="1"/>
      <c r="AW334" s="1"/>
    </row>
    <row r="335" spans="2:49" ht="15" customHeight="1" x14ac:dyDescent="0.3">
      <c r="B335" s="625"/>
      <c r="C335" s="373">
        <v>-15</v>
      </c>
      <c r="D335" s="374">
        <f t="dataTable" ref="D335:J341" dt2D="1" dtr="1" r1="C325" r2="D325"/>
        <v>0.24123617548696696</v>
      </c>
      <c r="E335" s="374">
        <v>0.21289156882967597</v>
      </c>
      <c r="F335" s="374">
        <v>0.18755306575912489</v>
      </c>
      <c r="G335" s="374">
        <v>0.16470637228434115</v>
      </c>
      <c r="H335" s="374">
        <v>0.14393488197752879</v>
      </c>
      <c r="I335" s="374">
        <v>0.12489834233762132</v>
      </c>
      <c r="J335" s="374">
        <v>0.1073167536095756</v>
      </c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5"/>
      <c r="AO335" s="1"/>
      <c r="AP335" s="1"/>
      <c r="AQ335" s="1"/>
      <c r="AR335" s="1"/>
      <c r="AS335" s="1"/>
      <c r="AT335" s="1"/>
      <c r="AU335" s="1"/>
      <c r="AV335" s="1"/>
      <c r="AW335" s="1"/>
    </row>
    <row r="336" spans="2:49" ht="15" customHeight="1" x14ac:dyDescent="0.3">
      <c r="B336" s="625"/>
      <c r="C336" s="373">
        <v>-10</v>
      </c>
      <c r="D336" s="374">
        <v>0.21531478260399584</v>
      </c>
      <c r="E336" s="374">
        <v>0.18896722157061907</v>
      </c>
      <c r="F336" s="374">
        <v>0.16529402137975535</v>
      </c>
      <c r="G336" s="374">
        <v>0.14383553707247776</v>
      </c>
      <c r="H336" s="374">
        <v>0.12421856102912776</v>
      </c>
      <c r="I336" s="374">
        <v>0.10613764560874506</v>
      </c>
      <c r="J336" s="374">
        <v>8.9340897303325839E-2</v>
      </c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5"/>
      <c r="AO336" s="1"/>
      <c r="AP336" s="1"/>
      <c r="AQ336" s="1"/>
      <c r="AR336" s="1"/>
      <c r="AS336" s="1"/>
      <c r="AT336" s="1"/>
      <c r="AU336" s="1"/>
      <c r="AV336" s="1"/>
      <c r="AW336" s="1"/>
    </row>
    <row r="337" spans="2:49" ht="15" customHeight="1" x14ac:dyDescent="0.3">
      <c r="B337" s="625"/>
      <c r="C337" s="373">
        <v>-5</v>
      </c>
      <c r="D337" s="374">
        <v>0.18879310397570426</v>
      </c>
      <c r="E337" s="374">
        <v>0.16435289017984589</v>
      </c>
      <c r="F337" s="374">
        <v>0.14226021590075155</v>
      </c>
      <c r="G337" s="374">
        <v>0.12210796925881806</v>
      </c>
      <c r="H337" s="374">
        <v>0.10356480245856869</v>
      </c>
      <c r="I337" s="374">
        <v>8.6358862082610788E-2</v>
      </c>
      <c r="J337" s="374">
        <v>7.0265350887000144E-2</v>
      </c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5"/>
      <c r="AO337" s="1"/>
      <c r="AP337" s="1"/>
      <c r="AQ337" s="1"/>
      <c r="AR337" s="1"/>
      <c r="AS337" s="1"/>
      <c r="AT337" s="1"/>
      <c r="AU337" s="1"/>
      <c r="AV337" s="1"/>
      <c r="AW337" s="1"/>
    </row>
    <row r="338" spans="2:49" ht="15" customHeight="1" x14ac:dyDescent="0.3">
      <c r="B338" s="625"/>
      <c r="C338" s="373">
        <v>0</v>
      </c>
      <c r="D338" s="374">
        <v>0.16154848008244582</v>
      </c>
      <c r="E338" s="374">
        <v>0.13889923905788915</v>
      </c>
      <c r="F338" s="374">
        <v>0.11827565948235952</v>
      </c>
      <c r="G338" s="374">
        <v>9.9320884002751519E-2</v>
      </c>
      <c r="H338" s="374">
        <v>8.1743629451290101E-2</v>
      </c>
      <c r="I338" s="374">
        <v>6.5304143977659823E-2</v>
      </c>
      <c r="J338" s="374">
        <v>4.9803465637576094E-2</v>
      </c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5"/>
      <c r="AO338" s="1"/>
      <c r="AP338" s="1"/>
      <c r="AQ338" s="1"/>
      <c r="AR338" s="1"/>
      <c r="AS338" s="1"/>
      <c r="AT338" s="1"/>
      <c r="AU338" s="1"/>
      <c r="AV338" s="1"/>
      <c r="AW338" s="1"/>
    </row>
    <row r="339" spans="2:49" ht="15" customHeight="1" x14ac:dyDescent="0.3">
      <c r="B339" s="625"/>
      <c r="C339" s="373">
        <v>5</v>
      </c>
      <c r="D339" s="374">
        <v>0.13337315917458903</v>
      </c>
      <c r="E339" s="374">
        <v>0.11236281461238229</v>
      </c>
      <c r="F339" s="374">
        <v>9.3060737850084063E-2</v>
      </c>
      <c r="G339" s="374">
        <v>7.5157690875778282E-2</v>
      </c>
      <c r="H339" s="374">
        <v>5.8400268758025398E-2</v>
      </c>
      <c r="I339" s="374">
        <v>4.2578998063894202E-2</v>
      </c>
      <c r="J339" s="374">
        <v>2.7519305216251899E-2</v>
      </c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5"/>
      <c r="AO339" s="1"/>
      <c r="AP339" s="1"/>
      <c r="AQ339" s="1"/>
      <c r="AR339" s="1"/>
      <c r="AS339" s="1"/>
      <c r="AT339" s="1"/>
      <c r="AU339" s="1"/>
      <c r="AV339" s="1"/>
      <c r="AW339" s="1"/>
    </row>
    <row r="340" spans="2:49" ht="15" customHeight="1" x14ac:dyDescent="0.3">
      <c r="B340" s="625"/>
      <c r="C340" s="373">
        <v>10</v>
      </c>
      <c r="D340" s="374">
        <v>0.10391844741099399</v>
      </c>
      <c r="E340" s="374">
        <v>8.434443652571999E-2</v>
      </c>
      <c r="F340" s="374">
        <v>6.6164164728168995E-2</v>
      </c>
      <c r="G340" s="374">
        <v>4.9112823893109336E-2</v>
      </c>
      <c r="H340" s="374">
        <v>3.2972285237651278E-2</v>
      </c>
      <c r="I340" s="374">
        <v>1.7561401760333828E-2</v>
      </c>
      <c r="J340" s="374">
        <v>2.7288526219320097E-3</v>
      </c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5"/>
      <c r="AO340" s="1"/>
      <c r="AP340" s="1"/>
      <c r="AQ340" s="1"/>
      <c r="AR340" s="1"/>
      <c r="AS340" s="1"/>
      <c r="AT340" s="1"/>
      <c r="AU340" s="1"/>
      <c r="AV340" s="1"/>
      <c r="AW340" s="1"/>
    </row>
    <row r="341" spans="2:49" ht="15" customHeight="1" x14ac:dyDescent="0.3">
      <c r="B341" s="625"/>
      <c r="C341" s="373">
        <v>15</v>
      </c>
      <c r="D341" s="374">
        <v>7.2590153207399366E-2</v>
      </c>
      <c r="E341" s="374">
        <v>5.4173057517930445E-2</v>
      </c>
      <c r="F341" s="374">
        <v>3.6834045305160101E-2</v>
      </c>
      <c r="G341" s="374">
        <v>2.0349124299741561E-2</v>
      </c>
      <c r="H341" s="374">
        <v>4.5330490231463294E-3</v>
      </c>
      <c r="I341" s="374">
        <v>-1.0767803857460123E-2</v>
      </c>
      <c r="J341" s="374">
        <v>-2.5680209592028991E-2</v>
      </c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5"/>
      <c r="AO341" s="1"/>
      <c r="AP341" s="1"/>
      <c r="AQ341" s="1"/>
      <c r="AR341" s="1"/>
      <c r="AS341" s="1"/>
      <c r="AT341" s="1"/>
      <c r="AU341" s="1"/>
      <c r="AV341" s="1"/>
      <c r="AW341" s="1"/>
    </row>
    <row r="342" spans="2:49" ht="1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5"/>
      <c r="AO342" s="1"/>
      <c r="AP342" s="1"/>
      <c r="AQ342" s="1"/>
      <c r="AR342" s="1"/>
      <c r="AS342" s="1"/>
      <c r="AT342" s="1"/>
      <c r="AU342" s="1"/>
      <c r="AV342" s="1"/>
      <c r="AW342" s="1"/>
    </row>
    <row r="343" spans="2:49" ht="1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5"/>
      <c r="AO343" s="1"/>
      <c r="AP343" s="1"/>
      <c r="AQ343" s="1"/>
      <c r="AR343" s="1"/>
      <c r="AS343" s="1"/>
      <c r="AT343" s="1"/>
      <c r="AU343" s="1"/>
      <c r="AV343" s="1"/>
      <c r="AW343" s="1"/>
    </row>
    <row r="344" spans="2:49" ht="15" customHeight="1" x14ac:dyDescent="0.3">
      <c r="B344" s="321" t="s">
        <v>5196</v>
      </c>
      <c r="C344" s="321"/>
      <c r="D344" s="321"/>
      <c r="E344" s="321"/>
      <c r="F344" s="321"/>
      <c r="G344" s="321"/>
      <c r="H344" s="321"/>
      <c r="I344" s="321"/>
      <c r="J344" s="321"/>
      <c r="K344" s="321"/>
      <c r="L344" s="321"/>
      <c r="M344" s="1"/>
      <c r="N344" s="1"/>
      <c r="O344" s="321"/>
      <c r="P344" s="321"/>
      <c r="Q344" s="321"/>
      <c r="R344" s="321"/>
      <c r="S344" s="321"/>
      <c r="T344" s="321"/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1"/>
      <c r="AF344" s="321"/>
      <c r="AG344" s="321"/>
      <c r="AH344" s="321"/>
      <c r="AI344" s="321"/>
      <c r="AJ344" s="321"/>
      <c r="AK344" s="321"/>
      <c r="AL344" s="321"/>
      <c r="AM344" s="321"/>
      <c r="AN344" s="5"/>
      <c r="AO344" s="9"/>
      <c r="AP344" s="9"/>
      <c r="AQ344" s="9"/>
      <c r="AR344" s="9"/>
      <c r="AS344" s="9"/>
      <c r="AT344" s="9"/>
      <c r="AU344" s="9"/>
      <c r="AV344" s="9"/>
      <c r="AW344" s="9"/>
    </row>
    <row r="345" spans="2:49" ht="15" customHeight="1" x14ac:dyDescent="0.3">
      <c r="B345" s="1"/>
      <c r="C345" s="60"/>
      <c r="D345" s="60"/>
      <c r="E345" s="60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5"/>
      <c r="AO345" s="1"/>
      <c r="AP345" s="1"/>
      <c r="AQ345" s="1"/>
      <c r="AR345" s="1"/>
      <c r="AS345" s="1"/>
      <c r="AT345" s="1"/>
      <c r="AU345" s="1"/>
      <c r="AV345" s="1"/>
      <c r="AW345" s="1"/>
    </row>
    <row r="346" spans="2:49" ht="15" customHeight="1" x14ac:dyDescent="0.3">
      <c r="B346" s="1"/>
      <c r="C346" s="1" t="s">
        <v>5224</v>
      </c>
      <c r="D346" s="435">
        <f>NPV(WACC!$D$35,SM!O355:AM355)</f>
        <v>15348198.927627135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75"/>
      <c r="AO346" s="1"/>
      <c r="AP346" s="1"/>
      <c r="AQ346" s="1"/>
      <c r="AR346" s="1"/>
      <c r="AS346" s="1"/>
      <c r="AT346" s="1"/>
      <c r="AU346" s="1"/>
      <c r="AV346" s="1"/>
      <c r="AW346" s="1"/>
    </row>
    <row r="347" spans="2:49" ht="15" customHeight="1" x14ac:dyDescent="0.3">
      <c r="B347" s="1"/>
      <c r="C347" s="1" t="s">
        <v>5225</v>
      </c>
      <c r="D347" s="435">
        <f>NPV(WACC!$D$35,O358:AM358)</f>
        <v>14129772.624927646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75"/>
      <c r="AO347" s="1"/>
      <c r="AP347" s="1"/>
      <c r="AQ347" s="1"/>
      <c r="AR347" s="1"/>
      <c r="AS347" s="1"/>
      <c r="AT347" s="1"/>
      <c r="AU347" s="1"/>
      <c r="AV347" s="1"/>
      <c r="AW347" s="1"/>
    </row>
    <row r="348" spans="2:49" ht="1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75"/>
      <c r="AO348" s="1"/>
      <c r="AP348" s="1"/>
      <c r="AQ348" s="1"/>
      <c r="AR348" s="1"/>
      <c r="AS348" s="1"/>
      <c r="AT348" s="1"/>
      <c r="AU348" s="1"/>
      <c r="AV348" s="1"/>
      <c r="AW348" s="1"/>
    </row>
    <row r="349" spans="2:49" ht="15" customHeight="1" x14ac:dyDescent="0.3">
      <c r="B349" s="1"/>
      <c r="C349" s="436" t="s">
        <v>5226</v>
      </c>
      <c r="D349" s="437">
        <f>1-(D347/D346)</f>
        <v>7.9385620973825954E-2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75"/>
      <c r="AO349" s="1"/>
      <c r="AP349" s="1"/>
      <c r="AQ349" s="1"/>
      <c r="AR349" s="1"/>
      <c r="AS349" s="1"/>
      <c r="AT349" s="1"/>
      <c r="AU349" s="1"/>
      <c r="AV349" s="1"/>
      <c r="AW349" s="1"/>
    </row>
    <row r="350" spans="2:49" ht="15" customHeight="1" x14ac:dyDescent="0.3">
      <c r="B350" s="1"/>
      <c r="C350" s="60"/>
      <c r="D350" s="60"/>
      <c r="E350" s="60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75"/>
      <c r="AO350" s="1"/>
      <c r="AP350" s="1"/>
      <c r="AQ350" s="1"/>
      <c r="AR350" s="1"/>
      <c r="AS350" s="1"/>
      <c r="AT350" s="1"/>
      <c r="AU350" s="1"/>
      <c r="AV350" s="1"/>
      <c r="AW350" s="1"/>
    </row>
    <row r="351" spans="2:49" ht="15" customHeight="1" x14ac:dyDescent="0.3">
      <c r="B351" s="438"/>
      <c r="C351" s="439" t="s">
        <v>5227</v>
      </c>
      <c r="D351" s="440"/>
      <c r="E351" s="440"/>
      <c r="F351" s="440"/>
      <c r="G351" s="440"/>
      <c r="H351" s="440"/>
      <c r="I351" s="440"/>
      <c r="J351" s="440"/>
      <c r="K351" s="440"/>
      <c r="L351" s="440"/>
      <c r="M351" s="1"/>
      <c r="N351" s="1"/>
      <c r="O351" s="438"/>
      <c r="P351" s="438"/>
      <c r="Q351" s="438"/>
      <c r="R351" s="438"/>
      <c r="S351" s="438"/>
      <c r="T351" s="438"/>
      <c r="U351" s="438"/>
      <c r="V351" s="438"/>
      <c r="W351" s="438"/>
      <c r="X351" s="438"/>
      <c r="Y351" s="438"/>
      <c r="Z351" s="438"/>
      <c r="AA351" s="438"/>
      <c r="AB351" s="438"/>
      <c r="AC351" s="438"/>
      <c r="AD351" s="438"/>
      <c r="AE351" s="438"/>
      <c r="AF351" s="438"/>
      <c r="AG351" s="438"/>
      <c r="AH351" s="438"/>
      <c r="AI351" s="438"/>
      <c r="AJ351" s="438"/>
      <c r="AK351" s="438"/>
      <c r="AL351" s="438"/>
      <c r="AM351" s="438"/>
      <c r="AN351" s="175"/>
      <c r="AO351" s="1"/>
      <c r="AP351" s="1"/>
      <c r="AQ351" s="1"/>
      <c r="AR351" s="1"/>
      <c r="AS351" s="1"/>
      <c r="AT351" s="1"/>
      <c r="AU351" s="1"/>
      <c r="AV351" s="1"/>
      <c r="AW351" s="1"/>
    </row>
    <row r="352" spans="2:49" ht="15" customHeight="1" x14ac:dyDescent="0.3">
      <c r="B352" s="1"/>
      <c r="C352" s="234" t="s">
        <v>5228</v>
      </c>
      <c r="D352" s="1"/>
      <c r="E352" s="441">
        <v>0.25840000000000002</v>
      </c>
      <c r="F352" s="1"/>
      <c r="G352" s="1"/>
      <c r="H352" s="1"/>
      <c r="I352" s="1"/>
      <c r="J352" s="1"/>
      <c r="K352" s="1"/>
      <c r="L352" s="1"/>
      <c r="M352" s="1"/>
      <c r="N352" s="1"/>
      <c r="O352" s="195">
        <f t="shared" ref="O352:AM352" si="201">(O29)*(1+$E$352)</f>
        <v>4070181.182369919</v>
      </c>
      <c r="P352" s="195">
        <f t="shared" si="201"/>
        <v>0</v>
      </c>
      <c r="Q352" s="195">
        <f t="shared" si="201"/>
        <v>0</v>
      </c>
      <c r="R352" s="195">
        <f t="shared" si="201"/>
        <v>0</v>
      </c>
      <c r="S352" s="195">
        <f t="shared" si="201"/>
        <v>1744151.3089973244</v>
      </c>
      <c r="T352" s="195">
        <f t="shared" si="201"/>
        <v>0</v>
      </c>
      <c r="U352" s="195">
        <f t="shared" si="201"/>
        <v>0</v>
      </c>
      <c r="V352" s="195">
        <f t="shared" si="201"/>
        <v>168626.65548880174</v>
      </c>
      <c r="W352" s="195">
        <f t="shared" si="201"/>
        <v>261067.36214138896</v>
      </c>
      <c r="X352" s="195">
        <f t="shared" si="201"/>
        <v>0</v>
      </c>
      <c r="Y352" s="195">
        <f t="shared" si="201"/>
        <v>1731364.4144687518</v>
      </c>
      <c r="Z352" s="195">
        <f t="shared" si="201"/>
        <v>0</v>
      </c>
      <c r="AA352" s="195">
        <f t="shared" si="201"/>
        <v>719616.25618261134</v>
      </c>
      <c r="AB352" s="195">
        <f t="shared" si="201"/>
        <v>0</v>
      </c>
      <c r="AC352" s="195">
        <f t="shared" si="201"/>
        <v>0</v>
      </c>
      <c r="AD352" s="195">
        <f t="shared" si="201"/>
        <v>1899807.5149211888</v>
      </c>
      <c r="AE352" s="195">
        <f t="shared" si="201"/>
        <v>51884.962444208293</v>
      </c>
      <c r="AF352" s="195">
        <f t="shared" si="201"/>
        <v>209365.95473354516</v>
      </c>
      <c r="AG352" s="195">
        <f t="shared" si="201"/>
        <v>0</v>
      </c>
      <c r="AH352" s="195">
        <f t="shared" si="201"/>
        <v>0</v>
      </c>
      <c r="AI352" s="195">
        <f t="shared" si="201"/>
        <v>1743967.7539609601</v>
      </c>
      <c r="AJ352" s="195">
        <f t="shared" si="201"/>
        <v>0</v>
      </c>
      <c r="AK352" s="195">
        <f t="shared" si="201"/>
        <v>168626.65548880174</v>
      </c>
      <c r="AL352" s="195">
        <f t="shared" si="201"/>
        <v>0</v>
      </c>
      <c r="AM352" s="195">
        <f t="shared" si="201"/>
        <v>12603.339492208293</v>
      </c>
      <c r="AN352" s="175"/>
      <c r="AO352" s="1"/>
      <c r="AP352" s="1"/>
      <c r="AQ352" s="1"/>
      <c r="AR352" s="1"/>
      <c r="AS352" s="1"/>
      <c r="AT352" s="1"/>
      <c r="AU352" s="1"/>
      <c r="AV352" s="1"/>
      <c r="AW352" s="1"/>
    </row>
    <row r="353" spans="2:49" ht="15" customHeight="1" x14ac:dyDescent="0.3">
      <c r="B353" s="1"/>
      <c r="C353" s="234" t="s">
        <v>161</v>
      </c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95">
        <f t="shared" ref="O353:AM353" si="202">(O11)*(1+$E$352)</f>
        <v>609452.10990644665</v>
      </c>
      <c r="P353" s="195">
        <f t="shared" si="202"/>
        <v>955792.72548010107</v>
      </c>
      <c r="Q353" s="195">
        <f t="shared" si="202"/>
        <v>975395.79047812324</v>
      </c>
      <c r="R353" s="195">
        <f t="shared" si="202"/>
        <v>955166.50579735555</v>
      </c>
      <c r="S353" s="195">
        <f t="shared" si="202"/>
        <v>960209.55561137758</v>
      </c>
      <c r="T353" s="195">
        <f t="shared" si="202"/>
        <v>969100.30129860993</v>
      </c>
      <c r="U353" s="195">
        <f t="shared" si="202"/>
        <v>959583.33592863218</v>
      </c>
      <c r="V353" s="195">
        <f t="shared" si="202"/>
        <v>968474.08161586453</v>
      </c>
      <c r="W353" s="195">
        <f t="shared" si="202"/>
        <v>958957.11624588666</v>
      </c>
      <c r="X353" s="195">
        <f t="shared" si="202"/>
        <v>953287.84674911899</v>
      </c>
      <c r="Y353" s="195">
        <f t="shared" si="202"/>
        <v>972890.91174714104</v>
      </c>
      <c r="Z353" s="195">
        <f t="shared" si="202"/>
        <v>952661.62706637336</v>
      </c>
      <c r="AA353" s="195">
        <f t="shared" si="202"/>
        <v>972264.69206439552</v>
      </c>
      <c r="AB353" s="195">
        <f t="shared" si="202"/>
        <v>952035.40738362796</v>
      </c>
      <c r="AC353" s="195">
        <f t="shared" si="202"/>
        <v>957078.4571976501</v>
      </c>
      <c r="AD353" s="195">
        <f t="shared" si="202"/>
        <v>965969.20288488246</v>
      </c>
      <c r="AE353" s="195">
        <f t="shared" si="202"/>
        <v>956452.23751490458</v>
      </c>
      <c r="AF353" s="195">
        <f t="shared" si="202"/>
        <v>965342.98320213682</v>
      </c>
      <c r="AG353" s="195">
        <f t="shared" si="202"/>
        <v>955826.01783215895</v>
      </c>
      <c r="AH353" s="195">
        <f t="shared" si="202"/>
        <v>950156.74833539128</v>
      </c>
      <c r="AI353" s="195">
        <f t="shared" si="202"/>
        <v>969759.81333341345</v>
      </c>
      <c r="AJ353" s="195">
        <f t="shared" si="202"/>
        <v>949530.52865264588</v>
      </c>
      <c r="AK353" s="195">
        <f t="shared" si="202"/>
        <v>969133.59365066804</v>
      </c>
      <c r="AL353" s="195">
        <f t="shared" si="202"/>
        <v>948904.30896990036</v>
      </c>
      <c r="AM353" s="195">
        <f t="shared" si="202"/>
        <v>889051.34292014153</v>
      </c>
      <c r="AN353" s="175"/>
      <c r="AO353" s="1"/>
      <c r="AP353" s="1"/>
      <c r="AQ353" s="1"/>
      <c r="AR353" s="1"/>
      <c r="AS353" s="1"/>
      <c r="AT353" s="1"/>
      <c r="AU353" s="1"/>
      <c r="AV353" s="1"/>
      <c r="AW353" s="1"/>
    </row>
    <row r="354" spans="2:49" ht="15" customHeight="1" x14ac:dyDescent="0.3">
      <c r="B354" s="1"/>
      <c r="C354" s="256" t="s">
        <v>5154</v>
      </c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95">
        <f>-O165</f>
        <v>136844.07799596855</v>
      </c>
      <c r="P354" s="195">
        <f t="shared" ref="P354:AM354" si="203">-P165</f>
        <v>114036.73166330712</v>
      </c>
      <c r="Q354" s="195">
        <f t="shared" si="203"/>
        <v>91229.385330645702</v>
      </c>
      <c r="R354" s="195">
        <f t="shared" si="203"/>
        <v>68422.038997984288</v>
      </c>
      <c r="S354" s="195">
        <f t="shared" si="203"/>
        <v>45614.692665322873</v>
      </c>
      <c r="T354" s="195">
        <f t="shared" si="203"/>
        <v>22807.346332661447</v>
      </c>
      <c r="U354" s="195">
        <f t="shared" si="203"/>
        <v>0</v>
      </c>
      <c r="V354" s="195">
        <f t="shared" si="203"/>
        <v>2.6961788535118106E-11</v>
      </c>
      <c r="W354" s="195">
        <f t="shared" si="203"/>
        <v>2.6961788535118106E-11</v>
      </c>
      <c r="X354" s="195">
        <f t="shared" si="203"/>
        <v>2.6961788535118106E-11</v>
      </c>
      <c r="Y354" s="195">
        <f t="shared" si="203"/>
        <v>2.6961788535118106E-11</v>
      </c>
      <c r="Z354" s="195">
        <f t="shared" si="203"/>
        <v>2.6961788535118106E-11</v>
      </c>
      <c r="AA354" s="195">
        <f t="shared" si="203"/>
        <v>2.6961788535118106E-11</v>
      </c>
      <c r="AB354" s="195">
        <f t="shared" si="203"/>
        <v>2.6961788535118106E-11</v>
      </c>
      <c r="AC354" s="195">
        <f t="shared" si="203"/>
        <v>2.6961788535118106E-11</v>
      </c>
      <c r="AD354" s="195">
        <f t="shared" si="203"/>
        <v>2.6961788535118106E-11</v>
      </c>
      <c r="AE354" s="195">
        <f t="shared" si="203"/>
        <v>2.6961788535118106E-11</v>
      </c>
      <c r="AF354" s="195">
        <f t="shared" si="203"/>
        <v>2.6961788535118106E-11</v>
      </c>
      <c r="AG354" s="195">
        <f t="shared" si="203"/>
        <v>2.6961788535118106E-11</v>
      </c>
      <c r="AH354" s="195">
        <f t="shared" si="203"/>
        <v>2.6961788535118106E-11</v>
      </c>
      <c r="AI354" s="195">
        <f t="shared" si="203"/>
        <v>2.6961788535118106E-11</v>
      </c>
      <c r="AJ354" s="195">
        <f t="shared" si="203"/>
        <v>2.6961788535118106E-11</v>
      </c>
      <c r="AK354" s="195">
        <f t="shared" si="203"/>
        <v>2.6961788535118106E-11</v>
      </c>
      <c r="AL354" s="195">
        <f t="shared" si="203"/>
        <v>2.6961788535118106E-11</v>
      </c>
      <c r="AM354" s="195">
        <f t="shared" si="203"/>
        <v>2.6961788535118106E-11</v>
      </c>
      <c r="AN354" s="175"/>
      <c r="AO354" s="1"/>
      <c r="AP354" s="1"/>
      <c r="AQ354" s="1"/>
      <c r="AR354" s="1"/>
      <c r="AS354" s="1"/>
      <c r="AT354" s="1"/>
      <c r="AU354" s="1"/>
      <c r="AV354" s="1"/>
      <c r="AW354" s="1"/>
    </row>
    <row r="355" spans="2:49" ht="15" customHeight="1" x14ac:dyDescent="0.3">
      <c r="B355" s="1"/>
      <c r="C355" s="234" t="s">
        <v>129</v>
      </c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95">
        <f t="shared" ref="O355:AM355" si="204">SUM(O352:O354)</f>
        <v>4816477.3702723347</v>
      </c>
      <c r="P355" s="195">
        <f t="shared" si="204"/>
        <v>1069829.4571434082</v>
      </c>
      <c r="Q355" s="195">
        <f t="shared" si="204"/>
        <v>1066625.175808769</v>
      </c>
      <c r="R355" s="195">
        <f t="shared" si="204"/>
        <v>1023588.5447953398</v>
      </c>
      <c r="S355" s="195">
        <f t="shared" si="204"/>
        <v>2749975.5572740249</v>
      </c>
      <c r="T355" s="195">
        <f t="shared" si="204"/>
        <v>991907.64763127139</v>
      </c>
      <c r="U355" s="195">
        <f t="shared" si="204"/>
        <v>959583.33592863218</v>
      </c>
      <c r="V355" s="195">
        <f t="shared" si="204"/>
        <v>1137100.7371046662</v>
      </c>
      <c r="W355" s="195">
        <f t="shared" si="204"/>
        <v>1220024.4783872757</v>
      </c>
      <c r="X355" s="195">
        <f t="shared" si="204"/>
        <v>953287.84674911899</v>
      </c>
      <c r="Y355" s="195">
        <f t="shared" si="204"/>
        <v>2704255.326215893</v>
      </c>
      <c r="Z355" s="195">
        <f t="shared" si="204"/>
        <v>952661.62706637336</v>
      </c>
      <c r="AA355" s="195">
        <f t="shared" si="204"/>
        <v>1691880.9482470069</v>
      </c>
      <c r="AB355" s="195">
        <f t="shared" si="204"/>
        <v>952035.40738362796</v>
      </c>
      <c r="AC355" s="195">
        <f t="shared" si="204"/>
        <v>957078.4571976501</v>
      </c>
      <c r="AD355" s="195">
        <f t="shared" si="204"/>
        <v>2865776.717806071</v>
      </c>
      <c r="AE355" s="195">
        <f t="shared" si="204"/>
        <v>1008337.1999591129</v>
      </c>
      <c r="AF355" s="195">
        <f t="shared" si="204"/>
        <v>1174708.937935682</v>
      </c>
      <c r="AG355" s="195">
        <f t="shared" si="204"/>
        <v>955826.01783215895</v>
      </c>
      <c r="AH355" s="195">
        <f t="shared" si="204"/>
        <v>950156.74833539128</v>
      </c>
      <c r="AI355" s="195">
        <f t="shared" si="204"/>
        <v>2713727.5672943736</v>
      </c>
      <c r="AJ355" s="195">
        <f t="shared" si="204"/>
        <v>949530.52865264588</v>
      </c>
      <c r="AK355" s="195">
        <f t="shared" si="204"/>
        <v>1137760.2491394698</v>
      </c>
      <c r="AL355" s="195">
        <f t="shared" si="204"/>
        <v>948904.30896990036</v>
      </c>
      <c r="AM355" s="195">
        <f t="shared" si="204"/>
        <v>901654.68241234985</v>
      </c>
      <c r="AN355" s="175"/>
      <c r="AO355" s="1"/>
      <c r="AP355" s="1"/>
      <c r="AQ355" s="1"/>
      <c r="AR355" s="1"/>
      <c r="AS355" s="1"/>
      <c r="AT355" s="1"/>
      <c r="AU355" s="1"/>
      <c r="AV355" s="1"/>
      <c r="AW355" s="1"/>
    </row>
    <row r="356" spans="2:49" ht="15" customHeight="1" x14ac:dyDescent="0.3">
      <c r="B356" s="1"/>
      <c r="C356" s="60"/>
      <c r="D356" s="60"/>
      <c r="E356" s="60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75"/>
      <c r="AO356" s="1"/>
      <c r="AP356" s="1"/>
      <c r="AQ356" s="1"/>
      <c r="AR356" s="1"/>
      <c r="AS356" s="1"/>
      <c r="AT356" s="1"/>
      <c r="AU356" s="1"/>
      <c r="AV356" s="1"/>
      <c r="AW356" s="1"/>
    </row>
    <row r="357" spans="2:49" ht="15" customHeight="1" x14ac:dyDescent="0.3">
      <c r="B357" s="438"/>
      <c r="C357" s="440" t="s">
        <v>5229</v>
      </c>
      <c r="D357" s="438"/>
      <c r="E357" s="438"/>
      <c r="F357" s="438"/>
      <c r="G357" s="438"/>
      <c r="H357" s="438"/>
      <c r="I357" s="438"/>
      <c r="J357" s="438"/>
      <c r="K357" s="438"/>
      <c r="L357" s="438"/>
      <c r="M357" s="1"/>
      <c r="N357" s="1"/>
      <c r="O357" s="438"/>
      <c r="P357" s="438"/>
      <c r="Q357" s="438"/>
      <c r="R357" s="438"/>
      <c r="S357" s="438"/>
      <c r="T357" s="438"/>
      <c r="U357" s="438"/>
      <c r="V357" s="438"/>
      <c r="W357" s="438"/>
      <c r="X357" s="438"/>
      <c r="Y357" s="438"/>
      <c r="Z357" s="438"/>
      <c r="AA357" s="438"/>
      <c r="AB357" s="438"/>
      <c r="AC357" s="438"/>
      <c r="AD357" s="438"/>
      <c r="AE357" s="438"/>
      <c r="AF357" s="438"/>
      <c r="AG357" s="438"/>
      <c r="AH357" s="438"/>
      <c r="AI357" s="438"/>
      <c r="AJ357" s="438"/>
      <c r="AK357" s="438"/>
      <c r="AL357" s="438"/>
      <c r="AM357" s="438"/>
      <c r="AN357" s="175"/>
      <c r="AO357" s="1"/>
      <c r="AP357" s="1"/>
      <c r="AQ357" s="1"/>
      <c r="AR357" s="1"/>
      <c r="AS357" s="1"/>
      <c r="AT357" s="1"/>
      <c r="AU357" s="1"/>
      <c r="AV357" s="1"/>
      <c r="AW357" s="1"/>
    </row>
    <row r="358" spans="2:49" ht="15" customHeight="1" x14ac:dyDescent="0.3">
      <c r="B358" s="1"/>
      <c r="C358" s="1" t="s">
        <v>5230</v>
      </c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95">
        <f>O75</f>
        <v>552924.06825733301</v>
      </c>
      <c r="P358" s="195">
        <f t="shared" ref="P358:AM358" si="205">P75</f>
        <v>1658772.2047720007</v>
      </c>
      <c r="Q358" s="195">
        <f t="shared" si="205"/>
        <v>1658772.2047720007</v>
      </c>
      <c r="R358" s="195">
        <f t="shared" si="205"/>
        <v>1658772.2047720007</v>
      </c>
      <c r="S358" s="195">
        <f t="shared" si="205"/>
        <v>1658772.2047720007</v>
      </c>
      <c r="T358" s="195">
        <f t="shared" si="205"/>
        <v>1658772.2047720007</v>
      </c>
      <c r="U358" s="195">
        <f t="shared" si="205"/>
        <v>1658772.2047720007</v>
      </c>
      <c r="V358" s="195">
        <f t="shared" si="205"/>
        <v>1658772.2047720007</v>
      </c>
      <c r="W358" s="195">
        <f t="shared" si="205"/>
        <v>1658772.2047720007</v>
      </c>
      <c r="X358" s="195">
        <f t="shared" si="205"/>
        <v>1658772.2047720007</v>
      </c>
      <c r="Y358" s="195">
        <f t="shared" si="205"/>
        <v>1658772.2047720007</v>
      </c>
      <c r="Z358" s="195">
        <f t="shared" si="205"/>
        <v>1658772.2047720007</v>
      </c>
      <c r="AA358" s="195">
        <f t="shared" si="205"/>
        <v>1658772.2047720007</v>
      </c>
      <c r="AB358" s="195">
        <f t="shared" si="205"/>
        <v>1658772.2047720007</v>
      </c>
      <c r="AC358" s="195">
        <f t="shared" si="205"/>
        <v>1658772.2047720007</v>
      </c>
      <c r="AD358" s="195">
        <f t="shared" si="205"/>
        <v>1658772.2047720007</v>
      </c>
      <c r="AE358" s="195">
        <f t="shared" si="205"/>
        <v>1658772.2047720007</v>
      </c>
      <c r="AF358" s="195">
        <f t="shared" si="205"/>
        <v>1658772.2047720007</v>
      </c>
      <c r="AG358" s="195">
        <f t="shared" si="205"/>
        <v>1658772.2047720007</v>
      </c>
      <c r="AH358" s="195">
        <f t="shared" si="205"/>
        <v>1658772.2047720007</v>
      </c>
      <c r="AI358" s="195">
        <f t="shared" si="205"/>
        <v>1658772.2047720007</v>
      </c>
      <c r="AJ358" s="195">
        <f t="shared" si="205"/>
        <v>1658772.2047720007</v>
      </c>
      <c r="AK358" s="195">
        <f t="shared" si="205"/>
        <v>1658772.2047720007</v>
      </c>
      <c r="AL358" s="195">
        <f t="shared" si="205"/>
        <v>1658772.2047720007</v>
      </c>
      <c r="AM358" s="195">
        <f t="shared" si="205"/>
        <v>1658772.2047720007</v>
      </c>
      <c r="AN358" s="175"/>
      <c r="AO358" s="1"/>
      <c r="AP358" s="1"/>
      <c r="AQ358" s="1"/>
      <c r="AR358" s="1"/>
      <c r="AS358" s="1"/>
      <c r="AT358" s="1"/>
      <c r="AU358" s="1"/>
      <c r="AV358" s="1"/>
      <c r="AW358" s="1"/>
    </row>
    <row r="359" spans="2:49" ht="1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5"/>
      <c r="AO359" s="1"/>
      <c r="AP359" s="1"/>
      <c r="AQ359" s="1"/>
      <c r="AR359" s="1"/>
      <c r="AS359" s="1"/>
      <c r="AT359" s="1"/>
      <c r="AU359" s="1"/>
      <c r="AV359" s="1"/>
      <c r="AW359" s="1"/>
    </row>
    <row r="360" spans="2:49" ht="15" customHeight="1" x14ac:dyDescent="0.3">
      <c r="B360" s="1"/>
      <c r="C360" s="60"/>
      <c r="D360" s="60"/>
      <c r="E360" s="60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5"/>
      <c r="AO360" s="1"/>
      <c r="AP360" s="1"/>
      <c r="AQ360" s="1"/>
      <c r="AR360" s="1"/>
      <c r="AS360" s="1"/>
      <c r="AT360" s="1"/>
      <c r="AU360" s="1"/>
      <c r="AV360" s="1"/>
      <c r="AW360" s="1"/>
    </row>
    <row r="361" spans="2:49" ht="1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5"/>
      <c r="AO361" s="1"/>
      <c r="AP361" s="1"/>
      <c r="AQ361" s="1"/>
      <c r="AR361" s="1"/>
      <c r="AS361" s="1"/>
      <c r="AT361" s="1"/>
      <c r="AU361" s="1"/>
      <c r="AV361" s="1"/>
      <c r="AW361" s="1"/>
    </row>
    <row r="362" spans="2:49" ht="1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5"/>
      <c r="AO362" s="1"/>
      <c r="AP362" s="1"/>
      <c r="AQ362" s="1"/>
      <c r="AR362" s="1"/>
      <c r="AS362" s="1"/>
      <c r="AT362" s="1"/>
      <c r="AU362" s="1"/>
      <c r="AV362" s="1"/>
      <c r="AW362" s="1"/>
    </row>
    <row r="363" spans="2:49" ht="1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5"/>
      <c r="AO363" s="1"/>
      <c r="AP363" s="1"/>
      <c r="AQ363" s="1"/>
      <c r="AR363" s="1"/>
      <c r="AS363" s="1"/>
      <c r="AT363" s="1"/>
      <c r="AU363" s="1"/>
      <c r="AV363" s="1"/>
      <c r="AW363" s="1"/>
    </row>
    <row r="364" spans="2:49" ht="1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5"/>
      <c r="AO364" s="1"/>
      <c r="AP364" s="1"/>
      <c r="AQ364" s="1"/>
      <c r="AR364" s="1"/>
      <c r="AS364" s="1"/>
      <c r="AT364" s="1"/>
      <c r="AU364" s="1"/>
      <c r="AV364" s="1"/>
      <c r="AW364" s="1"/>
    </row>
    <row r="365" spans="2:49" ht="15" customHeight="1" x14ac:dyDescent="0.3">
      <c r="B365" s="1"/>
      <c r="C365" s="60"/>
      <c r="D365" s="60"/>
      <c r="E365" s="60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5"/>
      <c r="AO365" s="1"/>
      <c r="AP365" s="1"/>
      <c r="AQ365" s="1"/>
      <c r="AR365" s="1"/>
      <c r="AS365" s="1"/>
      <c r="AT365" s="1"/>
      <c r="AU365" s="1"/>
      <c r="AV365" s="1"/>
      <c r="AW365" s="1"/>
    </row>
    <row r="366" spans="2:49" ht="1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5"/>
      <c r="AO366" s="1"/>
      <c r="AP366" s="1"/>
      <c r="AQ366" s="1"/>
      <c r="AR366" s="1"/>
      <c r="AS366" s="1"/>
      <c r="AT366" s="1"/>
      <c r="AU366" s="1"/>
      <c r="AV366" s="1"/>
      <c r="AW366" s="1"/>
    </row>
    <row r="367" spans="2:49" ht="1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5"/>
      <c r="AO367" s="1"/>
      <c r="AP367" s="1"/>
      <c r="AQ367" s="1"/>
      <c r="AR367" s="1"/>
      <c r="AS367" s="1"/>
      <c r="AT367" s="1"/>
      <c r="AU367" s="1"/>
      <c r="AV367" s="1"/>
      <c r="AW367" s="1"/>
    </row>
    <row r="368" spans="2:49" ht="1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5"/>
      <c r="AO368" s="1"/>
      <c r="AP368" s="1"/>
      <c r="AQ368" s="1"/>
      <c r="AR368" s="1"/>
      <c r="AS368" s="1"/>
      <c r="AT368" s="1"/>
      <c r="AU368" s="1"/>
      <c r="AV368" s="1"/>
      <c r="AW368" s="1"/>
    </row>
    <row r="369" spans="2:49" ht="1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5"/>
      <c r="AO369" s="1"/>
      <c r="AP369" s="1"/>
      <c r="AQ369" s="1"/>
      <c r="AR369" s="1"/>
      <c r="AS369" s="1"/>
      <c r="AT369" s="1"/>
      <c r="AU369" s="1"/>
      <c r="AV369" s="1"/>
      <c r="AW369" s="1"/>
    </row>
    <row r="370" spans="2:49" ht="15" customHeight="1" x14ac:dyDescent="0.3">
      <c r="B370" s="1"/>
      <c r="C370" s="60"/>
      <c r="D370" s="60"/>
      <c r="E370" s="60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5"/>
      <c r="AO370" s="1"/>
      <c r="AP370" s="1"/>
      <c r="AQ370" s="1"/>
      <c r="AR370" s="1"/>
      <c r="AS370" s="1"/>
      <c r="AT370" s="1"/>
      <c r="AU370" s="1"/>
      <c r="AV370" s="1"/>
      <c r="AW370" s="1"/>
    </row>
    <row r="371" spans="2:49" ht="1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5"/>
      <c r="AO371" s="1"/>
      <c r="AP371" s="1"/>
      <c r="AQ371" s="1"/>
      <c r="AR371" s="1"/>
      <c r="AS371" s="1"/>
      <c r="AT371" s="1"/>
      <c r="AU371" s="1"/>
      <c r="AV371" s="1"/>
      <c r="AW371" s="1"/>
    </row>
    <row r="372" spans="2:49" ht="1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5"/>
      <c r="AO372" s="1"/>
      <c r="AP372" s="1"/>
      <c r="AQ372" s="1"/>
      <c r="AR372" s="1"/>
      <c r="AS372" s="1"/>
      <c r="AT372" s="1"/>
      <c r="AU372" s="1"/>
      <c r="AV372" s="1"/>
      <c r="AW372" s="1"/>
    </row>
    <row r="373" spans="2:49" ht="1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5"/>
      <c r="AO373" s="1"/>
      <c r="AP373" s="1"/>
      <c r="AQ373" s="1"/>
      <c r="AR373" s="1"/>
      <c r="AS373" s="1"/>
      <c r="AT373" s="1"/>
      <c r="AU373" s="1"/>
      <c r="AV373" s="1"/>
      <c r="AW373" s="1"/>
    </row>
    <row r="374" spans="2:49" ht="1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5"/>
      <c r="AO374" s="1"/>
      <c r="AP374" s="1"/>
      <c r="AQ374" s="1"/>
      <c r="AR374" s="1"/>
      <c r="AS374" s="1"/>
      <c r="AT374" s="1"/>
      <c r="AU374" s="1"/>
      <c r="AV374" s="1"/>
      <c r="AW374" s="1"/>
    </row>
    <row r="375" spans="2:49" ht="15" customHeight="1" x14ac:dyDescent="0.3">
      <c r="B375" s="1"/>
      <c r="C375" s="60"/>
      <c r="D375" s="60"/>
      <c r="E375" s="60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5"/>
      <c r="AO375" s="1"/>
      <c r="AP375" s="1"/>
      <c r="AQ375" s="1"/>
      <c r="AR375" s="1"/>
      <c r="AS375" s="1"/>
      <c r="AT375" s="1"/>
      <c r="AU375" s="1"/>
      <c r="AV375" s="1"/>
      <c r="AW375" s="1"/>
    </row>
    <row r="376" spans="2:49" ht="1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5"/>
      <c r="AO376" s="1"/>
      <c r="AP376" s="1"/>
      <c r="AQ376" s="1"/>
      <c r="AR376" s="1"/>
      <c r="AS376" s="1"/>
      <c r="AT376" s="1"/>
      <c r="AU376" s="1"/>
      <c r="AV376" s="1"/>
      <c r="AW376" s="1"/>
    </row>
    <row r="377" spans="2:49" ht="1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5"/>
      <c r="AO377" s="1"/>
      <c r="AP377" s="1"/>
      <c r="AQ377" s="1"/>
      <c r="AR377" s="1"/>
      <c r="AS377" s="1"/>
      <c r="AT377" s="1"/>
      <c r="AU377" s="1"/>
      <c r="AV377" s="1"/>
      <c r="AW377" s="1"/>
    </row>
    <row r="378" spans="2:49" ht="1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5"/>
      <c r="AO378" s="1"/>
      <c r="AP378" s="1"/>
      <c r="AQ378" s="1"/>
      <c r="AR378" s="1"/>
      <c r="AS378" s="1"/>
      <c r="AT378" s="1"/>
      <c r="AU378" s="1"/>
      <c r="AV378" s="1"/>
      <c r="AW378" s="1"/>
    </row>
    <row r="379" spans="2:49" ht="1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5"/>
      <c r="AO379" s="1"/>
      <c r="AP379" s="1"/>
      <c r="AQ379" s="1"/>
      <c r="AR379" s="1"/>
      <c r="AS379" s="1"/>
      <c r="AT379" s="1"/>
      <c r="AU379" s="1"/>
      <c r="AV379" s="1"/>
      <c r="AW379" s="1"/>
    </row>
    <row r="380" spans="2:49" ht="15" customHeight="1" x14ac:dyDescent="0.3">
      <c r="B380" s="1"/>
      <c r="C380" s="60"/>
      <c r="D380" s="60"/>
      <c r="E380" s="60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5"/>
      <c r="AO380" s="1"/>
      <c r="AP380" s="1"/>
      <c r="AQ380" s="1"/>
      <c r="AR380" s="1"/>
      <c r="AS380" s="1"/>
      <c r="AT380" s="1"/>
      <c r="AU380" s="1"/>
      <c r="AV380" s="1"/>
      <c r="AW380" s="1"/>
    </row>
    <row r="381" spans="2:49" ht="1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5"/>
      <c r="AO381" s="1"/>
      <c r="AP381" s="1"/>
      <c r="AQ381" s="1"/>
      <c r="AR381" s="1"/>
      <c r="AS381" s="1"/>
      <c r="AT381" s="1"/>
      <c r="AU381" s="1"/>
      <c r="AV381" s="1"/>
      <c r="AW381" s="1"/>
    </row>
    <row r="382" spans="2:49" ht="1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5"/>
      <c r="AO382" s="1"/>
      <c r="AP382" s="1"/>
      <c r="AQ382" s="1"/>
      <c r="AR382" s="1"/>
      <c r="AS382" s="1"/>
      <c r="AT382" s="1"/>
      <c r="AU382" s="1"/>
      <c r="AV382" s="1"/>
      <c r="AW382" s="1"/>
    </row>
    <row r="383" spans="2:49" ht="1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5"/>
      <c r="AO383" s="1"/>
      <c r="AP383" s="1"/>
      <c r="AQ383" s="1"/>
      <c r="AR383" s="1"/>
      <c r="AS383" s="1"/>
      <c r="AT383" s="1"/>
      <c r="AU383" s="1"/>
      <c r="AV383" s="1"/>
      <c r="AW383" s="1"/>
    </row>
    <row r="384" spans="2:49" ht="1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5"/>
      <c r="AO384" s="1"/>
      <c r="AP384" s="1"/>
      <c r="AQ384" s="1"/>
      <c r="AR384" s="1"/>
      <c r="AS384" s="1"/>
      <c r="AT384" s="1"/>
      <c r="AU384" s="1"/>
      <c r="AV384" s="1"/>
      <c r="AW384" s="1"/>
    </row>
    <row r="385" spans="2:49" ht="15" customHeight="1" x14ac:dyDescent="0.3">
      <c r="B385" s="1"/>
      <c r="C385" s="60"/>
      <c r="D385" s="60"/>
      <c r="E385" s="60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5"/>
      <c r="AO385" s="1"/>
      <c r="AP385" s="1"/>
      <c r="AQ385" s="1"/>
      <c r="AR385" s="1"/>
      <c r="AS385" s="1"/>
      <c r="AT385" s="1"/>
      <c r="AU385" s="1"/>
      <c r="AV385" s="1"/>
      <c r="AW385" s="1"/>
    </row>
    <row r="386" spans="2:49" ht="1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5"/>
      <c r="AO386" s="1"/>
      <c r="AP386" s="1"/>
      <c r="AQ386" s="1"/>
      <c r="AR386" s="1"/>
      <c r="AS386" s="1"/>
      <c r="AT386" s="1"/>
      <c r="AU386" s="1"/>
      <c r="AV386" s="1"/>
      <c r="AW386" s="1"/>
    </row>
    <row r="387" spans="2:49" ht="1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5"/>
      <c r="AO387" s="1"/>
      <c r="AP387" s="1"/>
      <c r="AQ387" s="1"/>
      <c r="AR387" s="1"/>
      <c r="AS387" s="1"/>
      <c r="AT387" s="1"/>
      <c r="AU387" s="1"/>
      <c r="AV387" s="1"/>
      <c r="AW387" s="1"/>
    </row>
    <row r="388" spans="2:49" ht="1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5"/>
      <c r="AO388" s="1"/>
      <c r="AP388" s="1"/>
      <c r="AQ388" s="1"/>
      <c r="AR388" s="1"/>
      <c r="AS388" s="1"/>
      <c r="AT388" s="1"/>
      <c r="AU388" s="1"/>
      <c r="AV388" s="1"/>
      <c r="AW388" s="1"/>
    </row>
    <row r="389" spans="2:49" ht="1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5"/>
      <c r="AO389" s="1"/>
      <c r="AP389" s="1"/>
      <c r="AQ389" s="1"/>
      <c r="AR389" s="1"/>
      <c r="AS389" s="1"/>
      <c r="AT389" s="1"/>
      <c r="AU389" s="1"/>
      <c r="AV389" s="1"/>
      <c r="AW389" s="1"/>
    </row>
    <row r="390" spans="2:49" ht="15" customHeight="1" x14ac:dyDescent="0.3">
      <c r="B390" s="1"/>
      <c r="C390" s="60"/>
      <c r="D390" s="60"/>
      <c r="E390" s="60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5"/>
      <c r="AO390" s="1"/>
      <c r="AP390" s="1"/>
      <c r="AQ390" s="1"/>
      <c r="AR390" s="1"/>
      <c r="AS390" s="1"/>
      <c r="AT390" s="1"/>
      <c r="AU390" s="1"/>
      <c r="AV390" s="1"/>
      <c r="AW390" s="1"/>
    </row>
    <row r="391" spans="2:49" ht="1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5"/>
      <c r="AO391" s="1"/>
      <c r="AP391" s="1"/>
      <c r="AQ391" s="1"/>
      <c r="AR391" s="1"/>
      <c r="AS391" s="1"/>
      <c r="AT391" s="1"/>
      <c r="AU391" s="1"/>
      <c r="AV391" s="1"/>
      <c r="AW391" s="1"/>
    </row>
    <row r="392" spans="2:49" ht="1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5"/>
      <c r="AO392" s="1"/>
      <c r="AP392" s="1"/>
      <c r="AQ392" s="1"/>
      <c r="AR392" s="1"/>
      <c r="AS392" s="1"/>
      <c r="AT392" s="1"/>
      <c r="AU392" s="1"/>
      <c r="AV392" s="1"/>
      <c r="AW392" s="1"/>
    </row>
    <row r="393" spans="2:49" ht="1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5"/>
      <c r="AO393" s="1"/>
      <c r="AP393" s="1"/>
      <c r="AQ393" s="1"/>
      <c r="AR393" s="1"/>
      <c r="AS393" s="1"/>
      <c r="AT393" s="1"/>
      <c r="AU393" s="1"/>
      <c r="AV393" s="1"/>
      <c r="AW393" s="1"/>
    </row>
    <row r="394" spans="2:49" ht="1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5"/>
      <c r="AO394" s="1"/>
      <c r="AP394" s="1"/>
      <c r="AQ394" s="1"/>
      <c r="AR394" s="1"/>
      <c r="AS394" s="1"/>
      <c r="AT394" s="1"/>
      <c r="AU394" s="1"/>
      <c r="AV394" s="1"/>
      <c r="AW394" s="1"/>
    </row>
    <row r="395" spans="2:49" ht="15" customHeight="1" x14ac:dyDescent="0.3">
      <c r="B395" s="1"/>
      <c r="C395" s="60"/>
      <c r="D395" s="60"/>
      <c r="E395" s="60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5"/>
      <c r="AO395" s="1"/>
      <c r="AP395" s="1"/>
      <c r="AQ395" s="1"/>
      <c r="AR395" s="1"/>
      <c r="AS395" s="1"/>
      <c r="AT395" s="1"/>
      <c r="AU395" s="1"/>
      <c r="AV395" s="1"/>
      <c r="AW395" s="1"/>
    </row>
    <row r="396" spans="2:49" ht="1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5"/>
      <c r="AO396" s="1"/>
      <c r="AP396" s="1"/>
      <c r="AQ396" s="1"/>
      <c r="AR396" s="1"/>
      <c r="AS396" s="1"/>
      <c r="AT396" s="1"/>
      <c r="AU396" s="1"/>
      <c r="AV396" s="1"/>
      <c r="AW396" s="1"/>
    </row>
    <row r="397" spans="2:49" ht="1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5"/>
      <c r="AO397" s="1"/>
      <c r="AP397" s="1"/>
      <c r="AQ397" s="1"/>
      <c r="AR397" s="1"/>
      <c r="AS397" s="1"/>
      <c r="AT397" s="1"/>
      <c r="AU397" s="1"/>
      <c r="AV397" s="1"/>
      <c r="AW397" s="1"/>
    </row>
    <row r="398" spans="2:49" ht="1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5"/>
      <c r="AO398" s="1"/>
      <c r="AP398" s="1"/>
      <c r="AQ398" s="1"/>
      <c r="AR398" s="1"/>
      <c r="AS398" s="1"/>
      <c r="AT398" s="1"/>
      <c r="AU398" s="1"/>
      <c r="AV398" s="1"/>
      <c r="AW398" s="1"/>
    </row>
    <row r="399" spans="2:49" ht="1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5"/>
      <c r="AO399" s="1"/>
      <c r="AP399" s="1"/>
      <c r="AQ399" s="1"/>
      <c r="AR399" s="1"/>
      <c r="AS399" s="1"/>
      <c r="AT399" s="1"/>
      <c r="AU399" s="1"/>
      <c r="AV399" s="1"/>
      <c r="AW399" s="1"/>
    </row>
    <row r="400" spans="2:49" ht="15" customHeight="1" x14ac:dyDescent="0.3">
      <c r="B400" s="1"/>
      <c r="C400" s="60"/>
      <c r="D400" s="60"/>
      <c r="E400" s="60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5"/>
      <c r="AO400" s="1"/>
      <c r="AP400" s="1"/>
      <c r="AQ400" s="1"/>
      <c r="AR400" s="1"/>
      <c r="AS400" s="1"/>
      <c r="AT400" s="1"/>
      <c r="AU400" s="1"/>
      <c r="AV400" s="1"/>
      <c r="AW400" s="1"/>
    </row>
    <row r="401" spans="2:49" ht="1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5"/>
      <c r="AO401" s="1"/>
      <c r="AP401" s="1"/>
      <c r="AQ401" s="1"/>
      <c r="AR401" s="1"/>
      <c r="AS401" s="1"/>
      <c r="AT401" s="1"/>
      <c r="AU401" s="1"/>
      <c r="AV401" s="1"/>
      <c r="AW401" s="1"/>
    </row>
    <row r="402" spans="2:49" ht="1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5"/>
      <c r="AO402" s="1"/>
      <c r="AP402" s="1"/>
      <c r="AQ402" s="1"/>
      <c r="AR402" s="1"/>
      <c r="AS402" s="1"/>
      <c r="AT402" s="1"/>
      <c r="AU402" s="1"/>
      <c r="AV402" s="1"/>
      <c r="AW402" s="1"/>
    </row>
    <row r="403" spans="2:49" ht="1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5"/>
      <c r="AO403" s="1"/>
      <c r="AP403" s="1"/>
      <c r="AQ403" s="1"/>
      <c r="AR403" s="1"/>
      <c r="AS403" s="1"/>
      <c r="AT403" s="1"/>
      <c r="AU403" s="1"/>
      <c r="AV403" s="1"/>
      <c r="AW403" s="1"/>
    </row>
    <row r="404" spans="2:49" ht="1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5"/>
      <c r="AO404" s="1"/>
      <c r="AP404" s="1"/>
      <c r="AQ404" s="1"/>
      <c r="AR404" s="1"/>
      <c r="AS404" s="1"/>
      <c r="AT404" s="1"/>
      <c r="AU404" s="1"/>
      <c r="AV404" s="1"/>
      <c r="AW404" s="1"/>
    </row>
    <row r="405" spans="2:49" ht="15" customHeight="1" x14ac:dyDescent="0.3">
      <c r="B405" s="1"/>
      <c r="C405" s="60"/>
      <c r="D405" s="60"/>
      <c r="E405" s="60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5"/>
      <c r="AO405" s="1"/>
      <c r="AP405" s="1"/>
      <c r="AQ405" s="1"/>
      <c r="AR405" s="1"/>
      <c r="AS405" s="1"/>
      <c r="AT405" s="1"/>
      <c r="AU405" s="1"/>
      <c r="AV405" s="1"/>
      <c r="AW405" s="1"/>
    </row>
    <row r="406" spans="2:49" ht="1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5"/>
      <c r="AO406" s="1"/>
      <c r="AP406" s="1"/>
      <c r="AQ406" s="1"/>
      <c r="AR406" s="1"/>
      <c r="AS406" s="1"/>
      <c r="AT406" s="1"/>
      <c r="AU406" s="1"/>
      <c r="AV406" s="1"/>
      <c r="AW406" s="1"/>
    </row>
    <row r="407" spans="2:49" ht="1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5"/>
      <c r="AO407" s="1"/>
      <c r="AP407" s="1"/>
      <c r="AQ407" s="1"/>
      <c r="AR407" s="1"/>
      <c r="AS407" s="1"/>
      <c r="AT407" s="1"/>
      <c r="AU407" s="1"/>
      <c r="AV407" s="1"/>
      <c r="AW407" s="1"/>
    </row>
    <row r="408" spans="2:49" ht="1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5"/>
      <c r="AO408" s="1"/>
      <c r="AP408" s="1"/>
      <c r="AQ408" s="1"/>
      <c r="AR408" s="1"/>
      <c r="AS408" s="1"/>
      <c r="AT408" s="1"/>
      <c r="AU408" s="1"/>
      <c r="AV408" s="1"/>
      <c r="AW408" s="1"/>
    </row>
    <row r="409" spans="2:49" ht="1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5"/>
      <c r="AO409" s="1"/>
      <c r="AP409" s="1"/>
      <c r="AQ409" s="1"/>
      <c r="AR409" s="1"/>
      <c r="AS409" s="1"/>
      <c r="AT409" s="1"/>
      <c r="AU409" s="1"/>
      <c r="AV409" s="1"/>
      <c r="AW409" s="1"/>
    </row>
    <row r="410" spans="2:49" ht="15" customHeight="1" x14ac:dyDescent="0.3">
      <c r="B410" s="1"/>
      <c r="C410" s="60"/>
      <c r="D410" s="60"/>
      <c r="E410" s="60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5"/>
      <c r="AO410" s="1"/>
      <c r="AP410" s="1"/>
      <c r="AQ410" s="1"/>
      <c r="AR410" s="1"/>
      <c r="AS410" s="1"/>
      <c r="AT410" s="1"/>
      <c r="AU410" s="1"/>
      <c r="AV410" s="1"/>
      <c r="AW410" s="1"/>
    </row>
    <row r="411" spans="2:49" ht="1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5"/>
      <c r="AO411" s="1"/>
      <c r="AP411" s="1"/>
      <c r="AQ411" s="1"/>
      <c r="AR411" s="1"/>
      <c r="AS411" s="1"/>
      <c r="AT411" s="1"/>
      <c r="AU411" s="1"/>
      <c r="AV411" s="1"/>
      <c r="AW411" s="1"/>
    </row>
    <row r="412" spans="2:49" ht="1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5"/>
      <c r="AO412" s="1"/>
      <c r="AP412" s="1"/>
      <c r="AQ412" s="1"/>
      <c r="AR412" s="1"/>
      <c r="AS412" s="1"/>
      <c r="AT412" s="1"/>
      <c r="AU412" s="1"/>
      <c r="AV412" s="1"/>
      <c r="AW412" s="1"/>
    </row>
    <row r="413" spans="2:49" ht="1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5"/>
      <c r="AO413" s="1"/>
      <c r="AP413" s="1"/>
      <c r="AQ413" s="1"/>
      <c r="AR413" s="1"/>
      <c r="AS413" s="1"/>
      <c r="AT413" s="1"/>
      <c r="AU413" s="1"/>
      <c r="AV413" s="1"/>
      <c r="AW413" s="1"/>
    </row>
    <row r="414" spans="2:49" ht="1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5"/>
      <c r="AO414" s="1"/>
      <c r="AP414" s="1"/>
      <c r="AQ414" s="1"/>
      <c r="AR414" s="1"/>
      <c r="AS414" s="1"/>
      <c r="AT414" s="1"/>
      <c r="AU414" s="1"/>
      <c r="AV414" s="1"/>
      <c r="AW414" s="1"/>
    </row>
    <row r="415" spans="2:49" ht="15" customHeight="1" x14ac:dyDescent="0.3">
      <c r="B415" s="1"/>
      <c r="C415" s="60"/>
      <c r="D415" s="60"/>
      <c r="E415" s="60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5"/>
      <c r="AO415" s="1"/>
      <c r="AP415" s="1"/>
      <c r="AQ415" s="1"/>
      <c r="AR415" s="1"/>
      <c r="AS415" s="1"/>
      <c r="AT415" s="1"/>
      <c r="AU415" s="1"/>
      <c r="AV415" s="1"/>
      <c r="AW415" s="1"/>
    </row>
    <row r="416" spans="2:49" ht="1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5"/>
      <c r="AO416" s="1"/>
      <c r="AP416" s="1"/>
      <c r="AQ416" s="1"/>
      <c r="AR416" s="1"/>
      <c r="AS416" s="1"/>
      <c r="AT416" s="1"/>
      <c r="AU416" s="1"/>
      <c r="AV416" s="1"/>
      <c r="AW416" s="1"/>
    </row>
    <row r="417" spans="2:49" ht="1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5"/>
      <c r="AO417" s="1"/>
      <c r="AP417" s="1"/>
      <c r="AQ417" s="1"/>
      <c r="AR417" s="1"/>
      <c r="AS417" s="1"/>
      <c r="AT417" s="1"/>
      <c r="AU417" s="1"/>
      <c r="AV417" s="1"/>
      <c r="AW417" s="1"/>
    </row>
    <row r="418" spans="2:49" ht="1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5"/>
      <c r="AO418" s="1"/>
      <c r="AP418" s="1"/>
      <c r="AQ418" s="1"/>
      <c r="AR418" s="1"/>
      <c r="AS418" s="1"/>
      <c r="AT418" s="1"/>
      <c r="AU418" s="1"/>
      <c r="AV418" s="1"/>
      <c r="AW418" s="1"/>
    </row>
    <row r="419" spans="2:49" ht="1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5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2:49" ht="15" customHeight="1" x14ac:dyDescent="0.3">
      <c r="B420" s="1"/>
      <c r="C420" s="60"/>
      <c r="D420" s="60"/>
      <c r="E420" s="60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5"/>
      <c r="AO420" s="1"/>
      <c r="AP420" s="1"/>
      <c r="AQ420" s="1"/>
      <c r="AR420" s="1"/>
      <c r="AS420" s="1"/>
      <c r="AT420" s="1"/>
      <c r="AU420" s="1"/>
      <c r="AV420" s="1"/>
      <c r="AW420" s="1"/>
    </row>
    <row r="421" spans="2:49" ht="1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5"/>
      <c r="AO421" s="1"/>
      <c r="AP421" s="1"/>
      <c r="AQ421" s="1"/>
      <c r="AR421" s="1"/>
      <c r="AS421" s="1"/>
      <c r="AT421" s="1"/>
      <c r="AU421" s="1"/>
      <c r="AV421" s="1"/>
      <c r="AW421" s="1"/>
    </row>
    <row r="422" spans="2:49" ht="1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5"/>
      <c r="AO422" s="1"/>
      <c r="AP422" s="1"/>
      <c r="AQ422" s="1"/>
      <c r="AR422" s="1"/>
      <c r="AS422" s="1"/>
      <c r="AT422" s="1"/>
      <c r="AU422" s="1"/>
      <c r="AV422" s="1"/>
      <c r="AW422" s="1"/>
    </row>
    <row r="423" spans="2:49" ht="1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5"/>
      <c r="AO423" s="1"/>
      <c r="AP423" s="1"/>
      <c r="AQ423" s="1"/>
      <c r="AR423" s="1"/>
      <c r="AS423" s="1"/>
      <c r="AT423" s="1"/>
      <c r="AU423" s="1"/>
      <c r="AV423" s="1"/>
      <c r="AW423" s="1"/>
    </row>
    <row r="424" spans="2:49" ht="1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5"/>
      <c r="AO424" s="1"/>
      <c r="AP424" s="1"/>
      <c r="AQ424" s="1"/>
      <c r="AR424" s="1"/>
      <c r="AS424" s="1"/>
      <c r="AT424" s="1"/>
      <c r="AU424" s="1"/>
      <c r="AV424" s="1"/>
      <c r="AW424" s="1"/>
    </row>
    <row r="425" spans="2:49" ht="15" customHeight="1" x14ac:dyDescent="0.3">
      <c r="B425" s="1"/>
      <c r="C425" s="60"/>
      <c r="D425" s="60"/>
      <c r="E425" s="60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5"/>
      <c r="AO425" s="1"/>
      <c r="AP425" s="1"/>
      <c r="AQ425" s="1"/>
      <c r="AR425" s="1"/>
      <c r="AS425" s="1"/>
      <c r="AT425" s="1"/>
      <c r="AU425" s="1"/>
      <c r="AV425" s="1"/>
      <c r="AW425" s="1"/>
    </row>
    <row r="426" spans="2:49" ht="1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5"/>
      <c r="AO426" s="1"/>
      <c r="AP426" s="1"/>
      <c r="AQ426" s="1"/>
      <c r="AR426" s="1"/>
      <c r="AS426" s="1"/>
      <c r="AT426" s="1"/>
      <c r="AU426" s="1"/>
      <c r="AV426" s="1"/>
      <c r="AW426" s="1"/>
    </row>
    <row r="427" spans="2:49" ht="1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5"/>
      <c r="AO427" s="1"/>
      <c r="AP427" s="1"/>
      <c r="AQ427" s="1"/>
      <c r="AR427" s="1"/>
      <c r="AS427" s="1"/>
      <c r="AT427" s="1"/>
      <c r="AU427" s="1"/>
      <c r="AV427" s="1"/>
      <c r="AW427" s="1"/>
    </row>
    <row r="428" spans="2:49" ht="1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5"/>
      <c r="AO428" s="1"/>
      <c r="AP428" s="1"/>
      <c r="AQ428" s="1"/>
      <c r="AR428" s="1"/>
      <c r="AS428" s="1"/>
      <c r="AT428" s="1"/>
      <c r="AU428" s="1"/>
      <c r="AV428" s="1"/>
      <c r="AW428" s="1"/>
    </row>
    <row r="429" spans="2:49" ht="1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5"/>
      <c r="AO429" s="1"/>
      <c r="AP429" s="1"/>
      <c r="AQ429" s="1"/>
      <c r="AR429" s="1"/>
      <c r="AS429" s="1"/>
      <c r="AT429" s="1"/>
      <c r="AU429" s="1"/>
      <c r="AV429" s="1"/>
      <c r="AW429" s="1"/>
    </row>
    <row r="430" spans="2:49" ht="15" customHeight="1" x14ac:dyDescent="0.3">
      <c r="B430" s="1"/>
      <c r="C430" s="60"/>
      <c r="D430" s="60"/>
      <c r="E430" s="60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5"/>
      <c r="AO430" s="1"/>
      <c r="AP430" s="1"/>
      <c r="AQ430" s="1"/>
      <c r="AR430" s="1"/>
      <c r="AS430" s="1"/>
      <c r="AT430" s="1"/>
      <c r="AU430" s="1"/>
      <c r="AV430" s="1"/>
      <c r="AW430" s="1"/>
    </row>
    <row r="431" spans="2:49" ht="1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5"/>
      <c r="AO431" s="1"/>
      <c r="AP431" s="1"/>
      <c r="AQ431" s="1"/>
      <c r="AR431" s="1"/>
      <c r="AS431" s="1"/>
      <c r="AT431" s="1"/>
      <c r="AU431" s="1"/>
      <c r="AV431" s="1"/>
      <c r="AW431" s="1"/>
    </row>
    <row r="432" spans="2:49" ht="1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5"/>
      <c r="AO432" s="1"/>
      <c r="AP432" s="1"/>
      <c r="AQ432" s="1"/>
      <c r="AR432" s="1"/>
      <c r="AS432" s="1"/>
      <c r="AT432" s="1"/>
      <c r="AU432" s="1"/>
      <c r="AV432" s="1"/>
      <c r="AW432" s="1"/>
    </row>
    <row r="433" spans="2:49" ht="1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5"/>
      <c r="AO433" s="1"/>
      <c r="AP433" s="1"/>
      <c r="AQ433" s="1"/>
      <c r="AR433" s="1"/>
      <c r="AS433" s="1"/>
      <c r="AT433" s="1"/>
      <c r="AU433" s="1"/>
      <c r="AV433" s="1"/>
      <c r="AW433" s="1"/>
    </row>
    <row r="434" spans="2:49" ht="1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5"/>
      <c r="AO434" s="1"/>
      <c r="AP434" s="1"/>
      <c r="AQ434" s="1"/>
      <c r="AR434" s="1"/>
      <c r="AS434" s="1"/>
      <c r="AT434" s="1"/>
      <c r="AU434" s="1"/>
      <c r="AV434" s="1"/>
      <c r="AW434" s="1"/>
    </row>
    <row r="435" spans="2:49" ht="15" customHeight="1" x14ac:dyDescent="0.3">
      <c r="B435" s="1"/>
      <c r="C435" s="60"/>
      <c r="D435" s="60"/>
      <c r="E435" s="60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5"/>
      <c r="AO435" s="1"/>
      <c r="AP435" s="1"/>
      <c r="AQ435" s="1"/>
      <c r="AR435" s="1"/>
      <c r="AS435" s="1"/>
      <c r="AT435" s="1"/>
      <c r="AU435" s="1"/>
      <c r="AV435" s="1"/>
      <c r="AW435" s="1"/>
    </row>
    <row r="436" spans="2:49" ht="1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5"/>
      <c r="AO436" s="1"/>
      <c r="AP436" s="1"/>
      <c r="AQ436" s="1"/>
      <c r="AR436" s="1"/>
      <c r="AS436" s="1"/>
      <c r="AT436" s="1"/>
      <c r="AU436" s="1"/>
      <c r="AV436" s="1"/>
      <c r="AW436" s="1"/>
    </row>
    <row r="437" spans="2:49" ht="1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5"/>
      <c r="AO437" s="1"/>
      <c r="AP437" s="1"/>
      <c r="AQ437" s="1"/>
      <c r="AR437" s="1"/>
      <c r="AS437" s="1"/>
      <c r="AT437" s="1"/>
      <c r="AU437" s="1"/>
      <c r="AV437" s="1"/>
      <c r="AW437" s="1"/>
    </row>
    <row r="438" spans="2:49" ht="1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5"/>
      <c r="AO438" s="1"/>
      <c r="AP438" s="1"/>
      <c r="AQ438" s="1"/>
      <c r="AR438" s="1"/>
      <c r="AS438" s="1"/>
      <c r="AT438" s="1"/>
      <c r="AU438" s="1"/>
      <c r="AV438" s="1"/>
      <c r="AW438" s="1"/>
    </row>
    <row r="439" spans="2:49" ht="1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5"/>
      <c r="AO439" s="1"/>
      <c r="AP439" s="1"/>
      <c r="AQ439" s="1"/>
      <c r="AR439" s="1"/>
      <c r="AS439" s="1"/>
      <c r="AT439" s="1"/>
      <c r="AU439" s="1"/>
      <c r="AV439" s="1"/>
      <c r="AW439" s="1"/>
    </row>
    <row r="440" spans="2:49" ht="15" customHeight="1" x14ac:dyDescent="0.3">
      <c r="B440" s="1"/>
      <c r="C440" s="60"/>
      <c r="D440" s="60"/>
      <c r="E440" s="60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5"/>
      <c r="AO440" s="1"/>
      <c r="AP440" s="1"/>
      <c r="AQ440" s="1"/>
      <c r="AR440" s="1"/>
      <c r="AS440" s="1"/>
      <c r="AT440" s="1"/>
      <c r="AU440" s="1"/>
      <c r="AV440" s="1"/>
      <c r="AW440" s="1"/>
    </row>
    <row r="441" spans="2:49" ht="1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5"/>
      <c r="AO441" s="1"/>
      <c r="AP441" s="1"/>
      <c r="AQ441" s="1"/>
      <c r="AR441" s="1"/>
      <c r="AS441" s="1"/>
      <c r="AT441" s="1"/>
      <c r="AU441" s="1"/>
      <c r="AV441" s="1"/>
      <c r="AW441" s="1"/>
    </row>
    <row r="442" spans="2:49" ht="1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5"/>
      <c r="AO442" s="1"/>
      <c r="AP442" s="1"/>
      <c r="AQ442" s="1"/>
      <c r="AR442" s="1"/>
      <c r="AS442" s="1"/>
      <c r="AT442" s="1"/>
      <c r="AU442" s="1"/>
      <c r="AV442" s="1"/>
      <c r="AW442" s="1"/>
    </row>
    <row r="443" spans="2:49" ht="1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5"/>
      <c r="AO443" s="1"/>
      <c r="AP443" s="1"/>
      <c r="AQ443" s="1"/>
      <c r="AR443" s="1"/>
      <c r="AS443" s="1"/>
      <c r="AT443" s="1"/>
      <c r="AU443" s="1"/>
      <c r="AV443" s="1"/>
      <c r="AW443" s="1"/>
    </row>
    <row r="444" spans="2:49" ht="1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5"/>
      <c r="AO444" s="1"/>
      <c r="AP444" s="1"/>
      <c r="AQ444" s="1"/>
      <c r="AR444" s="1"/>
      <c r="AS444" s="1"/>
      <c r="AT444" s="1"/>
      <c r="AU444" s="1"/>
      <c r="AV444" s="1"/>
      <c r="AW444" s="1"/>
    </row>
    <row r="445" spans="2:49" ht="15" customHeight="1" x14ac:dyDescent="0.3">
      <c r="B445" s="1"/>
      <c r="C445" s="60"/>
      <c r="D445" s="60"/>
      <c r="E445" s="60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5"/>
      <c r="AO445" s="1"/>
      <c r="AP445" s="1"/>
      <c r="AQ445" s="1"/>
      <c r="AR445" s="1"/>
      <c r="AS445" s="1"/>
      <c r="AT445" s="1"/>
      <c r="AU445" s="1"/>
      <c r="AV445" s="1"/>
      <c r="AW445" s="1"/>
    </row>
    <row r="446" spans="2:49" ht="1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5"/>
      <c r="AO446" s="1"/>
      <c r="AP446" s="1"/>
      <c r="AQ446" s="1"/>
      <c r="AR446" s="1"/>
      <c r="AS446" s="1"/>
      <c r="AT446" s="1"/>
      <c r="AU446" s="1"/>
      <c r="AV446" s="1"/>
      <c r="AW446" s="1"/>
    </row>
    <row r="447" spans="2:49" ht="1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5"/>
      <c r="AO447" s="1"/>
      <c r="AP447" s="1"/>
      <c r="AQ447" s="1"/>
      <c r="AR447" s="1"/>
      <c r="AS447" s="1"/>
      <c r="AT447" s="1"/>
      <c r="AU447" s="1"/>
      <c r="AV447" s="1"/>
      <c r="AW447" s="1"/>
    </row>
    <row r="448" spans="2:49" ht="1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5"/>
      <c r="AO448" s="1"/>
      <c r="AP448" s="1"/>
      <c r="AQ448" s="1"/>
      <c r="AR448" s="1"/>
      <c r="AS448" s="1"/>
      <c r="AT448" s="1"/>
      <c r="AU448" s="1"/>
      <c r="AV448" s="1"/>
      <c r="AW448" s="1"/>
    </row>
    <row r="449" spans="2:49" ht="1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5"/>
      <c r="AO449" s="1"/>
      <c r="AP449" s="1"/>
      <c r="AQ449" s="1"/>
      <c r="AR449" s="1"/>
      <c r="AS449" s="1"/>
      <c r="AT449" s="1"/>
      <c r="AU449" s="1"/>
      <c r="AV449" s="1"/>
      <c r="AW449" s="1"/>
    </row>
    <row r="450" spans="2:49" ht="15" customHeight="1" x14ac:dyDescent="0.3">
      <c r="B450" s="1"/>
      <c r="C450" s="60"/>
      <c r="D450" s="60"/>
      <c r="E450" s="60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5"/>
      <c r="AO450" s="1"/>
      <c r="AP450" s="1"/>
      <c r="AQ450" s="1"/>
      <c r="AR450" s="1"/>
      <c r="AS450" s="1"/>
      <c r="AT450" s="1"/>
      <c r="AU450" s="1"/>
      <c r="AV450" s="1"/>
      <c r="AW450" s="1"/>
    </row>
    <row r="451" spans="2:49" ht="1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5"/>
      <c r="AO451" s="1"/>
      <c r="AP451" s="1"/>
      <c r="AQ451" s="1"/>
      <c r="AR451" s="1"/>
      <c r="AS451" s="1"/>
      <c r="AT451" s="1"/>
      <c r="AU451" s="1"/>
      <c r="AV451" s="1"/>
      <c r="AW451" s="1"/>
    </row>
    <row r="452" spans="2:49" ht="1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5"/>
      <c r="AO452" s="1"/>
      <c r="AP452" s="1"/>
      <c r="AQ452" s="1"/>
      <c r="AR452" s="1"/>
      <c r="AS452" s="1"/>
      <c r="AT452" s="1"/>
      <c r="AU452" s="1"/>
      <c r="AV452" s="1"/>
      <c r="AW452" s="1"/>
    </row>
    <row r="453" spans="2:49" ht="1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5"/>
      <c r="AO453" s="1"/>
      <c r="AP453" s="1"/>
      <c r="AQ453" s="1"/>
      <c r="AR453" s="1"/>
      <c r="AS453" s="1"/>
      <c r="AT453" s="1"/>
      <c r="AU453" s="1"/>
      <c r="AV453" s="1"/>
      <c r="AW453" s="1"/>
    </row>
    <row r="454" spans="2:49" ht="1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5"/>
      <c r="AO454" s="1"/>
      <c r="AP454" s="1"/>
      <c r="AQ454" s="1"/>
      <c r="AR454" s="1"/>
      <c r="AS454" s="1"/>
      <c r="AT454" s="1"/>
      <c r="AU454" s="1"/>
      <c r="AV454" s="1"/>
      <c r="AW454" s="1"/>
    </row>
    <row r="455" spans="2:49" ht="15" customHeight="1" x14ac:dyDescent="0.3">
      <c r="B455" s="1"/>
      <c r="C455" s="60"/>
      <c r="D455" s="60"/>
      <c r="E455" s="60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5"/>
      <c r="AO455" s="1"/>
      <c r="AP455" s="1"/>
      <c r="AQ455" s="1"/>
      <c r="AR455" s="1"/>
      <c r="AS455" s="1"/>
      <c r="AT455" s="1"/>
      <c r="AU455" s="1"/>
      <c r="AV455" s="1"/>
      <c r="AW455" s="1"/>
    </row>
    <row r="456" spans="2:49" ht="1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5"/>
      <c r="AO456" s="1"/>
      <c r="AP456" s="1"/>
      <c r="AQ456" s="1"/>
      <c r="AR456" s="1"/>
      <c r="AS456" s="1"/>
      <c r="AT456" s="1"/>
      <c r="AU456" s="1"/>
      <c r="AV456" s="1"/>
      <c r="AW456" s="1"/>
    </row>
    <row r="457" spans="2:49" ht="1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5"/>
      <c r="AO457" s="1"/>
      <c r="AP457" s="1"/>
      <c r="AQ457" s="1"/>
      <c r="AR457" s="1"/>
      <c r="AS457" s="1"/>
      <c r="AT457" s="1"/>
      <c r="AU457" s="1"/>
      <c r="AV457" s="1"/>
      <c r="AW457" s="1"/>
    </row>
    <row r="458" spans="2:49" ht="1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5"/>
      <c r="AO458" s="1"/>
      <c r="AP458" s="1"/>
      <c r="AQ458" s="1"/>
      <c r="AR458" s="1"/>
      <c r="AS458" s="1"/>
      <c r="AT458" s="1"/>
      <c r="AU458" s="1"/>
      <c r="AV458" s="1"/>
      <c r="AW458" s="1"/>
    </row>
    <row r="459" spans="2:49" ht="1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5"/>
      <c r="AO459" s="1"/>
      <c r="AP459" s="1"/>
      <c r="AQ459" s="1"/>
      <c r="AR459" s="1"/>
      <c r="AS459" s="1"/>
      <c r="AT459" s="1"/>
      <c r="AU459" s="1"/>
      <c r="AV459" s="1"/>
      <c r="AW459" s="1"/>
    </row>
    <row r="460" spans="2:49" ht="15" customHeight="1" x14ac:dyDescent="0.3">
      <c r="B460" s="1"/>
      <c r="C460" s="60"/>
      <c r="D460" s="60"/>
      <c r="E460" s="60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5"/>
      <c r="AO460" s="1"/>
      <c r="AP460" s="1"/>
      <c r="AQ460" s="1"/>
      <c r="AR460" s="1"/>
      <c r="AS460" s="1"/>
      <c r="AT460" s="1"/>
      <c r="AU460" s="1"/>
      <c r="AV460" s="1"/>
      <c r="AW460" s="1"/>
    </row>
    <row r="461" spans="2:49" ht="1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5"/>
      <c r="AO461" s="1"/>
      <c r="AP461" s="1"/>
      <c r="AQ461" s="1"/>
      <c r="AR461" s="1"/>
      <c r="AS461" s="1"/>
      <c r="AT461" s="1"/>
      <c r="AU461" s="1"/>
      <c r="AV461" s="1"/>
      <c r="AW461" s="1"/>
    </row>
    <row r="462" spans="2:49" ht="1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5"/>
      <c r="AO462" s="1"/>
      <c r="AP462" s="1"/>
      <c r="AQ462" s="1"/>
      <c r="AR462" s="1"/>
      <c r="AS462" s="1"/>
      <c r="AT462" s="1"/>
      <c r="AU462" s="1"/>
      <c r="AV462" s="1"/>
      <c r="AW462" s="1"/>
    </row>
    <row r="463" spans="2:49" ht="1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5"/>
      <c r="AO463" s="1"/>
      <c r="AP463" s="1"/>
      <c r="AQ463" s="1"/>
      <c r="AR463" s="1"/>
      <c r="AS463" s="1"/>
      <c r="AT463" s="1"/>
      <c r="AU463" s="1"/>
      <c r="AV463" s="1"/>
      <c r="AW463" s="1"/>
    </row>
    <row r="464" spans="2:49" ht="1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5"/>
      <c r="AO464" s="1"/>
      <c r="AP464" s="1"/>
      <c r="AQ464" s="1"/>
      <c r="AR464" s="1"/>
      <c r="AS464" s="1"/>
      <c r="AT464" s="1"/>
      <c r="AU464" s="1"/>
      <c r="AV464" s="1"/>
      <c r="AW464" s="1"/>
    </row>
    <row r="465" spans="2:49" ht="15" customHeight="1" x14ac:dyDescent="0.3">
      <c r="B465" s="1"/>
      <c r="C465" s="60"/>
      <c r="D465" s="60"/>
      <c r="E465" s="60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5"/>
      <c r="AO465" s="1"/>
      <c r="AP465" s="1"/>
      <c r="AQ465" s="1"/>
      <c r="AR465" s="1"/>
      <c r="AS465" s="1"/>
      <c r="AT465" s="1"/>
      <c r="AU465" s="1"/>
      <c r="AV465" s="1"/>
      <c r="AW465" s="1"/>
    </row>
    <row r="466" spans="2:49" ht="1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5"/>
      <c r="AO466" s="1"/>
      <c r="AP466" s="1"/>
      <c r="AQ466" s="1"/>
      <c r="AR466" s="1"/>
      <c r="AS466" s="1"/>
      <c r="AT466" s="1"/>
      <c r="AU466" s="1"/>
      <c r="AV466" s="1"/>
      <c r="AW466" s="1"/>
    </row>
    <row r="467" spans="2:49" ht="1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5"/>
      <c r="AO467" s="1"/>
      <c r="AP467" s="1"/>
      <c r="AQ467" s="1"/>
      <c r="AR467" s="1"/>
      <c r="AS467" s="1"/>
      <c r="AT467" s="1"/>
      <c r="AU467" s="1"/>
      <c r="AV467" s="1"/>
      <c r="AW467" s="1"/>
    </row>
    <row r="468" spans="2:49" ht="1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5"/>
      <c r="AO468" s="1"/>
      <c r="AP468" s="1"/>
      <c r="AQ468" s="1"/>
      <c r="AR468" s="1"/>
      <c r="AS468" s="1"/>
      <c r="AT468" s="1"/>
      <c r="AU468" s="1"/>
      <c r="AV468" s="1"/>
      <c r="AW468" s="1"/>
    </row>
    <row r="469" spans="2:49" ht="1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5"/>
      <c r="AO469" s="1"/>
      <c r="AP469" s="1"/>
      <c r="AQ469" s="1"/>
      <c r="AR469" s="1"/>
      <c r="AS469" s="1"/>
      <c r="AT469" s="1"/>
      <c r="AU469" s="1"/>
      <c r="AV469" s="1"/>
      <c r="AW469" s="1"/>
    </row>
    <row r="470" spans="2:49" ht="15" customHeight="1" x14ac:dyDescent="0.3">
      <c r="B470" s="1"/>
      <c r="C470" s="60"/>
      <c r="D470" s="60"/>
      <c r="E470" s="60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5"/>
      <c r="AO470" s="1"/>
      <c r="AP470" s="1"/>
      <c r="AQ470" s="1"/>
      <c r="AR470" s="1"/>
      <c r="AS470" s="1"/>
      <c r="AT470" s="1"/>
      <c r="AU470" s="1"/>
      <c r="AV470" s="1"/>
      <c r="AW470" s="1"/>
    </row>
    <row r="471" spans="2:49" ht="1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5"/>
      <c r="AO471" s="1"/>
      <c r="AP471" s="1"/>
      <c r="AQ471" s="1"/>
      <c r="AR471" s="1"/>
      <c r="AS471" s="1"/>
      <c r="AT471" s="1"/>
      <c r="AU471" s="1"/>
      <c r="AV471" s="1"/>
      <c r="AW471" s="1"/>
    </row>
    <row r="472" spans="2:49" ht="1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5"/>
      <c r="AO472" s="1"/>
      <c r="AP472" s="1"/>
      <c r="AQ472" s="1"/>
      <c r="AR472" s="1"/>
      <c r="AS472" s="1"/>
      <c r="AT472" s="1"/>
      <c r="AU472" s="1"/>
      <c r="AV472" s="1"/>
      <c r="AW472" s="1"/>
    </row>
    <row r="473" spans="2:49" ht="1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5"/>
      <c r="AO473" s="1"/>
      <c r="AP473" s="1"/>
      <c r="AQ473" s="1"/>
      <c r="AR473" s="1"/>
      <c r="AS473" s="1"/>
      <c r="AT473" s="1"/>
      <c r="AU473" s="1"/>
      <c r="AV473" s="1"/>
      <c r="AW473" s="1"/>
    </row>
    <row r="474" spans="2:49" ht="1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5"/>
      <c r="AO474" s="1"/>
      <c r="AP474" s="1"/>
      <c r="AQ474" s="1"/>
      <c r="AR474" s="1"/>
      <c r="AS474" s="1"/>
      <c r="AT474" s="1"/>
      <c r="AU474" s="1"/>
      <c r="AV474" s="1"/>
      <c r="AW474" s="1"/>
    </row>
    <row r="475" spans="2:49" ht="15" customHeight="1" x14ac:dyDescent="0.3">
      <c r="B475" s="1"/>
      <c r="C475" s="60"/>
      <c r="D475" s="60"/>
      <c r="E475" s="60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5"/>
      <c r="AO475" s="1"/>
      <c r="AP475" s="1"/>
      <c r="AQ475" s="1"/>
      <c r="AR475" s="1"/>
      <c r="AS475" s="1"/>
      <c r="AT475" s="1"/>
      <c r="AU475" s="1"/>
      <c r="AV475" s="1"/>
      <c r="AW475" s="1"/>
    </row>
    <row r="476" spans="2:49" ht="1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5"/>
      <c r="AO476" s="1"/>
      <c r="AP476" s="1"/>
      <c r="AQ476" s="1"/>
      <c r="AR476" s="1"/>
      <c r="AS476" s="1"/>
      <c r="AT476" s="1"/>
      <c r="AU476" s="1"/>
      <c r="AV476" s="1"/>
      <c r="AW476" s="1"/>
    </row>
    <row r="477" spans="2:49" ht="1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5"/>
      <c r="AO477" s="1"/>
      <c r="AP477" s="1"/>
      <c r="AQ477" s="1"/>
      <c r="AR477" s="1"/>
      <c r="AS477" s="1"/>
      <c r="AT477" s="1"/>
      <c r="AU477" s="1"/>
      <c r="AV477" s="1"/>
      <c r="AW477" s="1"/>
    </row>
    <row r="478" spans="2:49" ht="1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5"/>
      <c r="AO478" s="1"/>
      <c r="AP478" s="1"/>
      <c r="AQ478" s="1"/>
      <c r="AR478" s="1"/>
      <c r="AS478" s="1"/>
      <c r="AT478" s="1"/>
      <c r="AU478" s="1"/>
      <c r="AV478" s="1"/>
      <c r="AW478" s="1"/>
    </row>
    <row r="479" spans="2:49" ht="1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5"/>
      <c r="AO479" s="1"/>
      <c r="AP479" s="1"/>
      <c r="AQ479" s="1"/>
      <c r="AR479" s="1"/>
      <c r="AS479" s="1"/>
      <c r="AT479" s="1"/>
      <c r="AU479" s="1"/>
      <c r="AV479" s="1"/>
      <c r="AW479" s="1"/>
    </row>
    <row r="480" spans="2:49" ht="15" customHeight="1" x14ac:dyDescent="0.3">
      <c r="B480" s="1"/>
      <c r="C480" s="60"/>
      <c r="D480" s="60"/>
      <c r="E480" s="60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5"/>
      <c r="AO480" s="1"/>
      <c r="AP480" s="1"/>
      <c r="AQ480" s="1"/>
      <c r="AR480" s="1"/>
      <c r="AS480" s="1"/>
      <c r="AT480" s="1"/>
      <c r="AU480" s="1"/>
      <c r="AV480" s="1"/>
      <c r="AW480" s="1"/>
    </row>
    <row r="481" spans="2:49" ht="1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5"/>
      <c r="AO481" s="1"/>
      <c r="AP481" s="1"/>
      <c r="AQ481" s="1"/>
      <c r="AR481" s="1"/>
      <c r="AS481" s="1"/>
      <c r="AT481" s="1"/>
      <c r="AU481" s="1"/>
      <c r="AV481" s="1"/>
      <c r="AW481" s="1"/>
    </row>
    <row r="482" spans="2:49" ht="1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5"/>
      <c r="AO482" s="1"/>
      <c r="AP482" s="1"/>
      <c r="AQ482" s="1"/>
      <c r="AR482" s="1"/>
      <c r="AS482" s="1"/>
      <c r="AT482" s="1"/>
      <c r="AU482" s="1"/>
      <c r="AV482" s="1"/>
      <c r="AW482" s="1"/>
    </row>
    <row r="483" spans="2:49" ht="1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5"/>
      <c r="AO483" s="1"/>
      <c r="AP483" s="1"/>
      <c r="AQ483" s="1"/>
      <c r="AR483" s="1"/>
      <c r="AS483" s="1"/>
      <c r="AT483" s="1"/>
      <c r="AU483" s="1"/>
      <c r="AV483" s="1"/>
      <c r="AW483" s="1"/>
    </row>
    <row r="484" spans="2:49" ht="1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5"/>
      <c r="AO484" s="1"/>
      <c r="AP484" s="1"/>
      <c r="AQ484" s="1"/>
      <c r="AR484" s="1"/>
      <c r="AS484" s="1"/>
      <c r="AT484" s="1"/>
      <c r="AU484" s="1"/>
      <c r="AV484" s="1"/>
      <c r="AW484" s="1"/>
    </row>
    <row r="485" spans="2:49" ht="15" customHeight="1" x14ac:dyDescent="0.3">
      <c r="B485" s="1"/>
      <c r="C485" s="60"/>
      <c r="D485" s="60"/>
      <c r="E485" s="60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5"/>
      <c r="AO485" s="1"/>
      <c r="AP485" s="1"/>
      <c r="AQ485" s="1"/>
      <c r="AR485" s="1"/>
      <c r="AS485" s="1"/>
      <c r="AT485" s="1"/>
      <c r="AU485" s="1"/>
      <c r="AV485" s="1"/>
      <c r="AW485" s="1"/>
    </row>
    <row r="486" spans="2:49" ht="1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5"/>
      <c r="AO486" s="1"/>
      <c r="AP486" s="1"/>
      <c r="AQ486" s="1"/>
      <c r="AR486" s="1"/>
      <c r="AS486" s="1"/>
      <c r="AT486" s="1"/>
      <c r="AU486" s="1"/>
      <c r="AV486" s="1"/>
      <c r="AW486" s="1"/>
    </row>
    <row r="487" spans="2:49" ht="1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5"/>
      <c r="AO487" s="1"/>
      <c r="AP487" s="1"/>
      <c r="AQ487" s="1"/>
      <c r="AR487" s="1"/>
      <c r="AS487" s="1"/>
      <c r="AT487" s="1"/>
      <c r="AU487" s="1"/>
      <c r="AV487" s="1"/>
      <c r="AW487" s="1"/>
    </row>
    <row r="488" spans="2:49" ht="1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5"/>
      <c r="AO488" s="1"/>
      <c r="AP488" s="1"/>
      <c r="AQ488" s="1"/>
      <c r="AR488" s="1"/>
      <c r="AS488" s="1"/>
      <c r="AT488" s="1"/>
      <c r="AU488" s="1"/>
      <c r="AV488" s="1"/>
      <c r="AW488" s="1"/>
    </row>
  </sheetData>
  <mergeCells count="28">
    <mergeCell ref="C314:D314"/>
    <mergeCell ref="E314:F314"/>
    <mergeCell ref="C300:F300"/>
    <mergeCell ref="C301:D301"/>
    <mergeCell ref="E301:F301"/>
    <mergeCell ref="C302:D302"/>
    <mergeCell ref="E302:F302"/>
    <mergeCell ref="C303:D303"/>
    <mergeCell ref="E303:F303"/>
    <mergeCell ref="C304:D304"/>
    <mergeCell ref="E304:F304"/>
    <mergeCell ref="C305:D305"/>
    <mergeCell ref="E305:F305"/>
    <mergeCell ref="C313:F313"/>
    <mergeCell ref="C315:D315"/>
    <mergeCell ref="E315:F315"/>
    <mergeCell ref="C316:D316"/>
    <mergeCell ref="E316:F316"/>
    <mergeCell ref="C317:D317"/>
    <mergeCell ref="E317:F317"/>
    <mergeCell ref="D333:J333"/>
    <mergeCell ref="B334:B341"/>
    <mergeCell ref="C318:D318"/>
    <mergeCell ref="E318:F318"/>
    <mergeCell ref="C319:D319"/>
    <mergeCell ref="E319:F319"/>
    <mergeCell ref="C320:D320"/>
    <mergeCell ref="E320:F320"/>
  </mergeCells>
  <conditionalFormatting sqref="D335:J341 L3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">
      <colorScale>
        <cfvo type="min"/>
        <cfvo type="max"/>
        <color rgb="FFFCFCFF"/>
        <color rgb="FF63BE7B"/>
      </colorScale>
    </cfRule>
  </conditionalFormatting>
  <dataValidations count="3">
    <dataValidation type="list" allowBlank="1" showInputMessage="1" showErrorMessage="1" sqref="C325:D325" xr:uid="{DF761E36-8F09-40B4-AB2D-5CDAF40852A2}">
      <formula1>"-15,-10,-5,0,5,10,15"</formula1>
    </dataValidation>
    <dataValidation type="list" allowBlank="1" showErrorMessage="1" sqref="G114" xr:uid="{5ADA2BF9-AC87-4286-861F-A79C1612EF0B}">
      <formula1>"Regulatório,Gerencial"</formula1>
    </dataValidation>
    <dataValidation type="list" allowBlank="1" showErrorMessage="1" sqref="F83" xr:uid="{14FD6E86-508D-4C9D-920A-75306F789966}">
      <formula1>"Real,Nominal"</formula1>
    </dataValidation>
  </dataValidations>
  <pageMargins left="0.511811024" right="0.511811024" top="0.78740157499999996" bottom="0.78740157499999996" header="0" footer="0"/>
  <pageSetup paperSize="9" orientation="portrait" r:id="rId1"/>
  <ignoredErrors>
    <ignoredError sqref="K124:L127 K102:L105 P82:AM92 L60:AM69 O76:AM76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18280-AB22-4204-9BE3-7A5DF6179876}">
  <dimension ref="A1:AM38"/>
  <sheetViews>
    <sheetView showGridLines="0" workbookViewId="0"/>
  </sheetViews>
  <sheetFormatPr defaultRowHeight="13.8" x14ac:dyDescent="0.3"/>
  <cols>
    <col min="1" max="1" width="1.33203125" customWidth="1"/>
    <col min="4" max="4" width="13.88671875" customWidth="1"/>
    <col min="5" max="5" width="21.88671875" bestFit="1" customWidth="1"/>
    <col min="6" max="6" width="12.6640625" bestFit="1" customWidth="1"/>
    <col min="7" max="7" width="2.33203125" customWidth="1"/>
    <col min="8" max="8" width="24.5546875" bestFit="1" customWidth="1"/>
    <col min="9" max="9" width="12.33203125" bestFit="1" customWidth="1"/>
    <col min="10" max="10" width="14.5546875" bestFit="1" customWidth="1"/>
    <col min="11" max="11" width="13.5546875" bestFit="1" customWidth="1"/>
    <col min="12" max="12" width="15.33203125" bestFit="1" customWidth="1"/>
    <col min="13" max="14" width="2.109375" customWidth="1"/>
    <col min="15" max="15" width="15.5546875" bestFit="1" customWidth="1"/>
    <col min="16" max="39" width="11.33203125" bestFit="1" customWidth="1"/>
  </cols>
  <sheetData>
    <row r="1" spans="1:39" x14ac:dyDescent="0.3">
      <c r="O1">
        <v>1</v>
      </c>
      <c r="P1">
        <v>2</v>
      </c>
      <c r="Q1">
        <v>3</v>
      </c>
      <c r="R1">
        <v>4</v>
      </c>
      <c r="S1">
        <v>5</v>
      </c>
      <c r="T1">
        <v>6</v>
      </c>
      <c r="U1">
        <v>7</v>
      </c>
      <c r="V1">
        <v>8</v>
      </c>
      <c r="W1">
        <v>9</v>
      </c>
      <c r="X1">
        <v>10</v>
      </c>
      <c r="Y1">
        <v>11</v>
      </c>
      <c r="Z1">
        <v>12</v>
      </c>
      <c r="AA1">
        <v>13</v>
      </c>
      <c r="AB1">
        <v>14</v>
      </c>
      <c r="AC1">
        <v>15</v>
      </c>
      <c r="AD1">
        <v>16</v>
      </c>
      <c r="AE1">
        <v>17</v>
      </c>
      <c r="AF1">
        <v>18</v>
      </c>
      <c r="AG1">
        <v>19</v>
      </c>
      <c r="AH1">
        <v>20</v>
      </c>
      <c r="AI1">
        <v>21</v>
      </c>
      <c r="AJ1">
        <v>22</v>
      </c>
      <c r="AK1">
        <v>23</v>
      </c>
      <c r="AL1">
        <v>24</v>
      </c>
      <c r="AM1">
        <v>25</v>
      </c>
    </row>
    <row r="2" spans="1:39" x14ac:dyDescent="0.3">
      <c r="H2" s="518"/>
      <c r="O2">
        <v>2026</v>
      </c>
      <c r="P2">
        <v>2027</v>
      </c>
      <c r="Q2">
        <v>2028</v>
      </c>
      <c r="R2">
        <v>2029</v>
      </c>
      <c r="S2">
        <v>2030</v>
      </c>
      <c r="T2">
        <v>2031</v>
      </c>
      <c r="U2">
        <v>2032</v>
      </c>
      <c r="V2">
        <v>2033</v>
      </c>
      <c r="W2">
        <v>2034</v>
      </c>
      <c r="X2">
        <v>2035</v>
      </c>
      <c r="Y2">
        <v>2036</v>
      </c>
      <c r="Z2">
        <v>2037</v>
      </c>
      <c r="AA2">
        <v>2038</v>
      </c>
      <c r="AB2">
        <v>2039</v>
      </c>
      <c r="AC2">
        <v>2040</v>
      </c>
      <c r="AD2">
        <v>2041</v>
      </c>
      <c r="AE2">
        <v>2042</v>
      </c>
      <c r="AF2">
        <v>2043</v>
      </c>
      <c r="AG2">
        <v>2044</v>
      </c>
      <c r="AH2">
        <v>2045</v>
      </c>
      <c r="AI2">
        <v>2046</v>
      </c>
      <c r="AJ2">
        <v>2047</v>
      </c>
      <c r="AK2">
        <v>2048</v>
      </c>
      <c r="AL2">
        <v>2049</v>
      </c>
      <c r="AM2">
        <v>2050</v>
      </c>
    </row>
    <row r="3" spans="1:39" ht="6" customHeight="1" x14ac:dyDescent="0.3">
      <c r="A3" s="233"/>
      <c r="M3" s="205"/>
      <c r="N3" s="205"/>
    </row>
    <row r="4" spans="1:39" x14ac:dyDescent="0.3">
      <c r="A4" s="1"/>
      <c r="B4" s="476" t="s">
        <v>7</v>
      </c>
      <c r="C4" s="476"/>
      <c r="D4" s="476"/>
      <c r="E4" s="476"/>
      <c r="F4" s="476"/>
      <c r="G4" s="476"/>
      <c r="H4" s="476"/>
      <c r="I4" s="476"/>
      <c r="J4" s="476"/>
      <c r="K4" s="476"/>
      <c r="L4" s="477">
        <f>(SUM(O4:AM4))*(1+$D$313/100)</f>
        <v>50199257.599999994</v>
      </c>
      <c r="M4" s="165"/>
      <c r="N4" s="165"/>
      <c r="O4" s="478">
        <f>(O5+O12+O13)*(1+$D$313/100)</f>
        <v>1445866</v>
      </c>
      <c r="P4" s="478">
        <f t="shared" ref="P4:AM4" si="0">(P5+P12+P13)*(1+$D$313/100)</f>
        <v>2026470.04</v>
      </c>
      <c r="Q4" s="478">
        <f t="shared" si="0"/>
        <v>2047719.01</v>
      </c>
      <c r="R4" s="478">
        <f t="shared" si="0"/>
        <v>2026470.04</v>
      </c>
      <c r="S4" s="478">
        <f t="shared" si="0"/>
        <v>2047719.01</v>
      </c>
      <c r="T4" s="478">
        <f t="shared" si="0"/>
        <v>2026470.04</v>
      </c>
      <c r="U4" s="478">
        <f t="shared" si="0"/>
        <v>2047719.01</v>
      </c>
      <c r="V4" s="478">
        <f t="shared" si="0"/>
        <v>2026470.04</v>
      </c>
      <c r="W4" s="478">
        <f t="shared" si="0"/>
        <v>2047719.01</v>
      </c>
      <c r="X4" s="478">
        <f t="shared" si="0"/>
        <v>2026470.04</v>
      </c>
      <c r="Y4" s="478">
        <f t="shared" si="0"/>
        <v>2047719.01</v>
      </c>
      <c r="Z4" s="478">
        <f t="shared" si="0"/>
        <v>2026470.04</v>
      </c>
      <c r="AA4" s="478">
        <f t="shared" si="0"/>
        <v>2047719.01</v>
      </c>
      <c r="AB4" s="478">
        <f t="shared" si="0"/>
        <v>2026470.04</v>
      </c>
      <c r="AC4" s="478">
        <f t="shared" si="0"/>
        <v>2047719.01</v>
      </c>
      <c r="AD4" s="478">
        <f t="shared" si="0"/>
        <v>2026470.04</v>
      </c>
      <c r="AE4" s="478">
        <f t="shared" si="0"/>
        <v>2047719.01</v>
      </c>
      <c r="AF4" s="478">
        <f t="shared" si="0"/>
        <v>2026470.04</v>
      </c>
      <c r="AG4" s="478">
        <f t="shared" si="0"/>
        <v>2047719.01</v>
      </c>
      <c r="AH4" s="478">
        <f t="shared" si="0"/>
        <v>2026470.04</v>
      </c>
      <c r="AI4" s="478">
        <f t="shared" si="0"/>
        <v>2047719.01</v>
      </c>
      <c r="AJ4" s="478">
        <f t="shared" si="0"/>
        <v>2026470.04</v>
      </c>
      <c r="AK4" s="478">
        <f t="shared" si="0"/>
        <v>2047719.01</v>
      </c>
      <c r="AL4" s="478">
        <f t="shared" si="0"/>
        <v>2026470.04</v>
      </c>
      <c r="AM4" s="478">
        <f t="shared" si="0"/>
        <v>1910842.01</v>
      </c>
    </row>
    <row r="5" spans="1:39" x14ac:dyDescent="0.3">
      <c r="A5" s="1"/>
      <c r="B5" s="14" t="s">
        <v>8</v>
      </c>
      <c r="C5" s="14"/>
      <c r="D5" s="14"/>
      <c r="E5" s="14"/>
      <c r="F5" s="14"/>
      <c r="G5" s="14"/>
      <c r="H5" s="14"/>
      <c r="I5" s="166"/>
      <c r="J5" s="14"/>
      <c r="K5" s="166"/>
      <c r="L5" s="428">
        <f>SUM(O5:AM5)*(1+$D$313/100)</f>
        <v>41199257.600000001</v>
      </c>
      <c r="M5" s="183"/>
      <c r="N5" s="1"/>
      <c r="O5" s="210">
        <f t="shared" ref="O5:AM5" si="1">(SUM(O7:O11)*(1+$D$313/100))</f>
        <v>1085866</v>
      </c>
      <c r="P5" s="210">
        <f t="shared" si="1"/>
        <v>1666470.04</v>
      </c>
      <c r="Q5" s="210">
        <f t="shared" si="1"/>
        <v>1687719.01</v>
      </c>
      <c r="R5" s="210">
        <f t="shared" si="1"/>
        <v>1666470.04</v>
      </c>
      <c r="S5" s="210">
        <f t="shared" si="1"/>
        <v>1687719.01</v>
      </c>
      <c r="T5" s="210">
        <f t="shared" si="1"/>
        <v>1666470.04</v>
      </c>
      <c r="U5" s="210">
        <f t="shared" si="1"/>
        <v>1687719.01</v>
      </c>
      <c r="V5" s="210">
        <f t="shared" si="1"/>
        <v>1666470.04</v>
      </c>
      <c r="W5" s="210">
        <f t="shared" si="1"/>
        <v>1687719.01</v>
      </c>
      <c r="X5" s="210">
        <f t="shared" si="1"/>
        <v>1666470.04</v>
      </c>
      <c r="Y5" s="210">
        <f t="shared" si="1"/>
        <v>1687719.01</v>
      </c>
      <c r="Z5" s="210">
        <f t="shared" si="1"/>
        <v>1666470.04</v>
      </c>
      <c r="AA5" s="210">
        <f t="shared" si="1"/>
        <v>1687719.01</v>
      </c>
      <c r="AB5" s="210">
        <f t="shared" si="1"/>
        <v>1666470.04</v>
      </c>
      <c r="AC5" s="210">
        <f t="shared" si="1"/>
        <v>1687719.01</v>
      </c>
      <c r="AD5" s="210">
        <f t="shared" si="1"/>
        <v>1666470.04</v>
      </c>
      <c r="AE5" s="210">
        <f t="shared" si="1"/>
        <v>1687719.01</v>
      </c>
      <c r="AF5" s="210">
        <f t="shared" si="1"/>
        <v>1666470.04</v>
      </c>
      <c r="AG5" s="210">
        <f t="shared" si="1"/>
        <v>1687719.01</v>
      </c>
      <c r="AH5" s="210">
        <f t="shared" si="1"/>
        <v>1666470.04</v>
      </c>
      <c r="AI5" s="210">
        <f t="shared" si="1"/>
        <v>1687719.01</v>
      </c>
      <c r="AJ5" s="210">
        <f t="shared" si="1"/>
        <v>1666470.04</v>
      </c>
      <c r="AK5" s="210">
        <f t="shared" si="1"/>
        <v>1687719.01</v>
      </c>
      <c r="AL5" s="210">
        <f t="shared" si="1"/>
        <v>1666470.04</v>
      </c>
      <c r="AM5" s="210">
        <f t="shared" si="1"/>
        <v>1550842.01</v>
      </c>
    </row>
    <row r="6" spans="1:39" s="204" customFormat="1" x14ac:dyDescent="0.3">
      <c r="A6" s="1"/>
      <c r="B6" s="165"/>
      <c r="C6" s="201"/>
      <c r="D6" s="201"/>
      <c r="E6" s="201"/>
      <c r="F6" s="201"/>
      <c r="G6" s="201"/>
      <c r="H6" s="201"/>
      <c r="I6" s="202"/>
      <c r="J6" s="201"/>
      <c r="K6" s="202"/>
      <c r="L6" s="201"/>
      <c r="M6" s="203"/>
      <c r="N6" s="165"/>
      <c r="O6" s="519"/>
      <c r="P6" s="519"/>
      <c r="Q6" s="519"/>
      <c r="R6" s="519"/>
      <c r="S6" s="519"/>
      <c r="T6" s="519"/>
      <c r="U6" s="519"/>
      <c r="V6" s="519"/>
      <c r="W6" s="519"/>
      <c r="X6" s="519"/>
      <c r="Y6" s="519"/>
      <c r="Z6" s="519"/>
      <c r="AA6" s="519"/>
      <c r="AB6" s="519"/>
      <c r="AC6" s="519"/>
      <c r="AD6" s="519"/>
      <c r="AE6" s="519"/>
      <c r="AF6" s="519"/>
      <c r="AG6" s="519"/>
      <c r="AH6" s="519"/>
      <c r="AI6" s="519"/>
      <c r="AJ6" s="519"/>
      <c r="AK6" s="519"/>
      <c r="AL6" s="519"/>
      <c r="AM6" s="519"/>
    </row>
    <row r="7" spans="1:39" x14ac:dyDescent="0.3">
      <c r="A7" s="1"/>
      <c r="B7" s="381" t="s">
        <v>5197</v>
      </c>
      <c r="C7" s="206"/>
      <c r="D7" s="206"/>
      <c r="E7" s="206"/>
      <c r="F7" s="206"/>
      <c r="G7" s="206"/>
      <c r="H7" s="206"/>
      <c r="I7" s="207"/>
      <c r="J7" s="206"/>
      <c r="K7" s="214">
        <f>L7/$L$5</f>
        <v>0.34733295776669526</v>
      </c>
      <c r="L7" s="483">
        <f>SUM(O7:AV7)</f>
        <v>14309860</v>
      </c>
      <c r="M7" s="184"/>
      <c r="N7" s="200"/>
      <c r="O7" s="209">
        <v>388064</v>
      </c>
      <c r="P7" s="209">
        <v>582096</v>
      </c>
      <c r="Q7" s="209">
        <v>582096</v>
      </c>
      <c r="R7" s="209">
        <v>582096</v>
      </c>
      <c r="S7" s="209">
        <v>582096</v>
      </c>
      <c r="T7" s="209">
        <v>582096</v>
      </c>
      <c r="U7" s="209">
        <v>582096</v>
      </c>
      <c r="V7" s="209">
        <v>582096</v>
      </c>
      <c r="W7" s="209">
        <v>582096</v>
      </c>
      <c r="X7" s="209">
        <v>582096</v>
      </c>
      <c r="Y7" s="209">
        <v>582096</v>
      </c>
      <c r="Z7" s="209">
        <v>582096</v>
      </c>
      <c r="AA7" s="209">
        <v>582096</v>
      </c>
      <c r="AB7" s="209">
        <v>582096</v>
      </c>
      <c r="AC7" s="209">
        <v>582096</v>
      </c>
      <c r="AD7" s="209">
        <v>582096</v>
      </c>
      <c r="AE7" s="209">
        <v>582096</v>
      </c>
      <c r="AF7" s="209">
        <v>582096</v>
      </c>
      <c r="AG7" s="209">
        <v>582096</v>
      </c>
      <c r="AH7" s="209">
        <v>582096</v>
      </c>
      <c r="AI7" s="209">
        <v>582096</v>
      </c>
      <c r="AJ7" s="209">
        <v>582096</v>
      </c>
      <c r="AK7" s="209">
        <v>582096</v>
      </c>
      <c r="AL7" s="209">
        <v>582096</v>
      </c>
      <c r="AM7" s="209">
        <v>533588</v>
      </c>
    </row>
    <row r="8" spans="1:39" x14ac:dyDescent="0.3">
      <c r="A8" s="1"/>
      <c r="B8" s="168" t="s">
        <v>167</v>
      </c>
      <c r="C8" s="198"/>
      <c r="D8" s="198"/>
      <c r="E8" s="198"/>
      <c r="F8" s="595"/>
      <c r="G8" s="198"/>
      <c r="H8" s="218"/>
      <c r="I8" s="199"/>
      <c r="J8" s="198"/>
      <c r="K8" s="215">
        <f>L8/$L$5</f>
        <v>2.8641292798441104E-2</v>
      </c>
      <c r="L8" s="484">
        <f>SUM(O8:AV8)</f>
        <v>1180000</v>
      </c>
      <c r="M8" s="184"/>
      <c r="N8" s="200"/>
      <c r="O8" s="20">
        <v>32000</v>
      </c>
      <c r="P8" s="20">
        <v>48000</v>
      </c>
      <c r="Q8" s="20">
        <v>48000</v>
      </c>
      <c r="R8" s="20">
        <v>48000</v>
      </c>
      <c r="S8" s="20">
        <v>48000</v>
      </c>
      <c r="T8" s="20">
        <v>48000</v>
      </c>
      <c r="U8" s="20">
        <v>48000</v>
      </c>
      <c r="V8" s="20">
        <v>48000</v>
      </c>
      <c r="W8" s="20">
        <v>48000</v>
      </c>
      <c r="X8" s="20">
        <v>48000</v>
      </c>
      <c r="Y8" s="20">
        <v>48000</v>
      </c>
      <c r="Z8" s="20">
        <v>48000</v>
      </c>
      <c r="AA8" s="20">
        <v>48000</v>
      </c>
      <c r="AB8" s="20">
        <v>48000</v>
      </c>
      <c r="AC8" s="20">
        <v>48000</v>
      </c>
      <c r="AD8" s="20">
        <v>48000</v>
      </c>
      <c r="AE8" s="20">
        <v>48000</v>
      </c>
      <c r="AF8" s="20">
        <v>48000</v>
      </c>
      <c r="AG8" s="20">
        <v>48000</v>
      </c>
      <c r="AH8" s="20">
        <v>48000</v>
      </c>
      <c r="AI8" s="20">
        <v>48000</v>
      </c>
      <c r="AJ8" s="20">
        <v>48000</v>
      </c>
      <c r="AK8" s="20">
        <v>48000</v>
      </c>
      <c r="AL8" s="20">
        <v>48000</v>
      </c>
      <c r="AM8" s="20">
        <v>44000</v>
      </c>
    </row>
    <row r="9" spans="1:39" x14ac:dyDescent="0.3">
      <c r="A9" s="1"/>
      <c r="B9" s="168" t="s">
        <v>5201</v>
      </c>
      <c r="C9" s="198"/>
      <c r="D9" s="198"/>
      <c r="E9" s="198"/>
      <c r="F9" s="198"/>
      <c r="G9" s="198"/>
      <c r="H9" s="218"/>
      <c r="I9" s="199"/>
      <c r="J9" s="198"/>
      <c r="K9" s="215">
        <f t="shared" ref="K9:K11" si="2">L9/$L$5</f>
        <v>0.4034643332990544</v>
      </c>
      <c r="L9" s="484">
        <f>SUM(O9:AV9)</f>
        <v>16622431</v>
      </c>
      <c r="M9" s="184"/>
      <c r="N9" s="200"/>
      <c r="O9" s="20">
        <v>442952</v>
      </c>
      <c r="P9" s="20">
        <v>676452</v>
      </c>
      <c r="Q9" s="20">
        <v>676452</v>
      </c>
      <c r="R9" s="20">
        <v>676452</v>
      </c>
      <c r="S9" s="20">
        <v>676452</v>
      </c>
      <c r="T9" s="20">
        <v>676452</v>
      </c>
      <c r="U9" s="20">
        <v>676452</v>
      </c>
      <c r="V9" s="20">
        <v>676452</v>
      </c>
      <c r="W9" s="20">
        <v>676452</v>
      </c>
      <c r="X9" s="20">
        <v>676452</v>
      </c>
      <c r="Y9" s="20">
        <v>676452</v>
      </c>
      <c r="Z9" s="20">
        <v>676452</v>
      </c>
      <c r="AA9" s="20">
        <v>676452</v>
      </c>
      <c r="AB9" s="20">
        <v>676452</v>
      </c>
      <c r="AC9" s="20">
        <v>676452</v>
      </c>
      <c r="AD9" s="20">
        <v>676452</v>
      </c>
      <c r="AE9" s="20">
        <v>676452</v>
      </c>
      <c r="AF9" s="20">
        <v>676452</v>
      </c>
      <c r="AG9" s="20">
        <v>676452</v>
      </c>
      <c r="AH9" s="20">
        <v>676452</v>
      </c>
      <c r="AI9" s="20">
        <v>676452</v>
      </c>
      <c r="AJ9" s="20">
        <v>676452</v>
      </c>
      <c r="AK9" s="20">
        <v>676452</v>
      </c>
      <c r="AL9" s="20">
        <v>676452</v>
      </c>
      <c r="AM9" s="20">
        <v>621083</v>
      </c>
    </row>
    <row r="10" spans="1:39" x14ac:dyDescent="0.3">
      <c r="A10" s="1"/>
      <c r="B10" s="168" t="s">
        <v>5202</v>
      </c>
      <c r="C10" s="17"/>
      <c r="D10" s="17"/>
      <c r="E10" s="17"/>
      <c r="F10" s="17"/>
      <c r="G10" s="17"/>
      <c r="H10" s="219"/>
      <c r="I10" s="34"/>
      <c r="J10" s="17"/>
      <c r="K10" s="215">
        <f t="shared" si="2"/>
        <v>0.1203168913412653</v>
      </c>
      <c r="L10" s="484">
        <f>SUM(O10:AV10)</f>
        <v>4956966.5999999987</v>
      </c>
      <c r="M10" s="183"/>
      <c r="N10" s="1"/>
      <c r="O10" s="20">
        <v>110850</v>
      </c>
      <c r="P10" s="20">
        <v>191922.04</v>
      </c>
      <c r="Q10" s="20">
        <v>213171.01</v>
      </c>
      <c r="R10" s="20">
        <v>191922.04</v>
      </c>
      <c r="S10" s="20">
        <v>213171.01</v>
      </c>
      <c r="T10" s="20">
        <v>191922.04</v>
      </c>
      <c r="U10" s="20">
        <v>213171.01</v>
      </c>
      <c r="V10" s="20">
        <v>191922.04</v>
      </c>
      <c r="W10" s="20">
        <v>213171.01</v>
      </c>
      <c r="X10" s="20">
        <v>191922.04</v>
      </c>
      <c r="Y10" s="20">
        <v>213171.01</v>
      </c>
      <c r="Z10" s="20">
        <v>191922.04</v>
      </c>
      <c r="AA10" s="20">
        <v>213171.01</v>
      </c>
      <c r="AB10" s="20">
        <v>191922.04</v>
      </c>
      <c r="AC10" s="20">
        <v>213171.01</v>
      </c>
      <c r="AD10" s="20">
        <v>191922.04</v>
      </c>
      <c r="AE10" s="20">
        <v>213171.01</v>
      </c>
      <c r="AF10" s="20">
        <v>191922.04</v>
      </c>
      <c r="AG10" s="20">
        <v>213171.01</v>
      </c>
      <c r="AH10" s="20">
        <v>191922.04</v>
      </c>
      <c r="AI10" s="20">
        <v>213171.01</v>
      </c>
      <c r="AJ10" s="20">
        <v>191922.04</v>
      </c>
      <c r="AK10" s="20">
        <v>213171.01</v>
      </c>
      <c r="AL10" s="20">
        <v>191922.04</v>
      </c>
      <c r="AM10" s="20">
        <v>198171.01</v>
      </c>
    </row>
    <row r="11" spans="1:39" x14ac:dyDescent="0.3">
      <c r="A11" s="1"/>
      <c r="B11" s="168" t="s">
        <v>5204</v>
      </c>
      <c r="C11" s="17"/>
      <c r="D11" s="17"/>
      <c r="E11" s="17"/>
      <c r="F11" s="480"/>
      <c r="G11" s="17"/>
      <c r="H11" s="219"/>
      <c r="I11" s="34"/>
      <c r="J11" s="17"/>
      <c r="K11" s="215">
        <f t="shared" si="2"/>
        <v>0.10024452479454386</v>
      </c>
      <c r="L11" s="484">
        <f t="shared" ref="L11:L13" si="3">SUM(O11:AV11)</f>
        <v>4130000</v>
      </c>
      <c r="M11" s="1"/>
      <c r="N11" s="1"/>
      <c r="O11" s="380">
        <v>112000</v>
      </c>
      <c r="P11" s="380">
        <v>168000</v>
      </c>
      <c r="Q11" s="380">
        <v>168000</v>
      </c>
      <c r="R11" s="380">
        <v>168000</v>
      </c>
      <c r="S11" s="380">
        <v>168000</v>
      </c>
      <c r="T11" s="380">
        <v>168000</v>
      </c>
      <c r="U11" s="380">
        <v>168000</v>
      </c>
      <c r="V11" s="380">
        <v>168000</v>
      </c>
      <c r="W11" s="380">
        <v>168000</v>
      </c>
      <c r="X11" s="380">
        <v>168000</v>
      </c>
      <c r="Y11" s="380">
        <v>168000</v>
      </c>
      <c r="Z11" s="380">
        <v>168000</v>
      </c>
      <c r="AA11" s="380">
        <v>168000</v>
      </c>
      <c r="AB11" s="380">
        <v>168000</v>
      </c>
      <c r="AC11" s="380">
        <v>168000</v>
      </c>
      <c r="AD11" s="380">
        <v>168000</v>
      </c>
      <c r="AE11" s="380">
        <v>168000</v>
      </c>
      <c r="AF11" s="380">
        <v>168000</v>
      </c>
      <c r="AG11" s="380">
        <v>168000</v>
      </c>
      <c r="AH11" s="380">
        <v>168000</v>
      </c>
      <c r="AI11" s="380">
        <v>168000</v>
      </c>
      <c r="AJ11" s="380">
        <v>168000</v>
      </c>
      <c r="AK11" s="380">
        <v>168000</v>
      </c>
      <c r="AL11" s="380">
        <v>168000</v>
      </c>
      <c r="AM11" s="380">
        <v>154000</v>
      </c>
    </row>
    <row r="12" spans="1:39" x14ac:dyDescent="0.3">
      <c r="A12" s="1"/>
      <c r="B12" s="614" t="s">
        <v>162</v>
      </c>
      <c r="C12" s="614"/>
      <c r="D12" s="614"/>
      <c r="E12" s="614"/>
      <c r="F12" s="615">
        <v>25000</v>
      </c>
      <c r="G12" s="614"/>
      <c r="H12" s="614"/>
      <c r="I12" s="614"/>
      <c r="J12" s="614"/>
      <c r="K12" s="596"/>
      <c r="L12" s="613">
        <f t="shared" si="3"/>
        <v>7500000</v>
      </c>
      <c r="M12" s="1"/>
      <c r="N12" s="1"/>
      <c r="O12" s="23">
        <f>F12*12</f>
        <v>300000</v>
      </c>
      <c r="P12" s="23">
        <f>O12</f>
        <v>300000</v>
      </c>
      <c r="Q12" s="23">
        <f t="shared" ref="Q12:AM12" si="4">P12</f>
        <v>300000</v>
      </c>
      <c r="R12" s="23">
        <f t="shared" si="4"/>
        <v>300000</v>
      </c>
      <c r="S12" s="23">
        <f t="shared" si="4"/>
        <v>300000</v>
      </c>
      <c r="T12" s="23">
        <f t="shared" si="4"/>
        <v>300000</v>
      </c>
      <c r="U12" s="23">
        <f t="shared" si="4"/>
        <v>300000</v>
      </c>
      <c r="V12" s="23">
        <f t="shared" si="4"/>
        <v>300000</v>
      </c>
      <c r="W12" s="23">
        <f t="shared" si="4"/>
        <v>300000</v>
      </c>
      <c r="X12" s="23">
        <f t="shared" si="4"/>
        <v>300000</v>
      </c>
      <c r="Y12" s="23">
        <f t="shared" si="4"/>
        <v>300000</v>
      </c>
      <c r="Z12" s="23">
        <f t="shared" si="4"/>
        <v>300000</v>
      </c>
      <c r="AA12" s="23">
        <f t="shared" si="4"/>
        <v>300000</v>
      </c>
      <c r="AB12" s="23">
        <f t="shared" si="4"/>
        <v>300000</v>
      </c>
      <c r="AC12" s="23">
        <f t="shared" si="4"/>
        <v>300000</v>
      </c>
      <c r="AD12" s="23">
        <f t="shared" si="4"/>
        <v>300000</v>
      </c>
      <c r="AE12" s="23">
        <f t="shared" si="4"/>
        <v>300000</v>
      </c>
      <c r="AF12" s="23">
        <f t="shared" si="4"/>
        <v>300000</v>
      </c>
      <c r="AG12" s="23">
        <f t="shared" si="4"/>
        <v>300000</v>
      </c>
      <c r="AH12" s="23">
        <f t="shared" si="4"/>
        <v>300000</v>
      </c>
      <c r="AI12" s="23">
        <f t="shared" si="4"/>
        <v>300000</v>
      </c>
      <c r="AJ12" s="23">
        <f t="shared" si="4"/>
        <v>300000</v>
      </c>
      <c r="AK12" s="23">
        <f t="shared" si="4"/>
        <v>300000</v>
      </c>
      <c r="AL12" s="23">
        <f t="shared" si="4"/>
        <v>300000</v>
      </c>
      <c r="AM12" s="23">
        <f t="shared" si="4"/>
        <v>300000</v>
      </c>
    </row>
    <row r="13" spans="1:39" x14ac:dyDescent="0.3">
      <c r="A13" s="1"/>
      <c r="B13" s="599" t="s">
        <v>5362</v>
      </c>
      <c r="C13" s="599"/>
      <c r="D13" s="599"/>
      <c r="E13" s="599"/>
      <c r="F13" s="615">
        <v>5000</v>
      </c>
      <c r="G13" s="599"/>
      <c r="H13" s="599"/>
      <c r="I13" s="599"/>
      <c r="J13" s="599"/>
      <c r="K13" s="600"/>
      <c r="L13" s="616">
        <f t="shared" si="3"/>
        <v>1500000</v>
      </c>
      <c r="M13" s="1"/>
      <c r="N13" s="1"/>
      <c r="O13" s="604">
        <f>$F$13*12</f>
        <v>60000</v>
      </c>
      <c r="P13" s="604">
        <f t="shared" ref="P13:AM13" si="5">$F$13*12</f>
        <v>60000</v>
      </c>
      <c r="Q13" s="604">
        <f t="shared" si="5"/>
        <v>60000</v>
      </c>
      <c r="R13" s="604">
        <f t="shared" si="5"/>
        <v>60000</v>
      </c>
      <c r="S13" s="604">
        <f t="shared" si="5"/>
        <v>60000</v>
      </c>
      <c r="T13" s="604">
        <f t="shared" si="5"/>
        <v>60000</v>
      </c>
      <c r="U13" s="604">
        <f t="shared" si="5"/>
        <v>60000</v>
      </c>
      <c r="V13" s="604">
        <f t="shared" si="5"/>
        <v>60000</v>
      </c>
      <c r="W13" s="604">
        <f t="shared" si="5"/>
        <v>60000</v>
      </c>
      <c r="X13" s="604">
        <f t="shared" si="5"/>
        <v>60000</v>
      </c>
      <c r="Y13" s="604">
        <f t="shared" si="5"/>
        <v>60000</v>
      </c>
      <c r="Z13" s="604">
        <f t="shared" si="5"/>
        <v>60000</v>
      </c>
      <c r="AA13" s="604">
        <f t="shared" si="5"/>
        <v>60000</v>
      </c>
      <c r="AB13" s="604">
        <f t="shared" si="5"/>
        <v>60000</v>
      </c>
      <c r="AC13" s="604">
        <f t="shared" si="5"/>
        <v>60000</v>
      </c>
      <c r="AD13" s="604">
        <f t="shared" si="5"/>
        <v>60000</v>
      </c>
      <c r="AE13" s="604">
        <f t="shared" si="5"/>
        <v>60000</v>
      </c>
      <c r="AF13" s="604">
        <f t="shared" si="5"/>
        <v>60000</v>
      </c>
      <c r="AG13" s="604">
        <f t="shared" si="5"/>
        <v>60000</v>
      </c>
      <c r="AH13" s="604">
        <f t="shared" si="5"/>
        <v>60000</v>
      </c>
      <c r="AI13" s="604">
        <f t="shared" si="5"/>
        <v>60000</v>
      </c>
      <c r="AJ13" s="604">
        <f t="shared" si="5"/>
        <v>60000</v>
      </c>
      <c r="AK13" s="604">
        <f t="shared" si="5"/>
        <v>60000</v>
      </c>
      <c r="AL13" s="604">
        <f t="shared" si="5"/>
        <v>60000</v>
      </c>
      <c r="AM13" s="604">
        <f t="shared" si="5"/>
        <v>60000</v>
      </c>
    </row>
    <row r="14" spans="1:39" x14ac:dyDescent="0.3">
      <c r="A14" s="1"/>
      <c r="B14" s="25"/>
      <c r="C14" s="25"/>
      <c r="D14" s="25"/>
      <c r="E14" s="25"/>
      <c r="F14" s="25"/>
      <c r="G14" s="25"/>
      <c r="H14" s="25"/>
      <c r="I14" s="25"/>
      <c r="J14" s="173"/>
      <c r="K14" s="25"/>
      <c r="L14" s="26"/>
      <c r="M14" s="1"/>
      <c r="N14" s="1"/>
      <c r="O14" s="26"/>
      <c r="P14" s="169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</row>
    <row r="15" spans="1:39" x14ac:dyDescent="0.3">
      <c r="A15" s="1"/>
      <c r="B15" s="476" t="s">
        <v>11</v>
      </c>
      <c r="C15" s="476"/>
      <c r="D15" s="476"/>
      <c r="E15" s="476"/>
      <c r="F15" s="476"/>
      <c r="G15" s="476"/>
      <c r="H15" s="476"/>
      <c r="I15" s="476"/>
      <c r="J15" s="476"/>
      <c r="K15" s="476"/>
      <c r="L15" s="477">
        <f>(SUM(O15:AM15))</f>
        <v>28582463.9082353</v>
      </c>
      <c r="M15" s="107"/>
      <c r="N15" s="107"/>
      <c r="O15" s="478">
        <f>(O16+O24)</f>
        <v>7807790.7896470604</v>
      </c>
      <c r="P15" s="478">
        <f t="shared" ref="P15:AM15" si="6">(P16+P24)</f>
        <v>0</v>
      </c>
      <c r="Q15" s="478">
        <f t="shared" si="6"/>
        <v>0</v>
      </c>
      <c r="R15" s="478">
        <f t="shared" si="6"/>
        <v>0</v>
      </c>
      <c r="S15" s="478">
        <f t="shared" si="6"/>
        <v>4035905.2256470593</v>
      </c>
      <c r="T15" s="478">
        <f t="shared" si="6"/>
        <v>0</v>
      </c>
      <c r="U15" s="478">
        <f t="shared" si="6"/>
        <v>0</v>
      </c>
      <c r="V15" s="478">
        <f t="shared" si="6"/>
        <v>668976.08999999985</v>
      </c>
      <c r="W15" s="478">
        <f t="shared" si="6"/>
        <v>879868.94</v>
      </c>
      <c r="X15" s="478">
        <f t="shared" si="6"/>
        <v>0</v>
      </c>
      <c r="Y15" s="478">
        <f t="shared" si="6"/>
        <v>3985177.0256470591</v>
      </c>
      <c r="Z15" s="478">
        <f t="shared" si="6"/>
        <v>0</v>
      </c>
      <c r="AA15" s="478">
        <f t="shared" si="6"/>
        <v>916570.66599999997</v>
      </c>
      <c r="AB15" s="478">
        <f t="shared" si="6"/>
        <v>0</v>
      </c>
      <c r="AC15" s="478">
        <f t="shared" si="6"/>
        <v>0</v>
      </c>
      <c r="AD15" s="478">
        <f t="shared" si="6"/>
        <v>4653424.9156470578</v>
      </c>
      <c r="AE15" s="478">
        <f t="shared" si="6"/>
        <v>50000</v>
      </c>
      <c r="AF15" s="478">
        <f t="shared" si="6"/>
        <v>830597.1399999999</v>
      </c>
      <c r="AG15" s="478">
        <f t="shared" si="6"/>
        <v>0</v>
      </c>
      <c r="AH15" s="478">
        <f t="shared" si="6"/>
        <v>0</v>
      </c>
      <c r="AI15" s="478">
        <f t="shared" si="6"/>
        <v>4035177.0256470591</v>
      </c>
      <c r="AJ15" s="478">
        <f t="shared" si="6"/>
        <v>0</v>
      </c>
      <c r="AK15" s="478">
        <f t="shared" si="6"/>
        <v>668976.08999999985</v>
      </c>
      <c r="AL15" s="478">
        <f t="shared" si="6"/>
        <v>0</v>
      </c>
      <c r="AM15" s="478">
        <f t="shared" si="6"/>
        <v>50000</v>
      </c>
    </row>
    <row r="16" spans="1:39" x14ac:dyDescent="0.3">
      <c r="A16" s="1"/>
      <c r="B16" s="29" t="s">
        <v>12</v>
      </c>
      <c r="C16" s="29"/>
      <c r="D16" s="29"/>
      <c r="E16" s="29"/>
      <c r="F16" s="29"/>
      <c r="G16" s="29"/>
      <c r="H16" s="29"/>
      <c r="I16" s="29"/>
      <c r="J16" s="29"/>
      <c r="K16" s="30" t="s">
        <v>13</v>
      </c>
      <c r="L16" s="194">
        <f>(L18+L19+L22+L20+L21)</f>
        <v>7207790.7896470604</v>
      </c>
      <c r="M16" s="1"/>
      <c r="N16" s="1"/>
      <c r="O16" s="31">
        <f>(O18+O19+O22+O20+O21+O23)</f>
        <v>7207790.7896470604</v>
      </c>
      <c r="P16" s="31">
        <f t="shared" ref="P16:AM16" si="7">(P18+P19+P22+P20+P21+P23)</f>
        <v>0</v>
      </c>
      <c r="Q16" s="31">
        <f t="shared" si="7"/>
        <v>0</v>
      </c>
      <c r="R16" s="31">
        <f t="shared" si="7"/>
        <v>0</v>
      </c>
      <c r="S16" s="31">
        <f t="shared" si="7"/>
        <v>4035905.2256470593</v>
      </c>
      <c r="T16" s="31">
        <f t="shared" si="7"/>
        <v>0</v>
      </c>
      <c r="U16" s="31">
        <f t="shared" si="7"/>
        <v>0</v>
      </c>
      <c r="V16" s="31">
        <f t="shared" si="7"/>
        <v>668976.08999999985</v>
      </c>
      <c r="W16" s="31">
        <f t="shared" si="7"/>
        <v>879868.94</v>
      </c>
      <c r="X16" s="31">
        <f t="shared" si="7"/>
        <v>0</v>
      </c>
      <c r="Y16" s="31">
        <f t="shared" si="7"/>
        <v>3985177.0256470591</v>
      </c>
      <c r="Z16" s="31">
        <f t="shared" si="7"/>
        <v>0</v>
      </c>
      <c r="AA16" s="31">
        <f t="shared" si="7"/>
        <v>916570.66599999997</v>
      </c>
      <c r="AB16" s="31">
        <f t="shared" si="7"/>
        <v>0</v>
      </c>
      <c r="AC16" s="31">
        <f t="shared" si="7"/>
        <v>0</v>
      </c>
      <c r="AD16" s="31">
        <f t="shared" si="7"/>
        <v>4653424.9156470578</v>
      </c>
      <c r="AE16" s="31">
        <f t="shared" si="7"/>
        <v>50000</v>
      </c>
      <c r="AF16" s="31">
        <f t="shared" si="7"/>
        <v>830597.1399999999</v>
      </c>
      <c r="AG16" s="31">
        <f t="shared" si="7"/>
        <v>0</v>
      </c>
      <c r="AH16" s="31">
        <f t="shared" si="7"/>
        <v>0</v>
      </c>
      <c r="AI16" s="31">
        <f t="shared" si="7"/>
        <v>4035177.0256470591</v>
      </c>
      <c r="AJ16" s="31">
        <f t="shared" si="7"/>
        <v>0</v>
      </c>
      <c r="AK16" s="31">
        <f t="shared" si="7"/>
        <v>668976.08999999985</v>
      </c>
      <c r="AL16" s="31">
        <f t="shared" si="7"/>
        <v>0</v>
      </c>
      <c r="AM16" s="31">
        <f t="shared" si="7"/>
        <v>50000</v>
      </c>
    </row>
    <row r="17" spans="1:39" s="36" customFormat="1" x14ac:dyDescent="0.3">
      <c r="A17" s="1"/>
      <c r="B17" s="32"/>
      <c r="C17" s="32"/>
      <c r="D17" s="32"/>
      <c r="E17" s="32"/>
      <c r="F17" s="32"/>
      <c r="G17" s="185"/>
      <c r="H17" s="187"/>
      <c r="J17" s="185"/>
      <c r="K17" s="33"/>
      <c r="L17" s="167"/>
      <c r="M17" s="35"/>
      <c r="N17" s="35"/>
    </row>
    <row r="18" spans="1:39" x14ac:dyDescent="0.3">
      <c r="A18" s="1"/>
      <c r="B18" s="19" t="s">
        <v>5198</v>
      </c>
      <c r="C18" s="19"/>
      <c r="D18" s="19"/>
      <c r="E18" s="19"/>
      <c r="F18" s="19"/>
      <c r="G18" s="19"/>
      <c r="H18" s="46"/>
      <c r="I18" s="188"/>
      <c r="J18" s="19"/>
      <c r="K18" s="38">
        <f>L18/$L$16</f>
        <v>0.34559067874513494</v>
      </c>
      <c r="L18" s="223">
        <f>SUM(O18:AM18)</f>
        <v>2490945.3112470596</v>
      </c>
      <c r="M18" s="165"/>
      <c r="N18" s="165"/>
      <c r="O18" s="20">
        <v>2490945.3112470596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</row>
    <row r="19" spans="1:39" x14ac:dyDescent="0.3">
      <c r="A19" s="1"/>
      <c r="B19" s="19" t="s">
        <v>167</v>
      </c>
      <c r="C19" s="19"/>
      <c r="D19" s="19"/>
      <c r="E19" s="19"/>
      <c r="F19" s="19"/>
      <c r="G19" s="19"/>
      <c r="H19" s="188"/>
      <c r="I19" s="188"/>
      <c r="J19" s="19"/>
      <c r="K19" s="38">
        <f t="shared" ref="K19:K22" si="8">L19/$L$16</f>
        <v>0.51028768971527005</v>
      </c>
      <c r="L19" s="223">
        <f>SUM(O19:AM19)</f>
        <v>3678046.91</v>
      </c>
      <c r="M19" s="1"/>
      <c r="N19" s="1"/>
      <c r="O19" s="20">
        <v>3678046.91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</row>
    <row r="20" spans="1:39" x14ac:dyDescent="0.3">
      <c r="A20" s="1"/>
      <c r="B20" s="19" t="s">
        <v>5199</v>
      </c>
      <c r="C20" s="19"/>
      <c r="D20" s="19"/>
      <c r="E20" s="19"/>
      <c r="F20" s="19"/>
      <c r="G20" s="19"/>
      <c r="H20" s="188"/>
      <c r="I20" s="19"/>
      <c r="J20" s="19"/>
      <c r="K20" s="38">
        <f t="shared" si="8"/>
        <v>0.10978378694572891</v>
      </c>
      <c r="L20" s="223">
        <f t="shared" ref="L20:L23" si="9">SUM(O20:AM20)</f>
        <v>791298.56839999999</v>
      </c>
      <c r="M20" s="1"/>
      <c r="N20" s="1"/>
      <c r="O20" s="20">
        <v>791298.56839999999</v>
      </c>
      <c r="P20" s="380">
        <v>0</v>
      </c>
      <c r="Q20" s="380">
        <v>0</v>
      </c>
      <c r="R20" s="380">
        <v>0</v>
      </c>
      <c r="S20" s="380">
        <v>0</v>
      </c>
      <c r="T20" s="380">
        <v>0</v>
      </c>
      <c r="U20" s="380">
        <v>0</v>
      </c>
      <c r="V20" s="380">
        <v>0</v>
      </c>
      <c r="W20" s="380">
        <v>0</v>
      </c>
      <c r="X20" s="380">
        <v>0</v>
      </c>
      <c r="Y20" s="380">
        <v>0</v>
      </c>
      <c r="Z20" s="380">
        <v>0</v>
      </c>
      <c r="AA20" s="380">
        <v>0</v>
      </c>
      <c r="AB20" s="380">
        <v>0</v>
      </c>
      <c r="AC20" s="380">
        <v>0</v>
      </c>
      <c r="AD20" s="380">
        <v>0</v>
      </c>
      <c r="AE20" s="380">
        <v>0</v>
      </c>
      <c r="AF20" s="380">
        <v>0</v>
      </c>
      <c r="AG20" s="380">
        <v>0</v>
      </c>
      <c r="AH20" s="380">
        <v>0</v>
      </c>
      <c r="AI20" s="380">
        <v>0</v>
      </c>
      <c r="AJ20" s="380">
        <v>0</v>
      </c>
      <c r="AK20" s="380">
        <v>0</v>
      </c>
      <c r="AL20" s="380">
        <v>0</v>
      </c>
      <c r="AM20" s="380">
        <v>0</v>
      </c>
    </row>
    <row r="21" spans="1:39" x14ac:dyDescent="0.3">
      <c r="A21" s="1"/>
      <c r="B21" s="19" t="s">
        <v>5203</v>
      </c>
      <c r="C21" s="19"/>
      <c r="D21" s="19"/>
      <c r="E21" s="19"/>
      <c r="F21" s="19"/>
      <c r="G21" s="19"/>
      <c r="H21" s="19"/>
      <c r="I21" s="220"/>
      <c r="J21" s="19"/>
      <c r="K21" s="38">
        <f t="shared" si="8"/>
        <v>2.4626130971358497E-2</v>
      </c>
      <c r="L21" s="223">
        <f t="shared" si="9"/>
        <v>177500</v>
      </c>
      <c r="M21" s="1"/>
      <c r="N21" s="1"/>
      <c r="O21" s="20">
        <v>177500</v>
      </c>
      <c r="P21" s="380">
        <v>0</v>
      </c>
      <c r="Q21" s="380">
        <v>0</v>
      </c>
      <c r="R21" s="380">
        <v>0</v>
      </c>
      <c r="S21" s="380">
        <v>0</v>
      </c>
      <c r="T21" s="380">
        <v>0</v>
      </c>
      <c r="U21" s="380">
        <v>0</v>
      </c>
      <c r="V21" s="380">
        <v>0</v>
      </c>
      <c r="W21" s="380">
        <v>0</v>
      </c>
      <c r="X21" s="380">
        <v>0</v>
      </c>
      <c r="Y21" s="380">
        <v>0</v>
      </c>
      <c r="Z21" s="380">
        <v>0</v>
      </c>
      <c r="AA21" s="380">
        <v>0</v>
      </c>
      <c r="AB21" s="380">
        <v>0</v>
      </c>
      <c r="AC21" s="380">
        <v>0</v>
      </c>
      <c r="AD21" s="380">
        <v>0</v>
      </c>
      <c r="AE21" s="380">
        <v>0</v>
      </c>
      <c r="AF21" s="380">
        <v>0</v>
      </c>
      <c r="AG21" s="380">
        <v>0</v>
      </c>
      <c r="AH21" s="380">
        <v>0</v>
      </c>
      <c r="AI21" s="380">
        <v>0</v>
      </c>
      <c r="AJ21" s="380">
        <v>0</v>
      </c>
      <c r="AK21" s="380">
        <v>0</v>
      </c>
      <c r="AL21" s="380">
        <v>0</v>
      </c>
      <c r="AM21" s="380">
        <v>0</v>
      </c>
    </row>
    <row r="22" spans="1:39" x14ac:dyDescent="0.3">
      <c r="A22" s="1"/>
      <c r="B22" s="19" t="s">
        <v>5200</v>
      </c>
      <c r="C22" s="19"/>
      <c r="D22" s="19"/>
      <c r="E22" s="19"/>
      <c r="F22" s="19"/>
      <c r="G22" s="19"/>
      <c r="H22" s="19"/>
      <c r="I22" s="46"/>
      <c r="J22" s="19"/>
      <c r="K22" s="38">
        <f t="shared" si="8"/>
        <v>9.711713622507577E-3</v>
      </c>
      <c r="L22" s="223">
        <f t="shared" si="9"/>
        <v>70000</v>
      </c>
      <c r="M22" s="1"/>
      <c r="N22" s="1"/>
      <c r="O22" s="20">
        <v>70000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</row>
    <row r="23" spans="1:39" x14ac:dyDescent="0.3">
      <c r="A23" s="1"/>
      <c r="B23" s="19" t="s">
        <v>14</v>
      </c>
      <c r="C23" s="19"/>
      <c r="D23" s="19"/>
      <c r="E23" s="19"/>
      <c r="F23" s="19"/>
      <c r="G23" s="19"/>
      <c r="H23" s="19"/>
      <c r="I23" s="19"/>
      <c r="J23" s="19"/>
      <c r="K23" s="38"/>
      <c r="L23" s="223">
        <f t="shared" si="9"/>
        <v>20774673.118588235</v>
      </c>
      <c r="M23" s="1"/>
      <c r="N23" s="1"/>
      <c r="O23" s="20">
        <v>0</v>
      </c>
      <c r="P23" s="380">
        <v>0</v>
      </c>
      <c r="Q23" s="380">
        <v>0</v>
      </c>
      <c r="R23" s="380">
        <v>0</v>
      </c>
      <c r="S23" s="380">
        <v>4035905.2256470593</v>
      </c>
      <c r="T23" s="380">
        <v>0</v>
      </c>
      <c r="U23" s="380">
        <v>0</v>
      </c>
      <c r="V23" s="380">
        <v>668976.08999999985</v>
      </c>
      <c r="W23" s="380">
        <v>879868.94</v>
      </c>
      <c r="X23" s="380">
        <v>0</v>
      </c>
      <c r="Y23" s="380">
        <v>3985177.0256470591</v>
      </c>
      <c r="Z23" s="380">
        <v>0</v>
      </c>
      <c r="AA23" s="380">
        <v>916570.66599999997</v>
      </c>
      <c r="AB23" s="380">
        <v>0</v>
      </c>
      <c r="AC23" s="380">
        <v>0</v>
      </c>
      <c r="AD23" s="380">
        <v>4653424.9156470578</v>
      </c>
      <c r="AE23" s="380">
        <v>50000</v>
      </c>
      <c r="AF23" s="380">
        <v>830597.1399999999</v>
      </c>
      <c r="AG23" s="380">
        <v>0</v>
      </c>
      <c r="AH23" s="380">
        <v>0</v>
      </c>
      <c r="AI23" s="380">
        <v>4035177.0256470591</v>
      </c>
      <c r="AJ23" s="380">
        <v>0</v>
      </c>
      <c r="AK23" s="380">
        <v>668976.08999999985</v>
      </c>
      <c r="AL23" s="380">
        <v>0</v>
      </c>
      <c r="AM23" s="380">
        <v>50000</v>
      </c>
    </row>
    <row r="24" spans="1:39" x14ac:dyDescent="0.3">
      <c r="B24" s="19" t="s">
        <v>16</v>
      </c>
      <c r="C24" s="19"/>
      <c r="D24" s="19"/>
      <c r="E24" s="19"/>
      <c r="F24" s="540"/>
      <c r="G24" s="19"/>
      <c r="H24" s="19"/>
      <c r="I24" s="19"/>
      <c r="J24" s="19"/>
      <c r="K24" s="38"/>
      <c r="L24" s="167">
        <v>600000</v>
      </c>
      <c r="M24" s="1"/>
      <c r="N24" s="1"/>
      <c r="O24" s="20">
        <f>$L$24</f>
        <v>600000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</row>
    <row r="25" spans="1:39" s="1" customFormat="1" x14ac:dyDescent="0.3">
      <c r="A25"/>
      <c r="B25" s="183"/>
      <c r="C25" s="183"/>
      <c r="D25" s="183"/>
      <c r="E25" s="183"/>
      <c r="F25" s="541"/>
      <c r="G25" s="183"/>
      <c r="H25" s="183"/>
      <c r="I25" s="183"/>
      <c r="J25" s="183"/>
      <c r="K25" s="542"/>
      <c r="L25" s="543"/>
    </row>
    <row r="26" spans="1:39" s="1" customFormat="1" x14ac:dyDescent="0.3">
      <c r="A26"/>
      <c r="B26" s="476" t="s">
        <v>5323</v>
      </c>
      <c r="C26" s="476"/>
      <c r="D26" s="476"/>
      <c r="E26" s="476"/>
      <c r="F26" s="476"/>
      <c r="G26" s="476"/>
      <c r="H26" s="476"/>
      <c r="I26" s="476" t="s">
        <v>5324</v>
      </c>
      <c r="J26" s="545">
        <v>0</v>
      </c>
      <c r="K26" s="544">
        <f>SUM(AR:SM!O27)</f>
        <v>0</v>
      </c>
      <c r="L26" s="478">
        <f>SUM(O26:AM26)</f>
        <v>0</v>
      </c>
      <c r="O26" s="478">
        <f>SUM(AR:SM!O27)*$J$26</f>
        <v>0</v>
      </c>
      <c r="P26" s="476">
        <v>0</v>
      </c>
      <c r="Q26" s="476">
        <v>0</v>
      </c>
      <c r="R26" s="476">
        <v>0</v>
      </c>
      <c r="S26" s="476">
        <v>0</v>
      </c>
      <c r="T26" s="476">
        <v>0</v>
      </c>
      <c r="U26" s="476">
        <v>0</v>
      </c>
      <c r="V26" s="476">
        <v>0</v>
      </c>
      <c r="W26" s="476">
        <v>0</v>
      </c>
      <c r="X26" s="476">
        <v>0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0</v>
      </c>
      <c r="AK26" s="476">
        <v>0</v>
      </c>
      <c r="AL26" s="476">
        <v>0</v>
      </c>
      <c r="AM26" s="476">
        <v>0</v>
      </c>
    </row>
    <row r="27" spans="1:39" s="1" customFormat="1" x14ac:dyDescent="0.3">
      <c r="A27"/>
      <c r="B27" s="41" t="s">
        <v>5323</v>
      </c>
      <c r="C27" s="41"/>
      <c r="D27" s="41"/>
      <c r="E27" s="41"/>
      <c r="F27" s="41"/>
      <c r="G27" s="41"/>
      <c r="H27" s="41"/>
      <c r="I27" s="41"/>
      <c r="J27" s="41"/>
      <c r="K27" s="41"/>
      <c r="L27" s="15">
        <f>SUM(O27:AM27)</f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</row>
    <row r="28" spans="1:39" s="1" customFormat="1" x14ac:dyDescent="0.3">
      <c r="A28"/>
      <c r="B28" s="183"/>
      <c r="C28" s="183"/>
      <c r="D28" s="183"/>
      <c r="E28" s="183"/>
      <c r="F28" s="541"/>
      <c r="G28" s="183"/>
      <c r="H28" s="183"/>
      <c r="I28" s="183"/>
      <c r="J28" s="183"/>
      <c r="K28" s="542"/>
      <c r="L28" s="543"/>
    </row>
    <row r="29" spans="1:39" x14ac:dyDescent="0.3">
      <c r="O29" s="100" t="s">
        <v>5264</v>
      </c>
    </row>
    <row r="30" spans="1:39" x14ac:dyDescent="0.3">
      <c r="D30" s="382" t="s">
        <v>5205</v>
      </c>
      <c r="E30" s="382" t="s">
        <v>5206</v>
      </c>
      <c r="F30" s="382" t="s">
        <v>5207</v>
      </c>
      <c r="H30" s="382" t="s">
        <v>75</v>
      </c>
      <c r="O30" s="456"/>
      <c r="Q30" s="303"/>
    </row>
    <row r="31" spans="1:39" x14ac:dyDescent="0.3">
      <c r="D31" s="383" t="s">
        <v>5208</v>
      </c>
      <c r="E31" s="384">
        <f>F31*$E$38</f>
        <v>4921457.7613673881</v>
      </c>
      <c r="F31" s="520">
        <v>6.962843655122318E-2</v>
      </c>
      <c r="H31" s="385">
        <v>0.02</v>
      </c>
    </row>
    <row r="32" spans="1:39" x14ac:dyDescent="0.3">
      <c r="D32" s="383" t="s">
        <v>5209</v>
      </c>
      <c r="E32" s="384">
        <f>F32*$E$38</f>
        <v>43827526.775699541</v>
      </c>
      <c r="F32" s="520">
        <v>0.62006875102204595</v>
      </c>
      <c r="H32" s="385">
        <v>0.02</v>
      </c>
      <c r="K32" s="518"/>
    </row>
    <row r="33" spans="4:8" x14ac:dyDescent="0.3">
      <c r="D33" s="383" t="s">
        <v>5210</v>
      </c>
      <c r="E33" s="384">
        <f>F33*$E$38</f>
        <v>3968132.2156723118</v>
      </c>
      <c r="F33" s="520">
        <v>5.6140854113322293E-2</v>
      </c>
      <c r="H33" s="385">
        <v>0.02</v>
      </c>
    </row>
    <row r="34" spans="4:8" x14ac:dyDescent="0.3">
      <c r="D34" s="383" t="s">
        <v>5211</v>
      </c>
      <c r="E34" s="384">
        <f>F34*$E$38</f>
        <v>3806535.2694501155</v>
      </c>
      <c r="F34" s="520">
        <v>5.3854591940104446E-2</v>
      </c>
      <c r="H34" s="385">
        <v>0.02</v>
      </c>
    </row>
    <row r="35" spans="4:8" x14ac:dyDescent="0.3">
      <c r="D35" s="383" t="s">
        <v>5212</v>
      </c>
      <c r="E35" s="384">
        <f>F35*$E$38</f>
        <v>14158069.486045934</v>
      </c>
      <c r="F35" s="520">
        <v>0.2003073663733041</v>
      </c>
      <c r="H35" s="385">
        <v>0.02</v>
      </c>
    </row>
    <row r="37" spans="4:8" ht="14.4" x14ac:dyDescent="0.3">
      <c r="D37" s="386" t="s">
        <v>5221</v>
      </c>
      <c r="E37" s="487">
        <f>SUM(E31:E35)</f>
        <v>70681721.508235291</v>
      </c>
      <c r="F37" s="234"/>
      <c r="H37" s="233"/>
    </row>
    <row r="38" spans="4:8" ht="14.4" x14ac:dyDescent="0.3">
      <c r="D38" s="386" t="s">
        <v>5270</v>
      </c>
      <c r="E38" s="387">
        <f>L4+L15-L12-L24</f>
        <v>70681721.508235291</v>
      </c>
      <c r="F38" t="b">
        <f>E37=E38</f>
        <v>1</v>
      </c>
      <c r="H38" s="434"/>
    </row>
  </sheetData>
  <pageMargins left="0.511811024" right="0.511811024" top="0.78740157499999996" bottom="0.78740157499999996" header="0.31496062000000002" footer="0.31496062000000002"/>
  <ignoredErrors>
    <ignoredError sqref="O5:AM5" formulaRange="1"/>
  </ignoredError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32FB6-D517-468C-BEB7-711A301C7DA9}">
  <sheetPr codeName="Planilha2"/>
  <dimension ref="A1:KR79"/>
  <sheetViews>
    <sheetView showGridLines="0" zoomScale="115" zoomScaleNormal="115" workbookViewId="0"/>
  </sheetViews>
  <sheetFormatPr defaultColWidth="9.109375" defaultRowHeight="13.8" x14ac:dyDescent="0.3"/>
  <cols>
    <col min="1" max="1" width="2.33203125" style="234" customWidth="1"/>
    <col min="2" max="2" width="48.109375" style="234" customWidth="1"/>
    <col min="3" max="3" width="16.88671875" style="234" bestFit="1" customWidth="1"/>
    <col min="4" max="4" width="63" style="234" bestFit="1" customWidth="1"/>
    <col min="5" max="6" width="17.44140625" style="234" bestFit="1" customWidth="1"/>
    <col min="7" max="7" width="26" style="234" bestFit="1" customWidth="1"/>
    <col min="8" max="8" width="18.44140625" style="234" bestFit="1" customWidth="1"/>
    <col min="9" max="9" width="16.44140625" style="234" bestFit="1" customWidth="1"/>
    <col min="10" max="11" width="17.44140625" style="234" bestFit="1" customWidth="1"/>
    <col min="12" max="28" width="13.44140625" style="234" bestFit="1" customWidth="1"/>
    <col min="29" max="304" width="10.109375" style="234" bestFit="1" customWidth="1"/>
    <col min="305" max="305" width="4.5546875" style="234" bestFit="1" customWidth="1"/>
    <col min="306" max="16384" width="9.109375" style="234"/>
  </cols>
  <sheetData>
    <row r="1" spans="1:304" ht="14.4" thickBot="1" x14ac:dyDescent="0.35"/>
    <row r="2" spans="1:304" ht="15.75" customHeight="1" thickBot="1" x14ac:dyDescent="0.35">
      <c r="D2" s="648" t="s">
        <v>168</v>
      </c>
      <c r="E2" s="235">
        <f>IF(E3&lt;=300,INT((E3-1)/12)+1,"")</f>
        <v>1</v>
      </c>
      <c r="F2" s="235">
        <f t="shared" ref="F2:BQ2" si="0">IF(F3&lt;=300,INT((F3-1)/12)+1,"")</f>
        <v>1</v>
      </c>
      <c r="G2" s="235">
        <f t="shared" si="0"/>
        <v>1</v>
      </c>
      <c r="H2" s="235">
        <f t="shared" si="0"/>
        <v>1</v>
      </c>
      <c r="I2" s="235">
        <f t="shared" si="0"/>
        <v>1</v>
      </c>
      <c r="J2" s="235">
        <f t="shared" si="0"/>
        <v>1</v>
      </c>
      <c r="K2" s="235">
        <f t="shared" si="0"/>
        <v>1</v>
      </c>
      <c r="L2" s="235">
        <f t="shared" si="0"/>
        <v>1</v>
      </c>
      <c r="M2" s="235">
        <f t="shared" si="0"/>
        <v>1</v>
      </c>
      <c r="N2" s="235">
        <f t="shared" si="0"/>
        <v>1</v>
      </c>
      <c r="O2" s="235">
        <f t="shared" si="0"/>
        <v>1</v>
      </c>
      <c r="P2" s="235">
        <f t="shared" si="0"/>
        <v>1</v>
      </c>
      <c r="Q2" s="235">
        <f t="shared" si="0"/>
        <v>2</v>
      </c>
      <c r="R2" s="235">
        <f t="shared" si="0"/>
        <v>2</v>
      </c>
      <c r="S2" s="235">
        <f t="shared" si="0"/>
        <v>2</v>
      </c>
      <c r="T2" s="235">
        <f t="shared" si="0"/>
        <v>2</v>
      </c>
      <c r="U2" s="235">
        <f t="shared" si="0"/>
        <v>2</v>
      </c>
      <c r="V2" s="235">
        <f t="shared" si="0"/>
        <v>2</v>
      </c>
      <c r="W2" s="235">
        <f t="shared" si="0"/>
        <v>2</v>
      </c>
      <c r="X2" s="235">
        <f t="shared" si="0"/>
        <v>2</v>
      </c>
      <c r="Y2" s="235">
        <f t="shared" si="0"/>
        <v>2</v>
      </c>
      <c r="Z2" s="235">
        <f t="shared" si="0"/>
        <v>2</v>
      </c>
      <c r="AA2" s="235">
        <f t="shared" si="0"/>
        <v>2</v>
      </c>
      <c r="AB2" s="235">
        <f t="shared" si="0"/>
        <v>2</v>
      </c>
      <c r="AC2" s="235">
        <f t="shared" si="0"/>
        <v>3</v>
      </c>
      <c r="AD2" s="235">
        <f t="shared" si="0"/>
        <v>3</v>
      </c>
      <c r="AE2" s="235">
        <f t="shared" si="0"/>
        <v>3</v>
      </c>
      <c r="AF2" s="235">
        <f t="shared" si="0"/>
        <v>3</v>
      </c>
      <c r="AG2" s="235">
        <f t="shared" si="0"/>
        <v>3</v>
      </c>
      <c r="AH2" s="235">
        <f t="shared" si="0"/>
        <v>3</v>
      </c>
      <c r="AI2" s="235">
        <f t="shared" si="0"/>
        <v>3</v>
      </c>
      <c r="AJ2" s="235">
        <f t="shared" si="0"/>
        <v>3</v>
      </c>
      <c r="AK2" s="235">
        <f t="shared" si="0"/>
        <v>3</v>
      </c>
      <c r="AL2" s="235">
        <f t="shared" si="0"/>
        <v>3</v>
      </c>
      <c r="AM2" s="235">
        <f t="shared" si="0"/>
        <v>3</v>
      </c>
      <c r="AN2" s="235">
        <f t="shared" si="0"/>
        <v>3</v>
      </c>
      <c r="AO2" s="235">
        <f t="shared" si="0"/>
        <v>4</v>
      </c>
      <c r="AP2" s="235">
        <f t="shared" si="0"/>
        <v>4</v>
      </c>
      <c r="AQ2" s="235">
        <f t="shared" si="0"/>
        <v>4</v>
      </c>
      <c r="AR2" s="235">
        <f t="shared" si="0"/>
        <v>4</v>
      </c>
      <c r="AS2" s="235">
        <f t="shared" si="0"/>
        <v>4</v>
      </c>
      <c r="AT2" s="235">
        <f t="shared" si="0"/>
        <v>4</v>
      </c>
      <c r="AU2" s="235">
        <f t="shared" si="0"/>
        <v>4</v>
      </c>
      <c r="AV2" s="235">
        <f t="shared" si="0"/>
        <v>4</v>
      </c>
      <c r="AW2" s="235">
        <f t="shared" si="0"/>
        <v>4</v>
      </c>
      <c r="AX2" s="235">
        <f t="shared" si="0"/>
        <v>4</v>
      </c>
      <c r="AY2" s="235">
        <f t="shared" si="0"/>
        <v>4</v>
      </c>
      <c r="AZ2" s="235">
        <f t="shared" si="0"/>
        <v>4</v>
      </c>
      <c r="BA2" s="235">
        <f t="shared" si="0"/>
        <v>5</v>
      </c>
      <c r="BB2" s="235">
        <f t="shared" si="0"/>
        <v>5</v>
      </c>
      <c r="BC2" s="235">
        <f t="shared" si="0"/>
        <v>5</v>
      </c>
      <c r="BD2" s="235">
        <f t="shared" si="0"/>
        <v>5</v>
      </c>
      <c r="BE2" s="235">
        <f t="shared" si="0"/>
        <v>5</v>
      </c>
      <c r="BF2" s="235">
        <f t="shared" si="0"/>
        <v>5</v>
      </c>
      <c r="BG2" s="235">
        <f t="shared" si="0"/>
        <v>5</v>
      </c>
      <c r="BH2" s="235">
        <f t="shared" si="0"/>
        <v>5</v>
      </c>
      <c r="BI2" s="235">
        <f t="shared" si="0"/>
        <v>5</v>
      </c>
      <c r="BJ2" s="235">
        <f t="shared" si="0"/>
        <v>5</v>
      </c>
      <c r="BK2" s="235">
        <f t="shared" si="0"/>
        <v>5</v>
      </c>
      <c r="BL2" s="235">
        <f t="shared" si="0"/>
        <v>5</v>
      </c>
      <c r="BM2" s="235">
        <f t="shared" si="0"/>
        <v>6</v>
      </c>
      <c r="BN2" s="235">
        <f t="shared" si="0"/>
        <v>6</v>
      </c>
      <c r="BO2" s="235">
        <f t="shared" si="0"/>
        <v>6</v>
      </c>
      <c r="BP2" s="235">
        <f t="shared" si="0"/>
        <v>6</v>
      </c>
      <c r="BQ2" s="235">
        <f t="shared" si="0"/>
        <v>6</v>
      </c>
      <c r="BR2" s="235">
        <f t="shared" ref="BR2:EC2" si="1">IF(BR3&lt;=300,INT((BR3-1)/12)+1,"")</f>
        <v>6</v>
      </c>
      <c r="BS2" s="235">
        <f t="shared" si="1"/>
        <v>6</v>
      </c>
      <c r="BT2" s="235">
        <f t="shared" si="1"/>
        <v>6</v>
      </c>
      <c r="BU2" s="235">
        <f t="shared" si="1"/>
        <v>6</v>
      </c>
      <c r="BV2" s="235">
        <f t="shared" si="1"/>
        <v>6</v>
      </c>
      <c r="BW2" s="235">
        <f t="shared" si="1"/>
        <v>6</v>
      </c>
      <c r="BX2" s="235">
        <f t="shared" si="1"/>
        <v>6</v>
      </c>
      <c r="BY2" s="235">
        <f t="shared" si="1"/>
        <v>7</v>
      </c>
      <c r="BZ2" s="235">
        <f t="shared" si="1"/>
        <v>7</v>
      </c>
      <c r="CA2" s="235">
        <f t="shared" si="1"/>
        <v>7</v>
      </c>
      <c r="CB2" s="235">
        <f t="shared" si="1"/>
        <v>7</v>
      </c>
      <c r="CC2" s="235">
        <f t="shared" si="1"/>
        <v>7</v>
      </c>
      <c r="CD2" s="235">
        <f t="shared" si="1"/>
        <v>7</v>
      </c>
      <c r="CE2" s="235">
        <f t="shared" si="1"/>
        <v>7</v>
      </c>
      <c r="CF2" s="235">
        <f t="shared" si="1"/>
        <v>7</v>
      </c>
      <c r="CG2" s="235">
        <f t="shared" si="1"/>
        <v>7</v>
      </c>
      <c r="CH2" s="235">
        <f t="shared" si="1"/>
        <v>7</v>
      </c>
      <c r="CI2" s="235">
        <f t="shared" si="1"/>
        <v>7</v>
      </c>
      <c r="CJ2" s="235">
        <f t="shared" si="1"/>
        <v>7</v>
      </c>
      <c r="CK2" s="235">
        <f t="shared" si="1"/>
        <v>8</v>
      </c>
      <c r="CL2" s="235">
        <f t="shared" si="1"/>
        <v>8</v>
      </c>
      <c r="CM2" s="235">
        <f t="shared" si="1"/>
        <v>8</v>
      </c>
      <c r="CN2" s="235">
        <f t="shared" si="1"/>
        <v>8</v>
      </c>
      <c r="CO2" s="235">
        <f t="shared" si="1"/>
        <v>8</v>
      </c>
      <c r="CP2" s="235">
        <f t="shared" si="1"/>
        <v>8</v>
      </c>
      <c r="CQ2" s="235">
        <f t="shared" si="1"/>
        <v>8</v>
      </c>
      <c r="CR2" s="235">
        <f t="shared" si="1"/>
        <v>8</v>
      </c>
      <c r="CS2" s="235">
        <f t="shared" si="1"/>
        <v>8</v>
      </c>
      <c r="CT2" s="235">
        <f t="shared" si="1"/>
        <v>8</v>
      </c>
      <c r="CU2" s="235">
        <f t="shared" si="1"/>
        <v>8</v>
      </c>
      <c r="CV2" s="235">
        <f t="shared" si="1"/>
        <v>8</v>
      </c>
      <c r="CW2" s="235">
        <f t="shared" si="1"/>
        <v>9</v>
      </c>
      <c r="CX2" s="235">
        <f t="shared" si="1"/>
        <v>9</v>
      </c>
      <c r="CY2" s="235">
        <f t="shared" si="1"/>
        <v>9</v>
      </c>
      <c r="CZ2" s="235">
        <f t="shared" si="1"/>
        <v>9</v>
      </c>
      <c r="DA2" s="235">
        <f t="shared" si="1"/>
        <v>9</v>
      </c>
      <c r="DB2" s="235">
        <f t="shared" si="1"/>
        <v>9</v>
      </c>
      <c r="DC2" s="235">
        <f t="shared" si="1"/>
        <v>9</v>
      </c>
      <c r="DD2" s="235">
        <f t="shared" si="1"/>
        <v>9</v>
      </c>
      <c r="DE2" s="235">
        <f t="shared" si="1"/>
        <v>9</v>
      </c>
      <c r="DF2" s="235">
        <f t="shared" si="1"/>
        <v>9</v>
      </c>
      <c r="DG2" s="235">
        <f t="shared" si="1"/>
        <v>9</v>
      </c>
      <c r="DH2" s="235">
        <f t="shared" si="1"/>
        <v>9</v>
      </c>
      <c r="DI2" s="235">
        <f t="shared" si="1"/>
        <v>10</v>
      </c>
      <c r="DJ2" s="235">
        <f t="shared" si="1"/>
        <v>10</v>
      </c>
      <c r="DK2" s="235">
        <f t="shared" si="1"/>
        <v>10</v>
      </c>
      <c r="DL2" s="235">
        <f t="shared" si="1"/>
        <v>10</v>
      </c>
      <c r="DM2" s="235">
        <f t="shared" si="1"/>
        <v>10</v>
      </c>
      <c r="DN2" s="235">
        <f t="shared" si="1"/>
        <v>10</v>
      </c>
      <c r="DO2" s="235">
        <f t="shared" si="1"/>
        <v>10</v>
      </c>
      <c r="DP2" s="235">
        <f t="shared" si="1"/>
        <v>10</v>
      </c>
      <c r="DQ2" s="235">
        <f t="shared" si="1"/>
        <v>10</v>
      </c>
      <c r="DR2" s="235">
        <f t="shared" si="1"/>
        <v>10</v>
      </c>
      <c r="DS2" s="235">
        <f t="shared" si="1"/>
        <v>10</v>
      </c>
      <c r="DT2" s="235">
        <f t="shared" si="1"/>
        <v>10</v>
      </c>
      <c r="DU2" s="235">
        <f t="shared" si="1"/>
        <v>11</v>
      </c>
      <c r="DV2" s="235">
        <f t="shared" si="1"/>
        <v>11</v>
      </c>
      <c r="DW2" s="235">
        <f t="shared" si="1"/>
        <v>11</v>
      </c>
      <c r="DX2" s="235">
        <f t="shared" si="1"/>
        <v>11</v>
      </c>
      <c r="DY2" s="235">
        <f t="shared" si="1"/>
        <v>11</v>
      </c>
      <c r="DZ2" s="235">
        <f t="shared" si="1"/>
        <v>11</v>
      </c>
      <c r="EA2" s="235">
        <f t="shared" si="1"/>
        <v>11</v>
      </c>
      <c r="EB2" s="235">
        <f t="shared" si="1"/>
        <v>11</v>
      </c>
      <c r="EC2" s="235">
        <f t="shared" si="1"/>
        <v>11</v>
      </c>
      <c r="ED2" s="235">
        <f t="shared" ref="ED2:GO2" si="2">IF(ED3&lt;=300,INT((ED3-1)/12)+1,"")</f>
        <v>11</v>
      </c>
      <c r="EE2" s="235">
        <f t="shared" si="2"/>
        <v>11</v>
      </c>
      <c r="EF2" s="235">
        <f t="shared" si="2"/>
        <v>11</v>
      </c>
      <c r="EG2" s="235">
        <f t="shared" si="2"/>
        <v>12</v>
      </c>
      <c r="EH2" s="235">
        <f t="shared" si="2"/>
        <v>12</v>
      </c>
      <c r="EI2" s="235">
        <f t="shared" si="2"/>
        <v>12</v>
      </c>
      <c r="EJ2" s="235">
        <f t="shared" si="2"/>
        <v>12</v>
      </c>
      <c r="EK2" s="235">
        <f t="shared" si="2"/>
        <v>12</v>
      </c>
      <c r="EL2" s="235">
        <f t="shared" si="2"/>
        <v>12</v>
      </c>
      <c r="EM2" s="235">
        <f t="shared" si="2"/>
        <v>12</v>
      </c>
      <c r="EN2" s="235">
        <f t="shared" si="2"/>
        <v>12</v>
      </c>
      <c r="EO2" s="235">
        <f t="shared" si="2"/>
        <v>12</v>
      </c>
      <c r="EP2" s="235">
        <f t="shared" si="2"/>
        <v>12</v>
      </c>
      <c r="EQ2" s="235">
        <f t="shared" si="2"/>
        <v>12</v>
      </c>
      <c r="ER2" s="235">
        <f t="shared" si="2"/>
        <v>12</v>
      </c>
      <c r="ES2" s="235">
        <f t="shared" si="2"/>
        <v>13</v>
      </c>
      <c r="ET2" s="235">
        <f t="shared" si="2"/>
        <v>13</v>
      </c>
      <c r="EU2" s="235">
        <f t="shared" si="2"/>
        <v>13</v>
      </c>
      <c r="EV2" s="235">
        <f t="shared" si="2"/>
        <v>13</v>
      </c>
      <c r="EW2" s="235">
        <f t="shared" si="2"/>
        <v>13</v>
      </c>
      <c r="EX2" s="235">
        <f t="shared" si="2"/>
        <v>13</v>
      </c>
      <c r="EY2" s="235">
        <f t="shared" si="2"/>
        <v>13</v>
      </c>
      <c r="EZ2" s="235">
        <f t="shared" si="2"/>
        <v>13</v>
      </c>
      <c r="FA2" s="235">
        <f t="shared" si="2"/>
        <v>13</v>
      </c>
      <c r="FB2" s="235">
        <f t="shared" si="2"/>
        <v>13</v>
      </c>
      <c r="FC2" s="235">
        <f t="shared" si="2"/>
        <v>13</v>
      </c>
      <c r="FD2" s="235">
        <f t="shared" si="2"/>
        <v>13</v>
      </c>
      <c r="FE2" s="235">
        <f t="shared" si="2"/>
        <v>14</v>
      </c>
      <c r="FF2" s="235">
        <f t="shared" si="2"/>
        <v>14</v>
      </c>
      <c r="FG2" s="235">
        <f t="shared" si="2"/>
        <v>14</v>
      </c>
      <c r="FH2" s="235">
        <f t="shared" si="2"/>
        <v>14</v>
      </c>
      <c r="FI2" s="235">
        <f t="shared" si="2"/>
        <v>14</v>
      </c>
      <c r="FJ2" s="235">
        <f t="shared" si="2"/>
        <v>14</v>
      </c>
      <c r="FK2" s="235">
        <f t="shared" si="2"/>
        <v>14</v>
      </c>
      <c r="FL2" s="235">
        <f t="shared" si="2"/>
        <v>14</v>
      </c>
      <c r="FM2" s="235">
        <f t="shared" si="2"/>
        <v>14</v>
      </c>
      <c r="FN2" s="235">
        <f t="shared" si="2"/>
        <v>14</v>
      </c>
      <c r="FO2" s="235">
        <f t="shared" si="2"/>
        <v>14</v>
      </c>
      <c r="FP2" s="235">
        <f t="shared" si="2"/>
        <v>14</v>
      </c>
      <c r="FQ2" s="235">
        <f t="shared" si="2"/>
        <v>15</v>
      </c>
      <c r="FR2" s="235">
        <f t="shared" si="2"/>
        <v>15</v>
      </c>
      <c r="FS2" s="235">
        <f t="shared" si="2"/>
        <v>15</v>
      </c>
      <c r="FT2" s="235">
        <f t="shared" si="2"/>
        <v>15</v>
      </c>
      <c r="FU2" s="235">
        <f t="shared" si="2"/>
        <v>15</v>
      </c>
      <c r="FV2" s="235">
        <f t="shared" si="2"/>
        <v>15</v>
      </c>
      <c r="FW2" s="235">
        <f t="shared" si="2"/>
        <v>15</v>
      </c>
      <c r="FX2" s="235">
        <f t="shared" si="2"/>
        <v>15</v>
      </c>
      <c r="FY2" s="235">
        <f t="shared" si="2"/>
        <v>15</v>
      </c>
      <c r="FZ2" s="235">
        <f t="shared" si="2"/>
        <v>15</v>
      </c>
      <c r="GA2" s="235">
        <f t="shared" si="2"/>
        <v>15</v>
      </c>
      <c r="GB2" s="235">
        <f t="shared" si="2"/>
        <v>15</v>
      </c>
      <c r="GC2" s="235">
        <f t="shared" si="2"/>
        <v>16</v>
      </c>
      <c r="GD2" s="235">
        <f t="shared" si="2"/>
        <v>16</v>
      </c>
      <c r="GE2" s="235">
        <f t="shared" si="2"/>
        <v>16</v>
      </c>
      <c r="GF2" s="235">
        <f t="shared" si="2"/>
        <v>16</v>
      </c>
      <c r="GG2" s="235">
        <f t="shared" si="2"/>
        <v>16</v>
      </c>
      <c r="GH2" s="235">
        <f t="shared" si="2"/>
        <v>16</v>
      </c>
      <c r="GI2" s="235">
        <f t="shared" si="2"/>
        <v>16</v>
      </c>
      <c r="GJ2" s="235">
        <f t="shared" si="2"/>
        <v>16</v>
      </c>
      <c r="GK2" s="235">
        <f t="shared" si="2"/>
        <v>16</v>
      </c>
      <c r="GL2" s="235">
        <f t="shared" si="2"/>
        <v>16</v>
      </c>
      <c r="GM2" s="235">
        <f t="shared" si="2"/>
        <v>16</v>
      </c>
      <c r="GN2" s="235">
        <f t="shared" si="2"/>
        <v>16</v>
      </c>
      <c r="GO2" s="235">
        <f t="shared" si="2"/>
        <v>17</v>
      </c>
      <c r="GP2" s="235">
        <f t="shared" ref="GP2:JA2" si="3">IF(GP3&lt;=300,INT((GP3-1)/12)+1,"")</f>
        <v>17</v>
      </c>
      <c r="GQ2" s="235">
        <f t="shared" si="3"/>
        <v>17</v>
      </c>
      <c r="GR2" s="235">
        <f t="shared" si="3"/>
        <v>17</v>
      </c>
      <c r="GS2" s="235">
        <f t="shared" si="3"/>
        <v>17</v>
      </c>
      <c r="GT2" s="235">
        <f t="shared" si="3"/>
        <v>17</v>
      </c>
      <c r="GU2" s="235">
        <f t="shared" si="3"/>
        <v>17</v>
      </c>
      <c r="GV2" s="235">
        <f t="shared" si="3"/>
        <v>17</v>
      </c>
      <c r="GW2" s="235">
        <f t="shared" si="3"/>
        <v>17</v>
      </c>
      <c r="GX2" s="235">
        <f t="shared" si="3"/>
        <v>17</v>
      </c>
      <c r="GY2" s="235">
        <f t="shared" si="3"/>
        <v>17</v>
      </c>
      <c r="GZ2" s="235">
        <f t="shared" si="3"/>
        <v>17</v>
      </c>
      <c r="HA2" s="235">
        <f t="shared" si="3"/>
        <v>18</v>
      </c>
      <c r="HB2" s="235">
        <f t="shared" si="3"/>
        <v>18</v>
      </c>
      <c r="HC2" s="235">
        <f t="shared" si="3"/>
        <v>18</v>
      </c>
      <c r="HD2" s="235">
        <f t="shared" si="3"/>
        <v>18</v>
      </c>
      <c r="HE2" s="235">
        <f t="shared" si="3"/>
        <v>18</v>
      </c>
      <c r="HF2" s="235">
        <f t="shared" si="3"/>
        <v>18</v>
      </c>
      <c r="HG2" s="235">
        <f t="shared" si="3"/>
        <v>18</v>
      </c>
      <c r="HH2" s="235">
        <f t="shared" si="3"/>
        <v>18</v>
      </c>
      <c r="HI2" s="235">
        <f t="shared" si="3"/>
        <v>18</v>
      </c>
      <c r="HJ2" s="235">
        <f t="shared" si="3"/>
        <v>18</v>
      </c>
      <c r="HK2" s="235">
        <f t="shared" si="3"/>
        <v>18</v>
      </c>
      <c r="HL2" s="235">
        <f t="shared" si="3"/>
        <v>18</v>
      </c>
      <c r="HM2" s="235">
        <f t="shared" si="3"/>
        <v>19</v>
      </c>
      <c r="HN2" s="235">
        <f t="shared" si="3"/>
        <v>19</v>
      </c>
      <c r="HO2" s="235">
        <f t="shared" si="3"/>
        <v>19</v>
      </c>
      <c r="HP2" s="235">
        <f t="shared" si="3"/>
        <v>19</v>
      </c>
      <c r="HQ2" s="235">
        <f t="shared" si="3"/>
        <v>19</v>
      </c>
      <c r="HR2" s="235">
        <f t="shared" si="3"/>
        <v>19</v>
      </c>
      <c r="HS2" s="235">
        <f t="shared" si="3"/>
        <v>19</v>
      </c>
      <c r="HT2" s="235">
        <f t="shared" si="3"/>
        <v>19</v>
      </c>
      <c r="HU2" s="235">
        <f t="shared" si="3"/>
        <v>19</v>
      </c>
      <c r="HV2" s="235">
        <f t="shared" si="3"/>
        <v>19</v>
      </c>
      <c r="HW2" s="235">
        <f t="shared" si="3"/>
        <v>19</v>
      </c>
      <c r="HX2" s="235">
        <f t="shared" si="3"/>
        <v>19</v>
      </c>
      <c r="HY2" s="235">
        <f t="shared" si="3"/>
        <v>20</v>
      </c>
      <c r="HZ2" s="235">
        <f t="shared" si="3"/>
        <v>20</v>
      </c>
      <c r="IA2" s="235">
        <f t="shared" si="3"/>
        <v>20</v>
      </c>
      <c r="IB2" s="235">
        <f t="shared" si="3"/>
        <v>20</v>
      </c>
      <c r="IC2" s="235">
        <f t="shared" si="3"/>
        <v>20</v>
      </c>
      <c r="ID2" s="235">
        <f t="shared" si="3"/>
        <v>20</v>
      </c>
      <c r="IE2" s="235">
        <f t="shared" si="3"/>
        <v>20</v>
      </c>
      <c r="IF2" s="235">
        <f t="shared" si="3"/>
        <v>20</v>
      </c>
      <c r="IG2" s="235">
        <f t="shared" si="3"/>
        <v>20</v>
      </c>
      <c r="IH2" s="235">
        <f t="shared" si="3"/>
        <v>20</v>
      </c>
      <c r="II2" s="235">
        <f t="shared" si="3"/>
        <v>20</v>
      </c>
      <c r="IJ2" s="235">
        <f t="shared" si="3"/>
        <v>20</v>
      </c>
      <c r="IK2" s="235">
        <f t="shared" si="3"/>
        <v>21</v>
      </c>
      <c r="IL2" s="235">
        <f t="shared" si="3"/>
        <v>21</v>
      </c>
      <c r="IM2" s="235">
        <f t="shared" si="3"/>
        <v>21</v>
      </c>
      <c r="IN2" s="235">
        <f t="shared" si="3"/>
        <v>21</v>
      </c>
      <c r="IO2" s="235">
        <f t="shared" si="3"/>
        <v>21</v>
      </c>
      <c r="IP2" s="235">
        <f t="shared" si="3"/>
        <v>21</v>
      </c>
      <c r="IQ2" s="235">
        <f t="shared" si="3"/>
        <v>21</v>
      </c>
      <c r="IR2" s="235">
        <f t="shared" si="3"/>
        <v>21</v>
      </c>
      <c r="IS2" s="235">
        <f t="shared" si="3"/>
        <v>21</v>
      </c>
      <c r="IT2" s="235">
        <f t="shared" si="3"/>
        <v>21</v>
      </c>
      <c r="IU2" s="235">
        <f t="shared" si="3"/>
        <v>21</v>
      </c>
      <c r="IV2" s="235">
        <f t="shared" si="3"/>
        <v>21</v>
      </c>
      <c r="IW2" s="235">
        <f t="shared" si="3"/>
        <v>22</v>
      </c>
      <c r="IX2" s="235">
        <f t="shared" si="3"/>
        <v>22</v>
      </c>
      <c r="IY2" s="235">
        <f t="shared" si="3"/>
        <v>22</v>
      </c>
      <c r="IZ2" s="235">
        <f t="shared" si="3"/>
        <v>22</v>
      </c>
      <c r="JA2" s="235">
        <f t="shared" si="3"/>
        <v>22</v>
      </c>
      <c r="JB2" s="235">
        <f t="shared" ref="JB2:KR2" si="4">IF(JB3&lt;=300,INT((JB3-1)/12)+1,"")</f>
        <v>22</v>
      </c>
      <c r="JC2" s="235">
        <f t="shared" si="4"/>
        <v>22</v>
      </c>
      <c r="JD2" s="235">
        <f t="shared" si="4"/>
        <v>22</v>
      </c>
      <c r="JE2" s="235">
        <f t="shared" si="4"/>
        <v>22</v>
      </c>
      <c r="JF2" s="235">
        <f t="shared" si="4"/>
        <v>22</v>
      </c>
      <c r="JG2" s="235">
        <f t="shared" si="4"/>
        <v>22</v>
      </c>
      <c r="JH2" s="235">
        <f t="shared" si="4"/>
        <v>22</v>
      </c>
      <c r="JI2" s="235">
        <f t="shared" si="4"/>
        <v>23</v>
      </c>
      <c r="JJ2" s="235">
        <f t="shared" si="4"/>
        <v>23</v>
      </c>
      <c r="JK2" s="235">
        <f t="shared" si="4"/>
        <v>23</v>
      </c>
      <c r="JL2" s="235">
        <f t="shared" si="4"/>
        <v>23</v>
      </c>
      <c r="JM2" s="235">
        <f t="shared" si="4"/>
        <v>23</v>
      </c>
      <c r="JN2" s="235">
        <f t="shared" si="4"/>
        <v>23</v>
      </c>
      <c r="JO2" s="235">
        <f t="shared" si="4"/>
        <v>23</v>
      </c>
      <c r="JP2" s="235">
        <f t="shared" si="4"/>
        <v>23</v>
      </c>
      <c r="JQ2" s="235">
        <f t="shared" si="4"/>
        <v>23</v>
      </c>
      <c r="JR2" s="235">
        <f t="shared" si="4"/>
        <v>23</v>
      </c>
      <c r="JS2" s="235">
        <f t="shared" si="4"/>
        <v>23</v>
      </c>
      <c r="JT2" s="235">
        <f t="shared" si="4"/>
        <v>23</v>
      </c>
      <c r="JU2" s="235">
        <f t="shared" si="4"/>
        <v>24</v>
      </c>
      <c r="JV2" s="235">
        <f t="shared" si="4"/>
        <v>24</v>
      </c>
      <c r="JW2" s="235">
        <f t="shared" si="4"/>
        <v>24</v>
      </c>
      <c r="JX2" s="235">
        <f t="shared" si="4"/>
        <v>24</v>
      </c>
      <c r="JY2" s="235">
        <f t="shared" si="4"/>
        <v>24</v>
      </c>
      <c r="JZ2" s="235">
        <f t="shared" si="4"/>
        <v>24</v>
      </c>
      <c r="KA2" s="235">
        <f t="shared" si="4"/>
        <v>24</v>
      </c>
      <c r="KB2" s="235">
        <f t="shared" si="4"/>
        <v>24</v>
      </c>
      <c r="KC2" s="235">
        <f t="shared" si="4"/>
        <v>24</v>
      </c>
      <c r="KD2" s="235">
        <f t="shared" si="4"/>
        <v>24</v>
      </c>
      <c r="KE2" s="235">
        <f t="shared" si="4"/>
        <v>24</v>
      </c>
      <c r="KF2" s="235">
        <f t="shared" si="4"/>
        <v>24</v>
      </c>
      <c r="KG2" s="235">
        <f t="shared" si="4"/>
        <v>25</v>
      </c>
      <c r="KH2" s="235">
        <f t="shared" si="4"/>
        <v>25</v>
      </c>
      <c r="KI2" s="235">
        <f t="shared" si="4"/>
        <v>25</v>
      </c>
      <c r="KJ2" s="235">
        <f t="shared" si="4"/>
        <v>25</v>
      </c>
      <c r="KK2" s="235">
        <f t="shared" si="4"/>
        <v>25</v>
      </c>
      <c r="KL2" s="235">
        <f t="shared" si="4"/>
        <v>25</v>
      </c>
      <c r="KM2" s="235">
        <f t="shared" si="4"/>
        <v>25</v>
      </c>
      <c r="KN2" s="235">
        <f t="shared" si="4"/>
        <v>25</v>
      </c>
      <c r="KO2" s="235">
        <f t="shared" si="4"/>
        <v>25</v>
      </c>
      <c r="KP2" s="235">
        <f t="shared" si="4"/>
        <v>25</v>
      </c>
      <c r="KQ2" s="235">
        <f t="shared" si="4"/>
        <v>25</v>
      </c>
      <c r="KR2" s="235">
        <f t="shared" si="4"/>
        <v>25</v>
      </c>
    </row>
    <row r="3" spans="1:304" ht="14.4" x14ac:dyDescent="0.3">
      <c r="D3" s="649"/>
      <c r="E3" s="236">
        <v>1</v>
      </c>
      <c r="F3" s="236">
        <v>2</v>
      </c>
      <c r="G3" s="236">
        <v>3</v>
      </c>
      <c r="H3" s="236">
        <v>4</v>
      </c>
      <c r="I3" s="236">
        <v>5</v>
      </c>
      <c r="J3" s="236">
        <v>6</v>
      </c>
      <c r="K3" s="236">
        <v>7</v>
      </c>
      <c r="L3" s="236">
        <v>8</v>
      </c>
      <c r="M3" s="492">
        <v>9</v>
      </c>
      <c r="N3" s="492">
        <v>10</v>
      </c>
      <c r="O3" s="492">
        <v>11</v>
      </c>
      <c r="P3" s="492">
        <v>12</v>
      </c>
      <c r="Q3" s="236">
        <v>13</v>
      </c>
      <c r="R3" s="236">
        <v>14</v>
      </c>
      <c r="S3" s="236">
        <v>15</v>
      </c>
      <c r="T3" s="236">
        <v>16</v>
      </c>
      <c r="U3" s="236">
        <v>17</v>
      </c>
      <c r="V3" s="236">
        <v>18</v>
      </c>
      <c r="W3" s="236">
        <v>19</v>
      </c>
      <c r="X3" s="236">
        <v>20</v>
      </c>
      <c r="Y3" s="236">
        <v>21</v>
      </c>
      <c r="Z3" s="236">
        <v>22</v>
      </c>
      <c r="AA3" s="236">
        <v>23</v>
      </c>
      <c r="AB3" s="236">
        <v>24</v>
      </c>
      <c r="AC3" s="236">
        <v>25</v>
      </c>
      <c r="AD3" s="236">
        <v>26</v>
      </c>
      <c r="AE3" s="236">
        <v>27</v>
      </c>
      <c r="AF3" s="236">
        <v>28</v>
      </c>
      <c r="AG3" s="236">
        <v>29</v>
      </c>
      <c r="AH3" s="236">
        <v>30</v>
      </c>
      <c r="AI3" s="236">
        <v>31</v>
      </c>
      <c r="AJ3" s="236">
        <v>32</v>
      </c>
      <c r="AK3" s="236">
        <v>33</v>
      </c>
      <c r="AL3" s="236">
        <v>34</v>
      </c>
      <c r="AM3" s="236">
        <v>35</v>
      </c>
      <c r="AN3" s="236">
        <v>36</v>
      </c>
      <c r="AO3" s="236">
        <v>37</v>
      </c>
      <c r="AP3" s="236">
        <v>38</v>
      </c>
      <c r="AQ3" s="236">
        <v>39</v>
      </c>
      <c r="AR3" s="236">
        <v>40</v>
      </c>
      <c r="AS3" s="236">
        <v>41</v>
      </c>
      <c r="AT3" s="236">
        <v>42</v>
      </c>
      <c r="AU3" s="236">
        <v>43</v>
      </c>
      <c r="AV3" s="236">
        <v>44</v>
      </c>
      <c r="AW3" s="236">
        <v>45</v>
      </c>
      <c r="AX3" s="236">
        <v>46</v>
      </c>
      <c r="AY3" s="236">
        <v>47</v>
      </c>
      <c r="AZ3" s="236">
        <v>48</v>
      </c>
      <c r="BA3" s="236">
        <v>49</v>
      </c>
      <c r="BB3" s="236">
        <v>50</v>
      </c>
      <c r="BC3" s="236">
        <v>51</v>
      </c>
      <c r="BD3" s="236">
        <v>52</v>
      </c>
      <c r="BE3" s="236">
        <v>53</v>
      </c>
      <c r="BF3" s="236">
        <v>54</v>
      </c>
      <c r="BG3" s="236">
        <v>55</v>
      </c>
      <c r="BH3" s="236">
        <v>56</v>
      </c>
      <c r="BI3" s="236">
        <v>57</v>
      </c>
      <c r="BJ3" s="236">
        <v>58</v>
      </c>
      <c r="BK3" s="236">
        <v>59</v>
      </c>
      <c r="BL3" s="236">
        <v>60</v>
      </c>
      <c r="BM3" s="236">
        <v>61</v>
      </c>
      <c r="BN3" s="236">
        <v>62</v>
      </c>
      <c r="BO3" s="236">
        <v>63</v>
      </c>
      <c r="BP3" s="236">
        <v>64</v>
      </c>
      <c r="BQ3" s="236">
        <v>65</v>
      </c>
      <c r="BR3" s="236">
        <v>66</v>
      </c>
      <c r="BS3" s="236">
        <v>67</v>
      </c>
      <c r="BT3" s="236">
        <v>68</v>
      </c>
      <c r="BU3" s="236">
        <v>69</v>
      </c>
      <c r="BV3" s="236">
        <v>70</v>
      </c>
      <c r="BW3" s="236">
        <v>71</v>
      </c>
      <c r="BX3" s="236">
        <v>72</v>
      </c>
      <c r="BY3" s="236">
        <v>73</v>
      </c>
      <c r="BZ3" s="236">
        <v>74</v>
      </c>
      <c r="CA3" s="236">
        <v>75</v>
      </c>
      <c r="CB3" s="236">
        <v>76</v>
      </c>
      <c r="CC3" s="236">
        <v>77</v>
      </c>
      <c r="CD3" s="236">
        <v>78</v>
      </c>
      <c r="CE3" s="236">
        <v>79</v>
      </c>
      <c r="CF3" s="236">
        <v>80</v>
      </c>
      <c r="CG3" s="236">
        <v>81</v>
      </c>
      <c r="CH3" s="236">
        <v>82</v>
      </c>
      <c r="CI3" s="236">
        <v>83</v>
      </c>
      <c r="CJ3" s="236">
        <v>84</v>
      </c>
      <c r="CK3" s="236">
        <v>85</v>
      </c>
      <c r="CL3" s="236">
        <v>86</v>
      </c>
      <c r="CM3" s="236">
        <v>87</v>
      </c>
      <c r="CN3" s="236">
        <v>88</v>
      </c>
      <c r="CO3" s="236">
        <v>89</v>
      </c>
      <c r="CP3" s="236">
        <v>90</v>
      </c>
      <c r="CQ3" s="236">
        <v>91</v>
      </c>
      <c r="CR3" s="236">
        <v>92</v>
      </c>
      <c r="CS3" s="236">
        <v>93</v>
      </c>
      <c r="CT3" s="236">
        <v>94</v>
      </c>
      <c r="CU3" s="236">
        <v>95</v>
      </c>
      <c r="CV3" s="236">
        <v>96</v>
      </c>
      <c r="CW3" s="236">
        <v>97</v>
      </c>
      <c r="CX3" s="236">
        <v>98</v>
      </c>
      <c r="CY3" s="236">
        <v>99</v>
      </c>
      <c r="CZ3" s="236">
        <v>100</v>
      </c>
      <c r="DA3" s="236">
        <v>101</v>
      </c>
      <c r="DB3" s="236">
        <v>102</v>
      </c>
      <c r="DC3" s="236">
        <v>103</v>
      </c>
      <c r="DD3" s="236">
        <v>104</v>
      </c>
      <c r="DE3" s="236">
        <v>105</v>
      </c>
      <c r="DF3" s="236">
        <v>106</v>
      </c>
      <c r="DG3" s="236">
        <v>107</v>
      </c>
      <c r="DH3" s="236">
        <v>108</v>
      </c>
      <c r="DI3" s="236">
        <v>109</v>
      </c>
      <c r="DJ3" s="236">
        <v>110</v>
      </c>
      <c r="DK3" s="236">
        <v>111</v>
      </c>
      <c r="DL3" s="236">
        <v>112</v>
      </c>
      <c r="DM3" s="236">
        <v>113</v>
      </c>
      <c r="DN3" s="236">
        <v>114</v>
      </c>
      <c r="DO3" s="236">
        <v>115</v>
      </c>
      <c r="DP3" s="236">
        <v>116</v>
      </c>
      <c r="DQ3" s="236">
        <v>117</v>
      </c>
      <c r="DR3" s="236">
        <v>118</v>
      </c>
      <c r="DS3" s="236">
        <v>119</v>
      </c>
      <c r="DT3" s="236">
        <v>120</v>
      </c>
      <c r="DU3" s="236">
        <v>121</v>
      </c>
      <c r="DV3" s="236">
        <v>122</v>
      </c>
      <c r="DW3" s="236">
        <v>123</v>
      </c>
      <c r="DX3" s="236">
        <v>124</v>
      </c>
      <c r="DY3" s="236">
        <v>125</v>
      </c>
      <c r="DZ3" s="236">
        <v>126</v>
      </c>
      <c r="EA3" s="236">
        <v>127</v>
      </c>
      <c r="EB3" s="236">
        <v>128</v>
      </c>
      <c r="EC3" s="236">
        <v>129</v>
      </c>
      <c r="ED3" s="236">
        <v>130</v>
      </c>
      <c r="EE3" s="236">
        <v>131</v>
      </c>
      <c r="EF3" s="236">
        <v>132</v>
      </c>
      <c r="EG3" s="236">
        <v>133</v>
      </c>
      <c r="EH3" s="236">
        <v>134</v>
      </c>
      <c r="EI3" s="236">
        <v>135</v>
      </c>
      <c r="EJ3" s="236">
        <v>136</v>
      </c>
      <c r="EK3" s="236">
        <v>137</v>
      </c>
      <c r="EL3" s="236">
        <v>138</v>
      </c>
      <c r="EM3" s="236">
        <v>139</v>
      </c>
      <c r="EN3" s="236">
        <v>140</v>
      </c>
      <c r="EO3" s="236">
        <v>141</v>
      </c>
      <c r="EP3" s="236">
        <v>142</v>
      </c>
      <c r="EQ3" s="236">
        <v>143</v>
      </c>
      <c r="ER3" s="236">
        <v>144</v>
      </c>
      <c r="ES3" s="236">
        <v>145</v>
      </c>
      <c r="ET3" s="236">
        <v>146</v>
      </c>
      <c r="EU3" s="236">
        <v>147</v>
      </c>
      <c r="EV3" s="236">
        <v>148</v>
      </c>
      <c r="EW3" s="236">
        <v>149</v>
      </c>
      <c r="EX3" s="236">
        <v>150</v>
      </c>
      <c r="EY3" s="236">
        <v>151</v>
      </c>
      <c r="EZ3" s="236">
        <v>152</v>
      </c>
      <c r="FA3" s="236">
        <v>153</v>
      </c>
      <c r="FB3" s="236">
        <v>154</v>
      </c>
      <c r="FC3" s="236">
        <v>155</v>
      </c>
      <c r="FD3" s="236">
        <v>156</v>
      </c>
      <c r="FE3" s="236">
        <v>157</v>
      </c>
      <c r="FF3" s="236">
        <v>158</v>
      </c>
      <c r="FG3" s="236">
        <v>159</v>
      </c>
      <c r="FH3" s="236">
        <v>160</v>
      </c>
      <c r="FI3" s="236">
        <v>161</v>
      </c>
      <c r="FJ3" s="236">
        <v>162</v>
      </c>
      <c r="FK3" s="236">
        <v>163</v>
      </c>
      <c r="FL3" s="236">
        <v>164</v>
      </c>
      <c r="FM3" s="236">
        <v>165</v>
      </c>
      <c r="FN3" s="236">
        <v>166</v>
      </c>
      <c r="FO3" s="236">
        <v>167</v>
      </c>
      <c r="FP3" s="236">
        <v>168</v>
      </c>
      <c r="FQ3" s="236">
        <v>169</v>
      </c>
      <c r="FR3" s="236">
        <v>170</v>
      </c>
      <c r="FS3" s="236">
        <v>171</v>
      </c>
      <c r="FT3" s="236">
        <v>172</v>
      </c>
      <c r="FU3" s="236">
        <v>173</v>
      </c>
      <c r="FV3" s="236">
        <v>174</v>
      </c>
      <c r="FW3" s="236">
        <v>175</v>
      </c>
      <c r="FX3" s="236">
        <v>176</v>
      </c>
      <c r="FY3" s="236">
        <v>177</v>
      </c>
      <c r="FZ3" s="236">
        <v>178</v>
      </c>
      <c r="GA3" s="236">
        <v>179</v>
      </c>
      <c r="GB3" s="236">
        <v>180</v>
      </c>
      <c r="GC3" s="236">
        <v>181</v>
      </c>
      <c r="GD3" s="236">
        <v>182</v>
      </c>
      <c r="GE3" s="236">
        <v>183</v>
      </c>
      <c r="GF3" s="236">
        <v>184</v>
      </c>
      <c r="GG3" s="236">
        <v>185</v>
      </c>
      <c r="GH3" s="236">
        <v>186</v>
      </c>
      <c r="GI3" s="236">
        <v>187</v>
      </c>
      <c r="GJ3" s="236">
        <v>188</v>
      </c>
      <c r="GK3" s="236">
        <v>189</v>
      </c>
      <c r="GL3" s="236">
        <v>190</v>
      </c>
      <c r="GM3" s="236">
        <v>191</v>
      </c>
      <c r="GN3" s="236">
        <v>192</v>
      </c>
      <c r="GO3" s="236">
        <v>193</v>
      </c>
      <c r="GP3" s="236">
        <v>194</v>
      </c>
      <c r="GQ3" s="236">
        <v>195</v>
      </c>
      <c r="GR3" s="236">
        <v>196</v>
      </c>
      <c r="GS3" s="236">
        <v>197</v>
      </c>
      <c r="GT3" s="236">
        <v>198</v>
      </c>
      <c r="GU3" s="236">
        <v>199</v>
      </c>
      <c r="GV3" s="236">
        <v>200</v>
      </c>
      <c r="GW3" s="236">
        <v>201</v>
      </c>
      <c r="GX3" s="236">
        <v>202</v>
      </c>
      <c r="GY3" s="236">
        <v>203</v>
      </c>
      <c r="GZ3" s="236">
        <v>204</v>
      </c>
      <c r="HA3" s="236">
        <v>205</v>
      </c>
      <c r="HB3" s="236">
        <v>206</v>
      </c>
      <c r="HC3" s="236">
        <v>207</v>
      </c>
      <c r="HD3" s="236">
        <v>208</v>
      </c>
      <c r="HE3" s="236">
        <v>209</v>
      </c>
      <c r="HF3" s="236">
        <v>210</v>
      </c>
      <c r="HG3" s="236">
        <v>211</v>
      </c>
      <c r="HH3" s="236">
        <v>212</v>
      </c>
      <c r="HI3" s="236">
        <v>213</v>
      </c>
      <c r="HJ3" s="236">
        <v>214</v>
      </c>
      <c r="HK3" s="236">
        <v>215</v>
      </c>
      <c r="HL3" s="236">
        <v>216</v>
      </c>
      <c r="HM3" s="236">
        <v>217</v>
      </c>
      <c r="HN3" s="236">
        <v>218</v>
      </c>
      <c r="HO3" s="236">
        <v>219</v>
      </c>
      <c r="HP3" s="236">
        <v>220</v>
      </c>
      <c r="HQ3" s="236">
        <v>221</v>
      </c>
      <c r="HR3" s="236">
        <v>222</v>
      </c>
      <c r="HS3" s="236">
        <v>223</v>
      </c>
      <c r="HT3" s="236">
        <v>224</v>
      </c>
      <c r="HU3" s="236">
        <v>225</v>
      </c>
      <c r="HV3" s="236">
        <v>226</v>
      </c>
      <c r="HW3" s="236">
        <v>227</v>
      </c>
      <c r="HX3" s="236">
        <v>228</v>
      </c>
      <c r="HY3" s="236">
        <v>229</v>
      </c>
      <c r="HZ3" s="236">
        <v>230</v>
      </c>
      <c r="IA3" s="236">
        <v>231</v>
      </c>
      <c r="IB3" s="236">
        <v>232</v>
      </c>
      <c r="IC3" s="236">
        <v>233</v>
      </c>
      <c r="ID3" s="236">
        <v>234</v>
      </c>
      <c r="IE3" s="236">
        <v>235</v>
      </c>
      <c r="IF3" s="236">
        <v>236</v>
      </c>
      <c r="IG3" s="236">
        <v>237</v>
      </c>
      <c r="IH3" s="236">
        <v>238</v>
      </c>
      <c r="II3" s="236">
        <v>239</v>
      </c>
      <c r="IJ3" s="236">
        <v>240</v>
      </c>
      <c r="IK3" s="236">
        <v>241</v>
      </c>
      <c r="IL3" s="236">
        <v>242</v>
      </c>
      <c r="IM3" s="236">
        <v>243</v>
      </c>
      <c r="IN3" s="236">
        <v>244</v>
      </c>
      <c r="IO3" s="236">
        <v>245</v>
      </c>
      <c r="IP3" s="236">
        <v>246</v>
      </c>
      <c r="IQ3" s="236">
        <v>247</v>
      </c>
      <c r="IR3" s="236">
        <v>248</v>
      </c>
      <c r="IS3" s="236">
        <v>249</v>
      </c>
      <c r="IT3" s="236">
        <v>250</v>
      </c>
      <c r="IU3" s="236">
        <v>251</v>
      </c>
      <c r="IV3" s="236">
        <v>252</v>
      </c>
      <c r="IW3" s="236">
        <v>253</v>
      </c>
      <c r="IX3" s="236">
        <v>254</v>
      </c>
      <c r="IY3" s="236">
        <v>255</v>
      </c>
      <c r="IZ3" s="236">
        <v>256</v>
      </c>
      <c r="JA3" s="236">
        <v>257</v>
      </c>
      <c r="JB3" s="236">
        <v>258</v>
      </c>
      <c r="JC3" s="236">
        <v>259</v>
      </c>
      <c r="JD3" s="236">
        <v>260</v>
      </c>
      <c r="JE3" s="236">
        <v>261</v>
      </c>
      <c r="JF3" s="236">
        <v>262</v>
      </c>
      <c r="JG3" s="236">
        <v>263</v>
      </c>
      <c r="JH3" s="236">
        <v>264</v>
      </c>
      <c r="JI3" s="236">
        <v>265</v>
      </c>
      <c r="JJ3" s="236">
        <v>266</v>
      </c>
      <c r="JK3" s="236">
        <v>267</v>
      </c>
      <c r="JL3" s="236">
        <v>268</v>
      </c>
      <c r="JM3" s="236">
        <v>269</v>
      </c>
      <c r="JN3" s="236">
        <v>270</v>
      </c>
      <c r="JO3" s="236">
        <v>271</v>
      </c>
      <c r="JP3" s="236">
        <v>272</v>
      </c>
      <c r="JQ3" s="236">
        <v>273</v>
      </c>
      <c r="JR3" s="236">
        <v>274</v>
      </c>
      <c r="JS3" s="236">
        <v>275</v>
      </c>
      <c r="JT3" s="236">
        <v>276</v>
      </c>
      <c r="JU3" s="236">
        <v>277</v>
      </c>
      <c r="JV3" s="236">
        <v>278</v>
      </c>
      <c r="JW3" s="236">
        <v>279</v>
      </c>
      <c r="JX3" s="236">
        <v>280</v>
      </c>
      <c r="JY3" s="236">
        <v>281</v>
      </c>
      <c r="JZ3" s="236">
        <v>282</v>
      </c>
      <c r="KA3" s="236">
        <v>283</v>
      </c>
      <c r="KB3" s="236">
        <v>284</v>
      </c>
      <c r="KC3" s="236">
        <v>285</v>
      </c>
      <c r="KD3" s="236">
        <v>286</v>
      </c>
      <c r="KE3" s="236">
        <v>287</v>
      </c>
      <c r="KF3" s="236">
        <v>288</v>
      </c>
      <c r="KG3" s="236">
        <v>289</v>
      </c>
      <c r="KH3" s="236">
        <v>290</v>
      </c>
      <c r="KI3" s="236">
        <v>291</v>
      </c>
      <c r="KJ3" s="236">
        <v>292</v>
      </c>
      <c r="KK3" s="236">
        <v>293</v>
      </c>
      <c r="KL3" s="236">
        <v>294</v>
      </c>
      <c r="KM3" s="236">
        <v>295</v>
      </c>
      <c r="KN3" s="236">
        <v>296</v>
      </c>
      <c r="KO3" s="236">
        <v>297</v>
      </c>
      <c r="KP3" s="236">
        <v>298</v>
      </c>
      <c r="KQ3" s="236">
        <v>299</v>
      </c>
      <c r="KR3" s="236">
        <v>300</v>
      </c>
    </row>
    <row r="4" spans="1:304" hidden="1" x14ac:dyDescent="0.3">
      <c r="B4" s="237" t="s">
        <v>169</v>
      </c>
      <c r="C4" s="238">
        <f>COUNTIF(E4:KS4,"&gt;0")</f>
        <v>299</v>
      </c>
      <c r="D4" s="239"/>
      <c r="E4" s="240"/>
      <c r="F4" s="241">
        <v>1</v>
      </c>
      <c r="G4" s="241">
        <v>1</v>
      </c>
      <c r="H4" s="241">
        <v>1</v>
      </c>
      <c r="I4" s="241">
        <v>1</v>
      </c>
      <c r="J4" s="241">
        <v>1</v>
      </c>
      <c r="K4" s="241">
        <v>1</v>
      </c>
      <c r="L4" s="241">
        <v>1</v>
      </c>
      <c r="M4" s="244">
        <v>1</v>
      </c>
      <c r="N4" s="244">
        <v>1</v>
      </c>
      <c r="O4" s="244">
        <v>1</v>
      </c>
      <c r="P4" s="244">
        <v>1</v>
      </c>
      <c r="Q4" s="241">
        <v>1</v>
      </c>
      <c r="R4" s="241">
        <v>1</v>
      </c>
      <c r="S4" s="241">
        <v>1</v>
      </c>
      <c r="T4" s="241">
        <v>1</v>
      </c>
      <c r="U4" s="241">
        <v>1</v>
      </c>
      <c r="V4" s="241">
        <v>1</v>
      </c>
      <c r="W4" s="241">
        <v>1</v>
      </c>
      <c r="X4" s="241">
        <v>1</v>
      </c>
      <c r="Y4" s="241">
        <v>1</v>
      </c>
      <c r="Z4" s="241">
        <v>1</v>
      </c>
      <c r="AA4" s="241">
        <v>1</v>
      </c>
      <c r="AB4" s="241">
        <v>1</v>
      </c>
      <c r="AC4" s="241">
        <v>1</v>
      </c>
      <c r="AD4" s="241">
        <v>1</v>
      </c>
      <c r="AE4" s="241">
        <v>1</v>
      </c>
      <c r="AF4" s="241">
        <v>1</v>
      </c>
      <c r="AG4" s="241">
        <v>1</v>
      </c>
      <c r="AH4" s="241">
        <v>1</v>
      </c>
      <c r="AI4" s="241">
        <v>1</v>
      </c>
      <c r="AJ4" s="241">
        <v>1</v>
      </c>
      <c r="AK4" s="241">
        <v>1</v>
      </c>
      <c r="AL4" s="241">
        <v>1</v>
      </c>
      <c r="AM4" s="241">
        <v>1</v>
      </c>
      <c r="AN4" s="241">
        <v>1</v>
      </c>
      <c r="AO4" s="241">
        <v>1</v>
      </c>
      <c r="AP4" s="241">
        <v>1</v>
      </c>
      <c r="AQ4" s="241">
        <v>1</v>
      </c>
      <c r="AR4" s="241">
        <v>1</v>
      </c>
      <c r="AS4" s="241">
        <v>1</v>
      </c>
      <c r="AT4" s="241">
        <v>1</v>
      </c>
      <c r="AU4" s="241">
        <v>1</v>
      </c>
      <c r="AV4" s="241">
        <v>1</v>
      </c>
      <c r="AW4" s="241">
        <v>1</v>
      </c>
      <c r="AX4" s="241">
        <v>1</v>
      </c>
      <c r="AY4" s="241">
        <v>1</v>
      </c>
      <c r="AZ4" s="241">
        <v>1</v>
      </c>
      <c r="BA4" s="241">
        <v>1</v>
      </c>
      <c r="BB4" s="241">
        <v>1</v>
      </c>
      <c r="BC4" s="241">
        <v>1</v>
      </c>
      <c r="BD4" s="241">
        <v>1</v>
      </c>
      <c r="BE4" s="241">
        <v>1</v>
      </c>
      <c r="BF4" s="241">
        <v>1</v>
      </c>
      <c r="BG4" s="241">
        <v>1</v>
      </c>
      <c r="BH4" s="241">
        <v>1</v>
      </c>
      <c r="BI4" s="241">
        <v>1</v>
      </c>
      <c r="BJ4" s="241">
        <v>1</v>
      </c>
      <c r="BK4" s="241">
        <v>1</v>
      </c>
      <c r="BL4" s="241">
        <v>1</v>
      </c>
      <c r="BM4" s="241">
        <v>1</v>
      </c>
      <c r="BN4" s="241">
        <v>1</v>
      </c>
      <c r="BO4" s="241">
        <v>1</v>
      </c>
      <c r="BP4" s="241">
        <v>1</v>
      </c>
      <c r="BQ4" s="241">
        <v>1</v>
      </c>
      <c r="BR4" s="241">
        <v>1</v>
      </c>
      <c r="BS4" s="241">
        <v>1</v>
      </c>
      <c r="BT4" s="241">
        <v>1</v>
      </c>
      <c r="BU4" s="241">
        <v>1</v>
      </c>
      <c r="BV4" s="241">
        <v>1</v>
      </c>
      <c r="BW4" s="241">
        <v>1</v>
      </c>
      <c r="BX4" s="241">
        <v>1</v>
      </c>
      <c r="BY4" s="241">
        <v>1</v>
      </c>
      <c r="BZ4" s="241">
        <v>1</v>
      </c>
      <c r="CA4" s="241">
        <v>1</v>
      </c>
      <c r="CB4" s="241">
        <v>1</v>
      </c>
      <c r="CC4" s="241">
        <v>1</v>
      </c>
      <c r="CD4" s="241">
        <v>1</v>
      </c>
      <c r="CE4" s="241">
        <v>1</v>
      </c>
      <c r="CF4" s="241">
        <v>1</v>
      </c>
      <c r="CG4" s="241">
        <v>1</v>
      </c>
      <c r="CH4" s="241">
        <v>1</v>
      </c>
      <c r="CI4" s="241">
        <v>1</v>
      </c>
      <c r="CJ4" s="241">
        <v>1</v>
      </c>
      <c r="CK4" s="241">
        <v>1</v>
      </c>
      <c r="CL4" s="241">
        <v>1</v>
      </c>
      <c r="CM4" s="241">
        <v>1</v>
      </c>
      <c r="CN4" s="241">
        <v>1</v>
      </c>
      <c r="CO4" s="241">
        <v>1</v>
      </c>
      <c r="CP4" s="241">
        <v>1</v>
      </c>
      <c r="CQ4" s="241">
        <v>1</v>
      </c>
      <c r="CR4" s="241">
        <v>1</v>
      </c>
      <c r="CS4" s="241">
        <v>1</v>
      </c>
      <c r="CT4" s="241">
        <v>1</v>
      </c>
      <c r="CU4" s="241">
        <v>1</v>
      </c>
      <c r="CV4" s="241">
        <v>1</v>
      </c>
      <c r="CW4" s="241">
        <v>1</v>
      </c>
      <c r="CX4" s="241">
        <v>1</v>
      </c>
      <c r="CY4" s="241">
        <v>1</v>
      </c>
      <c r="CZ4" s="241">
        <v>1</v>
      </c>
      <c r="DA4" s="241">
        <v>1</v>
      </c>
      <c r="DB4" s="241">
        <v>1</v>
      </c>
      <c r="DC4" s="241">
        <v>1</v>
      </c>
      <c r="DD4" s="241">
        <v>1</v>
      </c>
      <c r="DE4" s="241">
        <v>1</v>
      </c>
      <c r="DF4" s="241">
        <v>1</v>
      </c>
      <c r="DG4" s="241">
        <v>1</v>
      </c>
      <c r="DH4" s="241">
        <v>1</v>
      </c>
      <c r="DI4" s="241">
        <v>1</v>
      </c>
      <c r="DJ4" s="241">
        <v>1</v>
      </c>
      <c r="DK4" s="241">
        <v>1</v>
      </c>
      <c r="DL4" s="241">
        <v>1</v>
      </c>
      <c r="DM4" s="241">
        <v>1</v>
      </c>
      <c r="DN4" s="241">
        <v>1</v>
      </c>
      <c r="DO4" s="241">
        <v>1</v>
      </c>
      <c r="DP4" s="241">
        <v>1</v>
      </c>
      <c r="DQ4" s="241">
        <v>1</v>
      </c>
      <c r="DR4" s="241">
        <v>1</v>
      </c>
      <c r="DS4" s="241">
        <v>1</v>
      </c>
      <c r="DT4" s="241">
        <v>1</v>
      </c>
      <c r="DU4" s="241">
        <v>1</v>
      </c>
      <c r="DV4" s="241">
        <v>1</v>
      </c>
      <c r="DW4" s="241">
        <v>1</v>
      </c>
      <c r="DX4" s="241">
        <v>1</v>
      </c>
      <c r="DY4" s="241">
        <v>1</v>
      </c>
      <c r="DZ4" s="241">
        <v>1</v>
      </c>
      <c r="EA4" s="241">
        <v>1</v>
      </c>
      <c r="EB4" s="241">
        <v>1</v>
      </c>
      <c r="EC4" s="241">
        <v>1</v>
      </c>
      <c r="ED4" s="241">
        <v>1</v>
      </c>
      <c r="EE4" s="241">
        <v>1</v>
      </c>
      <c r="EF4" s="241">
        <v>1</v>
      </c>
      <c r="EG4" s="241">
        <v>1</v>
      </c>
      <c r="EH4" s="241">
        <v>1</v>
      </c>
      <c r="EI4" s="241">
        <v>1</v>
      </c>
      <c r="EJ4" s="241">
        <v>1</v>
      </c>
      <c r="EK4" s="241">
        <v>1</v>
      </c>
      <c r="EL4" s="241">
        <v>1</v>
      </c>
      <c r="EM4" s="241">
        <v>1</v>
      </c>
      <c r="EN4" s="241">
        <v>1</v>
      </c>
      <c r="EO4" s="241">
        <v>1</v>
      </c>
      <c r="EP4" s="241">
        <v>1</v>
      </c>
      <c r="EQ4" s="241">
        <v>1</v>
      </c>
      <c r="ER4" s="241">
        <v>1</v>
      </c>
      <c r="ES4" s="241">
        <v>1</v>
      </c>
      <c r="ET4" s="241">
        <v>1</v>
      </c>
      <c r="EU4" s="241">
        <v>1</v>
      </c>
      <c r="EV4" s="241">
        <v>1</v>
      </c>
      <c r="EW4" s="241">
        <v>1</v>
      </c>
      <c r="EX4" s="241">
        <v>1</v>
      </c>
      <c r="EY4" s="241">
        <v>1</v>
      </c>
      <c r="EZ4" s="241">
        <v>1</v>
      </c>
      <c r="FA4" s="241">
        <v>1</v>
      </c>
      <c r="FB4" s="241">
        <v>1</v>
      </c>
      <c r="FC4" s="241">
        <v>1</v>
      </c>
      <c r="FD4" s="241">
        <v>1</v>
      </c>
      <c r="FE4" s="241">
        <v>1</v>
      </c>
      <c r="FF4" s="241">
        <v>1</v>
      </c>
      <c r="FG4" s="241">
        <v>1</v>
      </c>
      <c r="FH4" s="241">
        <v>1</v>
      </c>
      <c r="FI4" s="241">
        <v>1</v>
      </c>
      <c r="FJ4" s="241">
        <v>1</v>
      </c>
      <c r="FK4" s="241">
        <v>1</v>
      </c>
      <c r="FL4" s="241">
        <v>1</v>
      </c>
      <c r="FM4" s="241">
        <v>1</v>
      </c>
      <c r="FN4" s="241">
        <v>1</v>
      </c>
      <c r="FO4" s="241">
        <v>1</v>
      </c>
      <c r="FP4" s="241">
        <v>1</v>
      </c>
      <c r="FQ4" s="241">
        <v>1</v>
      </c>
      <c r="FR4" s="241">
        <v>1</v>
      </c>
      <c r="FS4" s="241">
        <v>1</v>
      </c>
      <c r="FT4" s="241">
        <v>1</v>
      </c>
      <c r="FU4" s="241">
        <v>1</v>
      </c>
      <c r="FV4" s="241">
        <v>1</v>
      </c>
      <c r="FW4" s="241">
        <v>1</v>
      </c>
      <c r="FX4" s="241">
        <v>1</v>
      </c>
      <c r="FY4" s="241">
        <v>1</v>
      </c>
      <c r="FZ4" s="241">
        <v>1</v>
      </c>
      <c r="GA4" s="241">
        <v>1</v>
      </c>
      <c r="GB4" s="241">
        <v>1</v>
      </c>
      <c r="GC4" s="241">
        <v>1</v>
      </c>
      <c r="GD4" s="241">
        <v>1</v>
      </c>
      <c r="GE4" s="241">
        <v>1</v>
      </c>
      <c r="GF4" s="241">
        <v>1</v>
      </c>
      <c r="GG4" s="241">
        <v>1</v>
      </c>
      <c r="GH4" s="241">
        <v>1</v>
      </c>
      <c r="GI4" s="241">
        <v>1</v>
      </c>
      <c r="GJ4" s="241">
        <v>1</v>
      </c>
      <c r="GK4" s="241">
        <v>1</v>
      </c>
      <c r="GL4" s="241">
        <v>1</v>
      </c>
      <c r="GM4" s="241">
        <v>1</v>
      </c>
      <c r="GN4" s="241">
        <v>1</v>
      </c>
      <c r="GO4" s="241">
        <v>1</v>
      </c>
      <c r="GP4" s="241">
        <v>1</v>
      </c>
      <c r="GQ4" s="241">
        <v>1</v>
      </c>
      <c r="GR4" s="241">
        <v>1</v>
      </c>
      <c r="GS4" s="241">
        <v>1</v>
      </c>
      <c r="GT4" s="241">
        <v>1</v>
      </c>
      <c r="GU4" s="241">
        <v>1</v>
      </c>
      <c r="GV4" s="241">
        <v>1</v>
      </c>
      <c r="GW4" s="241">
        <v>1</v>
      </c>
      <c r="GX4" s="241">
        <v>1</v>
      </c>
      <c r="GY4" s="241">
        <v>1</v>
      </c>
      <c r="GZ4" s="241">
        <v>1</v>
      </c>
      <c r="HA4" s="241">
        <v>1</v>
      </c>
      <c r="HB4" s="241">
        <v>1</v>
      </c>
      <c r="HC4" s="241">
        <v>1</v>
      </c>
      <c r="HD4" s="241">
        <v>1</v>
      </c>
      <c r="HE4" s="241">
        <v>1</v>
      </c>
      <c r="HF4" s="241">
        <v>1</v>
      </c>
      <c r="HG4" s="241">
        <v>1</v>
      </c>
      <c r="HH4" s="241">
        <v>1</v>
      </c>
      <c r="HI4" s="241">
        <v>1</v>
      </c>
      <c r="HJ4" s="241">
        <v>1</v>
      </c>
      <c r="HK4" s="241">
        <v>1</v>
      </c>
      <c r="HL4" s="241">
        <v>1</v>
      </c>
      <c r="HM4" s="241">
        <v>1</v>
      </c>
      <c r="HN4" s="241">
        <v>1</v>
      </c>
      <c r="HO4" s="241">
        <v>1</v>
      </c>
      <c r="HP4" s="241">
        <v>1</v>
      </c>
      <c r="HQ4" s="241">
        <v>1</v>
      </c>
      <c r="HR4" s="241">
        <v>1</v>
      </c>
      <c r="HS4" s="241">
        <v>1</v>
      </c>
      <c r="HT4" s="241">
        <v>1</v>
      </c>
      <c r="HU4" s="241">
        <v>1</v>
      </c>
      <c r="HV4" s="241">
        <v>1</v>
      </c>
      <c r="HW4" s="241">
        <v>1</v>
      </c>
      <c r="HX4" s="241">
        <v>1</v>
      </c>
      <c r="HY4" s="241">
        <v>1</v>
      </c>
      <c r="HZ4" s="241">
        <v>1</v>
      </c>
      <c r="IA4" s="241">
        <v>1</v>
      </c>
      <c r="IB4" s="241">
        <v>1</v>
      </c>
      <c r="IC4" s="241">
        <v>1</v>
      </c>
      <c r="ID4" s="241">
        <v>1</v>
      </c>
      <c r="IE4" s="241">
        <v>1</v>
      </c>
      <c r="IF4" s="241">
        <v>1</v>
      </c>
      <c r="IG4" s="241">
        <v>1</v>
      </c>
      <c r="IH4" s="241">
        <v>1</v>
      </c>
      <c r="II4" s="241">
        <v>1</v>
      </c>
      <c r="IJ4" s="241">
        <v>1</v>
      </c>
      <c r="IK4" s="241">
        <v>1</v>
      </c>
      <c r="IL4" s="241">
        <v>1</v>
      </c>
      <c r="IM4" s="241">
        <v>1</v>
      </c>
      <c r="IN4" s="241">
        <v>1</v>
      </c>
      <c r="IO4" s="241">
        <v>1</v>
      </c>
      <c r="IP4" s="241">
        <v>1</v>
      </c>
      <c r="IQ4" s="241">
        <v>1</v>
      </c>
      <c r="IR4" s="241">
        <v>1</v>
      </c>
      <c r="IS4" s="241">
        <v>1</v>
      </c>
      <c r="IT4" s="241">
        <v>1</v>
      </c>
      <c r="IU4" s="241">
        <v>1</v>
      </c>
      <c r="IV4" s="241">
        <v>1</v>
      </c>
      <c r="IW4" s="241">
        <v>1</v>
      </c>
      <c r="IX4" s="241">
        <v>1</v>
      </c>
      <c r="IY4" s="241">
        <v>1</v>
      </c>
      <c r="IZ4" s="241">
        <v>1</v>
      </c>
      <c r="JA4" s="241">
        <v>1</v>
      </c>
      <c r="JB4" s="241">
        <v>1</v>
      </c>
      <c r="JC4" s="241">
        <v>1</v>
      </c>
      <c r="JD4" s="241">
        <v>1</v>
      </c>
      <c r="JE4" s="241">
        <v>1</v>
      </c>
      <c r="JF4" s="241">
        <v>1</v>
      </c>
      <c r="JG4" s="241">
        <v>1</v>
      </c>
      <c r="JH4" s="241">
        <v>1</v>
      </c>
      <c r="JI4" s="241">
        <v>1</v>
      </c>
      <c r="JJ4" s="241">
        <v>1</v>
      </c>
      <c r="JK4" s="241">
        <v>1</v>
      </c>
      <c r="JL4" s="241">
        <v>1</v>
      </c>
      <c r="JM4" s="241">
        <v>1</v>
      </c>
      <c r="JN4" s="241">
        <v>1</v>
      </c>
      <c r="JO4" s="241">
        <v>1</v>
      </c>
      <c r="JP4" s="241">
        <v>1</v>
      </c>
      <c r="JQ4" s="241">
        <v>1</v>
      </c>
      <c r="JR4" s="241">
        <v>1</v>
      </c>
      <c r="JS4" s="241">
        <v>1</v>
      </c>
      <c r="JT4" s="241">
        <v>1</v>
      </c>
      <c r="JU4" s="241">
        <v>1</v>
      </c>
      <c r="JV4" s="241">
        <v>1</v>
      </c>
      <c r="JW4" s="241">
        <v>1</v>
      </c>
      <c r="JX4" s="241">
        <v>1</v>
      </c>
      <c r="JY4" s="241">
        <v>1</v>
      </c>
      <c r="JZ4" s="241">
        <v>1</v>
      </c>
      <c r="KA4" s="241">
        <v>1</v>
      </c>
      <c r="KB4" s="241">
        <v>1</v>
      </c>
      <c r="KC4" s="241">
        <v>1</v>
      </c>
      <c r="KD4" s="241">
        <v>1</v>
      </c>
      <c r="KE4" s="241">
        <v>1</v>
      </c>
      <c r="KF4" s="241">
        <v>1</v>
      </c>
      <c r="KG4" s="241">
        <v>1</v>
      </c>
      <c r="KH4" s="241">
        <v>1</v>
      </c>
      <c r="KI4" s="241">
        <v>1</v>
      </c>
      <c r="KJ4" s="241">
        <v>1</v>
      </c>
      <c r="KK4" s="241">
        <v>1</v>
      </c>
      <c r="KL4" s="241">
        <v>1</v>
      </c>
      <c r="KM4" s="241">
        <v>1</v>
      </c>
      <c r="KN4" s="241">
        <v>1</v>
      </c>
      <c r="KO4" s="241">
        <v>1</v>
      </c>
      <c r="KP4" s="241">
        <v>1</v>
      </c>
      <c r="KQ4" s="241">
        <v>1</v>
      </c>
      <c r="KR4" s="241">
        <v>1</v>
      </c>
    </row>
    <row r="5" spans="1:304" hidden="1" x14ac:dyDescent="0.3">
      <c r="B5" s="237" t="s">
        <v>170</v>
      </c>
      <c r="C5" s="238">
        <f>COUNTIF(E5:KS5,"&gt;0")</f>
        <v>296</v>
      </c>
      <c r="D5" s="239"/>
      <c r="E5" s="241"/>
      <c r="F5" s="241"/>
      <c r="G5" s="241"/>
      <c r="H5" s="241"/>
      <c r="I5" s="241">
        <v>1</v>
      </c>
      <c r="J5" s="241">
        <v>1</v>
      </c>
      <c r="K5" s="241">
        <v>1</v>
      </c>
      <c r="L5" s="241">
        <v>1</v>
      </c>
      <c r="M5" s="244">
        <v>1</v>
      </c>
      <c r="N5" s="244">
        <v>1</v>
      </c>
      <c r="O5" s="244">
        <v>1</v>
      </c>
      <c r="P5" s="244">
        <v>1</v>
      </c>
      <c r="Q5" s="241">
        <v>1</v>
      </c>
      <c r="R5" s="241">
        <v>1</v>
      </c>
      <c r="S5" s="241">
        <v>1</v>
      </c>
      <c r="T5" s="241">
        <v>1</v>
      </c>
      <c r="U5" s="241">
        <v>1</v>
      </c>
      <c r="V5" s="241">
        <v>1</v>
      </c>
      <c r="W5" s="241">
        <v>1</v>
      </c>
      <c r="X5" s="241">
        <v>1</v>
      </c>
      <c r="Y5" s="241">
        <v>1</v>
      </c>
      <c r="Z5" s="241">
        <v>1</v>
      </c>
      <c r="AA5" s="241">
        <v>1</v>
      </c>
      <c r="AB5" s="241">
        <v>1</v>
      </c>
      <c r="AC5" s="241">
        <v>1</v>
      </c>
      <c r="AD5" s="241">
        <v>1</v>
      </c>
      <c r="AE5" s="241">
        <v>1</v>
      </c>
      <c r="AF5" s="241">
        <v>1</v>
      </c>
      <c r="AG5" s="241">
        <v>1</v>
      </c>
      <c r="AH5" s="241">
        <v>1</v>
      </c>
      <c r="AI5" s="241">
        <v>1</v>
      </c>
      <c r="AJ5" s="241">
        <v>1</v>
      </c>
      <c r="AK5" s="241">
        <v>1</v>
      </c>
      <c r="AL5" s="241">
        <v>1</v>
      </c>
      <c r="AM5" s="241">
        <v>1</v>
      </c>
      <c r="AN5" s="241">
        <v>1</v>
      </c>
      <c r="AO5" s="241">
        <v>1</v>
      </c>
      <c r="AP5" s="241">
        <v>1</v>
      </c>
      <c r="AQ5" s="241">
        <v>1</v>
      </c>
      <c r="AR5" s="241">
        <v>1</v>
      </c>
      <c r="AS5" s="241">
        <v>1</v>
      </c>
      <c r="AT5" s="241">
        <v>1</v>
      </c>
      <c r="AU5" s="241">
        <v>1</v>
      </c>
      <c r="AV5" s="241">
        <v>1</v>
      </c>
      <c r="AW5" s="241">
        <v>1</v>
      </c>
      <c r="AX5" s="241">
        <v>1</v>
      </c>
      <c r="AY5" s="241">
        <v>1</v>
      </c>
      <c r="AZ5" s="241">
        <v>1</v>
      </c>
      <c r="BA5" s="241">
        <v>1</v>
      </c>
      <c r="BB5" s="241">
        <v>1</v>
      </c>
      <c r="BC5" s="241">
        <v>1</v>
      </c>
      <c r="BD5" s="241">
        <v>1</v>
      </c>
      <c r="BE5" s="241">
        <v>1</v>
      </c>
      <c r="BF5" s="241">
        <v>1</v>
      </c>
      <c r="BG5" s="241">
        <v>1</v>
      </c>
      <c r="BH5" s="241">
        <v>1</v>
      </c>
      <c r="BI5" s="241">
        <v>1</v>
      </c>
      <c r="BJ5" s="241">
        <v>1</v>
      </c>
      <c r="BK5" s="241">
        <v>1</v>
      </c>
      <c r="BL5" s="241">
        <v>1</v>
      </c>
      <c r="BM5" s="241">
        <v>1</v>
      </c>
      <c r="BN5" s="241">
        <v>1</v>
      </c>
      <c r="BO5" s="241">
        <v>1</v>
      </c>
      <c r="BP5" s="241">
        <v>1</v>
      </c>
      <c r="BQ5" s="241">
        <v>1</v>
      </c>
      <c r="BR5" s="241">
        <v>1</v>
      </c>
      <c r="BS5" s="241">
        <v>1</v>
      </c>
      <c r="BT5" s="241">
        <v>1</v>
      </c>
      <c r="BU5" s="241">
        <v>1</v>
      </c>
      <c r="BV5" s="241">
        <v>1</v>
      </c>
      <c r="BW5" s="241">
        <v>1</v>
      </c>
      <c r="BX5" s="241">
        <v>1</v>
      </c>
      <c r="BY5" s="241">
        <v>1</v>
      </c>
      <c r="BZ5" s="241">
        <v>1</v>
      </c>
      <c r="CA5" s="241">
        <v>1</v>
      </c>
      <c r="CB5" s="241">
        <v>1</v>
      </c>
      <c r="CC5" s="241">
        <v>1</v>
      </c>
      <c r="CD5" s="241">
        <v>1</v>
      </c>
      <c r="CE5" s="241">
        <v>1</v>
      </c>
      <c r="CF5" s="241">
        <v>1</v>
      </c>
      <c r="CG5" s="241">
        <v>1</v>
      </c>
      <c r="CH5" s="241">
        <v>1</v>
      </c>
      <c r="CI5" s="241">
        <v>1</v>
      </c>
      <c r="CJ5" s="241">
        <v>1</v>
      </c>
      <c r="CK5" s="241">
        <v>1</v>
      </c>
      <c r="CL5" s="241">
        <v>1</v>
      </c>
      <c r="CM5" s="241">
        <v>1</v>
      </c>
      <c r="CN5" s="241">
        <v>1</v>
      </c>
      <c r="CO5" s="241">
        <v>1</v>
      </c>
      <c r="CP5" s="241">
        <v>1</v>
      </c>
      <c r="CQ5" s="241">
        <v>1</v>
      </c>
      <c r="CR5" s="241">
        <v>1</v>
      </c>
      <c r="CS5" s="241">
        <v>1</v>
      </c>
      <c r="CT5" s="241">
        <v>1</v>
      </c>
      <c r="CU5" s="241">
        <v>1</v>
      </c>
      <c r="CV5" s="241">
        <v>1</v>
      </c>
      <c r="CW5" s="241">
        <v>1</v>
      </c>
      <c r="CX5" s="241">
        <v>1</v>
      </c>
      <c r="CY5" s="241">
        <v>1</v>
      </c>
      <c r="CZ5" s="241">
        <v>1</v>
      </c>
      <c r="DA5" s="241">
        <v>1</v>
      </c>
      <c r="DB5" s="241">
        <v>1</v>
      </c>
      <c r="DC5" s="241">
        <v>1</v>
      </c>
      <c r="DD5" s="241">
        <v>1</v>
      </c>
      <c r="DE5" s="241">
        <v>1</v>
      </c>
      <c r="DF5" s="241">
        <v>1</v>
      </c>
      <c r="DG5" s="241">
        <v>1</v>
      </c>
      <c r="DH5" s="241">
        <v>1</v>
      </c>
      <c r="DI5" s="241">
        <v>1</v>
      </c>
      <c r="DJ5" s="241">
        <v>1</v>
      </c>
      <c r="DK5" s="241">
        <v>1</v>
      </c>
      <c r="DL5" s="241">
        <v>1</v>
      </c>
      <c r="DM5" s="241">
        <v>1</v>
      </c>
      <c r="DN5" s="241">
        <v>1</v>
      </c>
      <c r="DO5" s="241">
        <v>1</v>
      </c>
      <c r="DP5" s="241">
        <v>1</v>
      </c>
      <c r="DQ5" s="241">
        <v>1</v>
      </c>
      <c r="DR5" s="241">
        <v>1</v>
      </c>
      <c r="DS5" s="241">
        <v>1</v>
      </c>
      <c r="DT5" s="241">
        <v>1</v>
      </c>
      <c r="DU5" s="241">
        <v>1</v>
      </c>
      <c r="DV5" s="241">
        <v>1</v>
      </c>
      <c r="DW5" s="241">
        <v>1</v>
      </c>
      <c r="DX5" s="241">
        <v>1</v>
      </c>
      <c r="DY5" s="241">
        <v>1</v>
      </c>
      <c r="DZ5" s="241">
        <v>1</v>
      </c>
      <c r="EA5" s="241">
        <v>1</v>
      </c>
      <c r="EB5" s="241">
        <v>1</v>
      </c>
      <c r="EC5" s="241">
        <v>1</v>
      </c>
      <c r="ED5" s="241">
        <v>1</v>
      </c>
      <c r="EE5" s="241">
        <v>1</v>
      </c>
      <c r="EF5" s="241">
        <v>1</v>
      </c>
      <c r="EG5" s="241">
        <v>1</v>
      </c>
      <c r="EH5" s="241">
        <v>1</v>
      </c>
      <c r="EI5" s="241">
        <v>1</v>
      </c>
      <c r="EJ5" s="241">
        <v>1</v>
      </c>
      <c r="EK5" s="241">
        <v>1</v>
      </c>
      <c r="EL5" s="241">
        <v>1</v>
      </c>
      <c r="EM5" s="241">
        <v>1</v>
      </c>
      <c r="EN5" s="241">
        <v>1</v>
      </c>
      <c r="EO5" s="241">
        <v>1</v>
      </c>
      <c r="EP5" s="241">
        <v>1</v>
      </c>
      <c r="EQ5" s="241">
        <v>1</v>
      </c>
      <c r="ER5" s="241">
        <v>1</v>
      </c>
      <c r="ES5" s="241">
        <v>1</v>
      </c>
      <c r="ET5" s="241">
        <v>1</v>
      </c>
      <c r="EU5" s="241">
        <v>1</v>
      </c>
      <c r="EV5" s="241">
        <v>1</v>
      </c>
      <c r="EW5" s="241">
        <v>1</v>
      </c>
      <c r="EX5" s="241">
        <v>1</v>
      </c>
      <c r="EY5" s="241">
        <v>1</v>
      </c>
      <c r="EZ5" s="241">
        <v>1</v>
      </c>
      <c r="FA5" s="241">
        <v>1</v>
      </c>
      <c r="FB5" s="241">
        <v>1</v>
      </c>
      <c r="FC5" s="241">
        <v>1</v>
      </c>
      <c r="FD5" s="241">
        <v>1</v>
      </c>
      <c r="FE5" s="241">
        <v>1</v>
      </c>
      <c r="FF5" s="241">
        <v>1</v>
      </c>
      <c r="FG5" s="241">
        <v>1</v>
      </c>
      <c r="FH5" s="241">
        <v>1</v>
      </c>
      <c r="FI5" s="241">
        <v>1</v>
      </c>
      <c r="FJ5" s="241">
        <v>1</v>
      </c>
      <c r="FK5" s="241">
        <v>1</v>
      </c>
      <c r="FL5" s="241">
        <v>1</v>
      </c>
      <c r="FM5" s="241">
        <v>1</v>
      </c>
      <c r="FN5" s="241">
        <v>1</v>
      </c>
      <c r="FO5" s="241">
        <v>1</v>
      </c>
      <c r="FP5" s="241">
        <v>1</v>
      </c>
      <c r="FQ5" s="241">
        <v>1</v>
      </c>
      <c r="FR5" s="241">
        <v>1</v>
      </c>
      <c r="FS5" s="241">
        <v>1</v>
      </c>
      <c r="FT5" s="241">
        <v>1</v>
      </c>
      <c r="FU5" s="241">
        <v>1</v>
      </c>
      <c r="FV5" s="241">
        <v>1</v>
      </c>
      <c r="FW5" s="241">
        <v>1</v>
      </c>
      <c r="FX5" s="241">
        <v>1</v>
      </c>
      <c r="FY5" s="241">
        <v>1</v>
      </c>
      <c r="FZ5" s="241">
        <v>1</v>
      </c>
      <c r="GA5" s="241">
        <v>1</v>
      </c>
      <c r="GB5" s="241">
        <v>1</v>
      </c>
      <c r="GC5" s="241">
        <v>1</v>
      </c>
      <c r="GD5" s="241">
        <v>1</v>
      </c>
      <c r="GE5" s="241">
        <v>1</v>
      </c>
      <c r="GF5" s="241">
        <v>1</v>
      </c>
      <c r="GG5" s="241">
        <v>1</v>
      </c>
      <c r="GH5" s="241">
        <v>1</v>
      </c>
      <c r="GI5" s="241">
        <v>1</v>
      </c>
      <c r="GJ5" s="241">
        <v>1</v>
      </c>
      <c r="GK5" s="241">
        <v>1</v>
      </c>
      <c r="GL5" s="241">
        <v>1</v>
      </c>
      <c r="GM5" s="241">
        <v>1</v>
      </c>
      <c r="GN5" s="241">
        <v>1</v>
      </c>
      <c r="GO5" s="241">
        <v>1</v>
      </c>
      <c r="GP5" s="241">
        <v>1</v>
      </c>
      <c r="GQ5" s="241">
        <v>1</v>
      </c>
      <c r="GR5" s="241">
        <v>1</v>
      </c>
      <c r="GS5" s="241">
        <v>1</v>
      </c>
      <c r="GT5" s="241">
        <v>1</v>
      </c>
      <c r="GU5" s="241">
        <v>1</v>
      </c>
      <c r="GV5" s="241">
        <v>1</v>
      </c>
      <c r="GW5" s="241">
        <v>1</v>
      </c>
      <c r="GX5" s="241">
        <v>1</v>
      </c>
      <c r="GY5" s="241">
        <v>1</v>
      </c>
      <c r="GZ5" s="241">
        <v>1</v>
      </c>
      <c r="HA5" s="241">
        <v>1</v>
      </c>
      <c r="HB5" s="241">
        <v>1</v>
      </c>
      <c r="HC5" s="241">
        <v>1</v>
      </c>
      <c r="HD5" s="241">
        <v>1</v>
      </c>
      <c r="HE5" s="241">
        <v>1</v>
      </c>
      <c r="HF5" s="241">
        <v>1</v>
      </c>
      <c r="HG5" s="241">
        <v>1</v>
      </c>
      <c r="HH5" s="241">
        <v>1</v>
      </c>
      <c r="HI5" s="241">
        <v>1</v>
      </c>
      <c r="HJ5" s="241">
        <v>1</v>
      </c>
      <c r="HK5" s="241">
        <v>1</v>
      </c>
      <c r="HL5" s="241">
        <v>1</v>
      </c>
      <c r="HM5" s="241">
        <v>1</v>
      </c>
      <c r="HN5" s="241">
        <v>1</v>
      </c>
      <c r="HO5" s="241">
        <v>1</v>
      </c>
      <c r="HP5" s="241">
        <v>1</v>
      </c>
      <c r="HQ5" s="241">
        <v>1</v>
      </c>
      <c r="HR5" s="241">
        <v>1</v>
      </c>
      <c r="HS5" s="241">
        <v>1</v>
      </c>
      <c r="HT5" s="241">
        <v>1</v>
      </c>
      <c r="HU5" s="241">
        <v>1</v>
      </c>
      <c r="HV5" s="241">
        <v>1</v>
      </c>
      <c r="HW5" s="241">
        <v>1</v>
      </c>
      <c r="HX5" s="241">
        <v>1</v>
      </c>
      <c r="HY5" s="241">
        <v>1</v>
      </c>
      <c r="HZ5" s="241">
        <v>1</v>
      </c>
      <c r="IA5" s="241">
        <v>1</v>
      </c>
      <c r="IB5" s="241">
        <v>1</v>
      </c>
      <c r="IC5" s="241">
        <v>1</v>
      </c>
      <c r="ID5" s="241">
        <v>1</v>
      </c>
      <c r="IE5" s="241">
        <v>1</v>
      </c>
      <c r="IF5" s="241">
        <v>1</v>
      </c>
      <c r="IG5" s="241">
        <v>1</v>
      </c>
      <c r="IH5" s="241">
        <v>1</v>
      </c>
      <c r="II5" s="241">
        <v>1</v>
      </c>
      <c r="IJ5" s="241">
        <v>1</v>
      </c>
      <c r="IK5" s="241">
        <v>1</v>
      </c>
      <c r="IL5" s="241">
        <v>1</v>
      </c>
      <c r="IM5" s="241">
        <v>1</v>
      </c>
      <c r="IN5" s="241">
        <v>1</v>
      </c>
      <c r="IO5" s="241">
        <v>1</v>
      </c>
      <c r="IP5" s="241">
        <v>1</v>
      </c>
      <c r="IQ5" s="241">
        <v>1</v>
      </c>
      <c r="IR5" s="241">
        <v>1</v>
      </c>
      <c r="IS5" s="241">
        <v>1</v>
      </c>
      <c r="IT5" s="241">
        <v>1</v>
      </c>
      <c r="IU5" s="241">
        <v>1</v>
      </c>
      <c r="IV5" s="241">
        <v>1</v>
      </c>
      <c r="IW5" s="241">
        <v>1</v>
      </c>
      <c r="IX5" s="241">
        <v>1</v>
      </c>
      <c r="IY5" s="241">
        <v>1</v>
      </c>
      <c r="IZ5" s="241">
        <v>1</v>
      </c>
      <c r="JA5" s="241">
        <v>1</v>
      </c>
      <c r="JB5" s="241">
        <v>1</v>
      </c>
      <c r="JC5" s="241">
        <v>1</v>
      </c>
      <c r="JD5" s="241">
        <v>1</v>
      </c>
      <c r="JE5" s="241">
        <v>1</v>
      </c>
      <c r="JF5" s="241">
        <v>1</v>
      </c>
      <c r="JG5" s="241">
        <v>1</v>
      </c>
      <c r="JH5" s="241">
        <v>1</v>
      </c>
      <c r="JI5" s="241">
        <v>1</v>
      </c>
      <c r="JJ5" s="241">
        <v>1</v>
      </c>
      <c r="JK5" s="241">
        <v>1</v>
      </c>
      <c r="JL5" s="241">
        <v>1</v>
      </c>
      <c r="JM5" s="241">
        <v>1</v>
      </c>
      <c r="JN5" s="241">
        <v>1</v>
      </c>
      <c r="JO5" s="241">
        <v>1</v>
      </c>
      <c r="JP5" s="241">
        <v>1</v>
      </c>
      <c r="JQ5" s="241">
        <v>1</v>
      </c>
      <c r="JR5" s="241">
        <v>1</v>
      </c>
      <c r="JS5" s="241">
        <v>1</v>
      </c>
      <c r="JT5" s="241">
        <v>1</v>
      </c>
      <c r="JU5" s="241">
        <v>1</v>
      </c>
      <c r="JV5" s="241">
        <v>1</v>
      </c>
      <c r="JW5" s="241">
        <v>1</v>
      </c>
      <c r="JX5" s="241">
        <v>1</v>
      </c>
      <c r="JY5" s="241">
        <v>1</v>
      </c>
      <c r="JZ5" s="241">
        <v>1</v>
      </c>
      <c r="KA5" s="241">
        <v>1</v>
      </c>
      <c r="KB5" s="241">
        <v>1</v>
      </c>
      <c r="KC5" s="241">
        <v>1</v>
      </c>
      <c r="KD5" s="241">
        <v>1</v>
      </c>
      <c r="KE5" s="241">
        <v>1</v>
      </c>
      <c r="KF5" s="241">
        <v>1</v>
      </c>
      <c r="KG5" s="241">
        <v>1</v>
      </c>
      <c r="KH5" s="241">
        <v>1</v>
      </c>
      <c r="KI5" s="241">
        <v>1</v>
      </c>
      <c r="KJ5" s="241">
        <v>1</v>
      </c>
      <c r="KK5" s="241">
        <v>1</v>
      </c>
      <c r="KL5" s="241">
        <v>1</v>
      </c>
      <c r="KM5" s="241">
        <v>1</v>
      </c>
      <c r="KN5" s="241">
        <v>1</v>
      </c>
      <c r="KO5" s="241">
        <v>1</v>
      </c>
      <c r="KP5" s="241">
        <v>1</v>
      </c>
      <c r="KQ5" s="241">
        <v>1</v>
      </c>
      <c r="KR5" s="241">
        <v>1</v>
      </c>
    </row>
    <row r="6" spans="1:304" x14ac:dyDescent="0.3">
      <c r="A6" s="242"/>
      <c r="B6" s="243" t="s">
        <v>5265</v>
      </c>
      <c r="C6" s="238">
        <f>COUNTIF(E6:KS6,"&gt;0")</f>
        <v>292</v>
      </c>
      <c r="D6" s="241"/>
      <c r="E6" s="244">
        <v>0</v>
      </c>
      <c r="F6" s="244">
        <v>0</v>
      </c>
      <c r="G6" s="244">
        <v>0</v>
      </c>
      <c r="H6" s="244">
        <v>0</v>
      </c>
      <c r="I6" s="244">
        <v>0</v>
      </c>
      <c r="J6" s="244">
        <v>0</v>
      </c>
      <c r="K6" s="244">
        <v>0</v>
      </c>
      <c r="L6" s="244">
        <v>0</v>
      </c>
      <c r="M6" s="244">
        <v>1</v>
      </c>
      <c r="N6" s="244">
        <v>1</v>
      </c>
      <c r="O6" s="244">
        <v>1</v>
      </c>
      <c r="P6" s="244">
        <v>1</v>
      </c>
      <c r="Q6" s="241">
        <v>1</v>
      </c>
      <c r="R6" s="241">
        <v>1</v>
      </c>
      <c r="S6" s="241">
        <v>1</v>
      </c>
      <c r="T6" s="241">
        <v>1</v>
      </c>
      <c r="U6" s="241">
        <v>1</v>
      </c>
      <c r="V6" s="241">
        <v>1</v>
      </c>
      <c r="W6" s="241">
        <v>1</v>
      </c>
      <c r="X6" s="241">
        <v>1</v>
      </c>
      <c r="Y6" s="241">
        <v>1</v>
      </c>
      <c r="Z6" s="241">
        <v>1</v>
      </c>
      <c r="AA6" s="241">
        <v>1</v>
      </c>
      <c r="AB6" s="241">
        <v>1</v>
      </c>
      <c r="AC6" s="241">
        <v>1</v>
      </c>
      <c r="AD6" s="241">
        <v>1</v>
      </c>
      <c r="AE6" s="241">
        <v>1</v>
      </c>
      <c r="AF6" s="241">
        <v>1</v>
      </c>
      <c r="AG6" s="241">
        <v>1</v>
      </c>
      <c r="AH6" s="241">
        <v>1</v>
      </c>
      <c r="AI6" s="241">
        <v>1</v>
      </c>
      <c r="AJ6" s="241">
        <v>1</v>
      </c>
      <c r="AK6" s="241">
        <v>1</v>
      </c>
      <c r="AL6" s="241">
        <v>1</v>
      </c>
      <c r="AM6" s="241">
        <v>1</v>
      </c>
      <c r="AN6" s="241">
        <v>1</v>
      </c>
      <c r="AO6" s="241">
        <v>1</v>
      </c>
      <c r="AP6" s="241">
        <v>1</v>
      </c>
      <c r="AQ6" s="241">
        <v>1</v>
      </c>
      <c r="AR6" s="241">
        <v>1</v>
      </c>
      <c r="AS6" s="241">
        <v>1</v>
      </c>
      <c r="AT6" s="241">
        <v>1</v>
      </c>
      <c r="AU6" s="241">
        <v>1</v>
      </c>
      <c r="AV6" s="241">
        <v>1</v>
      </c>
      <c r="AW6" s="241">
        <v>1</v>
      </c>
      <c r="AX6" s="241">
        <v>1</v>
      </c>
      <c r="AY6" s="241">
        <v>1</v>
      </c>
      <c r="AZ6" s="241">
        <v>1</v>
      </c>
      <c r="BA6" s="241">
        <v>1</v>
      </c>
      <c r="BB6" s="241">
        <v>1</v>
      </c>
      <c r="BC6" s="241">
        <v>1</v>
      </c>
      <c r="BD6" s="241">
        <v>1</v>
      </c>
      <c r="BE6" s="241">
        <v>1</v>
      </c>
      <c r="BF6" s="241">
        <v>1</v>
      </c>
      <c r="BG6" s="241">
        <v>1</v>
      </c>
      <c r="BH6" s="241">
        <v>1</v>
      </c>
      <c r="BI6" s="241">
        <v>1</v>
      </c>
      <c r="BJ6" s="241">
        <v>1</v>
      </c>
      <c r="BK6" s="241">
        <v>1</v>
      </c>
      <c r="BL6" s="241">
        <v>1</v>
      </c>
      <c r="BM6" s="241">
        <v>1</v>
      </c>
      <c r="BN6" s="241">
        <v>1</v>
      </c>
      <c r="BO6" s="241">
        <v>1</v>
      </c>
      <c r="BP6" s="241">
        <v>1</v>
      </c>
      <c r="BQ6" s="241">
        <v>1</v>
      </c>
      <c r="BR6" s="241">
        <v>1</v>
      </c>
      <c r="BS6" s="241">
        <v>1</v>
      </c>
      <c r="BT6" s="241">
        <v>1</v>
      </c>
      <c r="BU6" s="241">
        <v>1</v>
      </c>
      <c r="BV6" s="241">
        <v>1</v>
      </c>
      <c r="BW6" s="241">
        <v>1</v>
      </c>
      <c r="BX6" s="241">
        <v>1</v>
      </c>
      <c r="BY6" s="241">
        <v>1</v>
      </c>
      <c r="BZ6" s="241">
        <v>1</v>
      </c>
      <c r="CA6" s="241">
        <v>1</v>
      </c>
      <c r="CB6" s="241">
        <v>1</v>
      </c>
      <c r="CC6" s="241">
        <v>1</v>
      </c>
      <c r="CD6" s="241">
        <v>1</v>
      </c>
      <c r="CE6" s="241">
        <v>1</v>
      </c>
      <c r="CF6" s="241">
        <v>1</v>
      </c>
      <c r="CG6" s="241">
        <v>1</v>
      </c>
      <c r="CH6" s="241">
        <v>1</v>
      </c>
      <c r="CI6" s="241">
        <v>1</v>
      </c>
      <c r="CJ6" s="241">
        <v>1</v>
      </c>
      <c r="CK6" s="241">
        <v>1</v>
      </c>
      <c r="CL6" s="241">
        <v>1</v>
      </c>
      <c r="CM6" s="241">
        <v>1</v>
      </c>
      <c r="CN6" s="241">
        <v>1</v>
      </c>
      <c r="CO6" s="241">
        <v>1</v>
      </c>
      <c r="CP6" s="241">
        <v>1</v>
      </c>
      <c r="CQ6" s="241">
        <v>1</v>
      </c>
      <c r="CR6" s="241">
        <v>1</v>
      </c>
      <c r="CS6" s="241">
        <v>1</v>
      </c>
      <c r="CT6" s="241">
        <v>1</v>
      </c>
      <c r="CU6" s="241">
        <v>1</v>
      </c>
      <c r="CV6" s="241">
        <v>1</v>
      </c>
      <c r="CW6" s="241">
        <v>1</v>
      </c>
      <c r="CX6" s="241">
        <v>1</v>
      </c>
      <c r="CY6" s="241">
        <v>1</v>
      </c>
      <c r="CZ6" s="241">
        <v>1</v>
      </c>
      <c r="DA6" s="241">
        <v>1</v>
      </c>
      <c r="DB6" s="241">
        <v>1</v>
      </c>
      <c r="DC6" s="241">
        <v>1</v>
      </c>
      <c r="DD6" s="241">
        <v>1</v>
      </c>
      <c r="DE6" s="241">
        <v>1</v>
      </c>
      <c r="DF6" s="241">
        <v>1</v>
      </c>
      <c r="DG6" s="241">
        <v>1</v>
      </c>
      <c r="DH6" s="241">
        <v>1</v>
      </c>
      <c r="DI6" s="241">
        <v>1</v>
      </c>
      <c r="DJ6" s="241">
        <v>1</v>
      </c>
      <c r="DK6" s="241">
        <v>1</v>
      </c>
      <c r="DL6" s="241">
        <v>1</v>
      </c>
      <c r="DM6" s="241">
        <v>1</v>
      </c>
      <c r="DN6" s="241">
        <v>1</v>
      </c>
      <c r="DO6" s="241">
        <v>1</v>
      </c>
      <c r="DP6" s="241">
        <v>1</v>
      </c>
      <c r="DQ6" s="241">
        <v>1</v>
      </c>
      <c r="DR6" s="241">
        <v>1</v>
      </c>
      <c r="DS6" s="241">
        <v>1</v>
      </c>
      <c r="DT6" s="241">
        <v>1</v>
      </c>
      <c r="DU6" s="241">
        <v>1</v>
      </c>
      <c r="DV6" s="241">
        <v>1</v>
      </c>
      <c r="DW6" s="241">
        <v>1</v>
      </c>
      <c r="DX6" s="241">
        <v>1</v>
      </c>
      <c r="DY6" s="241">
        <v>1</v>
      </c>
      <c r="DZ6" s="241">
        <v>1</v>
      </c>
      <c r="EA6" s="241">
        <v>1</v>
      </c>
      <c r="EB6" s="241">
        <v>1</v>
      </c>
      <c r="EC6" s="241">
        <v>1</v>
      </c>
      <c r="ED6" s="241">
        <v>1</v>
      </c>
      <c r="EE6" s="241">
        <v>1</v>
      </c>
      <c r="EF6" s="241">
        <v>1</v>
      </c>
      <c r="EG6" s="241">
        <v>1</v>
      </c>
      <c r="EH6" s="241">
        <v>1</v>
      </c>
      <c r="EI6" s="241">
        <v>1</v>
      </c>
      <c r="EJ6" s="241">
        <v>1</v>
      </c>
      <c r="EK6" s="241">
        <v>1</v>
      </c>
      <c r="EL6" s="241">
        <v>1</v>
      </c>
      <c r="EM6" s="241">
        <v>1</v>
      </c>
      <c r="EN6" s="241">
        <v>1</v>
      </c>
      <c r="EO6" s="241">
        <v>1</v>
      </c>
      <c r="EP6" s="241">
        <v>1</v>
      </c>
      <c r="EQ6" s="241">
        <v>1</v>
      </c>
      <c r="ER6" s="241">
        <v>1</v>
      </c>
      <c r="ES6" s="241">
        <v>1</v>
      </c>
      <c r="ET6" s="241">
        <v>1</v>
      </c>
      <c r="EU6" s="241">
        <v>1</v>
      </c>
      <c r="EV6" s="241">
        <v>1</v>
      </c>
      <c r="EW6" s="241">
        <v>1</v>
      </c>
      <c r="EX6" s="241">
        <v>1</v>
      </c>
      <c r="EY6" s="241">
        <v>1</v>
      </c>
      <c r="EZ6" s="241">
        <v>1</v>
      </c>
      <c r="FA6" s="241">
        <v>1</v>
      </c>
      <c r="FB6" s="241">
        <v>1</v>
      </c>
      <c r="FC6" s="241">
        <v>1</v>
      </c>
      <c r="FD6" s="241">
        <v>1</v>
      </c>
      <c r="FE6" s="241">
        <v>1</v>
      </c>
      <c r="FF6" s="241">
        <v>1</v>
      </c>
      <c r="FG6" s="241">
        <v>1</v>
      </c>
      <c r="FH6" s="241">
        <v>1</v>
      </c>
      <c r="FI6" s="241">
        <v>1</v>
      </c>
      <c r="FJ6" s="241">
        <v>1</v>
      </c>
      <c r="FK6" s="241">
        <v>1</v>
      </c>
      <c r="FL6" s="241">
        <v>1</v>
      </c>
      <c r="FM6" s="241">
        <v>1</v>
      </c>
      <c r="FN6" s="241">
        <v>1</v>
      </c>
      <c r="FO6" s="241">
        <v>1</v>
      </c>
      <c r="FP6" s="241">
        <v>1</v>
      </c>
      <c r="FQ6" s="241">
        <v>1</v>
      </c>
      <c r="FR6" s="241">
        <v>1</v>
      </c>
      <c r="FS6" s="241">
        <v>1</v>
      </c>
      <c r="FT6" s="241">
        <v>1</v>
      </c>
      <c r="FU6" s="241">
        <v>1</v>
      </c>
      <c r="FV6" s="241">
        <v>1</v>
      </c>
      <c r="FW6" s="241">
        <v>1</v>
      </c>
      <c r="FX6" s="241">
        <v>1</v>
      </c>
      <c r="FY6" s="241">
        <v>1</v>
      </c>
      <c r="FZ6" s="241">
        <v>1</v>
      </c>
      <c r="GA6" s="241">
        <v>1</v>
      </c>
      <c r="GB6" s="241">
        <v>1</v>
      </c>
      <c r="GC6" s="241">
        <v>1</v>
      </c>
      <c r="GD6" s="241">
        <v>1</v>
      </c>
      <c r="GE6" s="241">
        <v>1</v>
      </c>
      <c r="GF6" s="241">
        <v>1</v>
      </c>
      <c r="GG6" s="241">
        <v>1</v>
      </c>
      <c r="GH6" s="241">
        <v>1</v>
      </c>
      <c r="GI6" s="241">
        <v>1</v>
      </c>
      <c r="GJ6" s="241">
        <v>1</v>
      </c>
      <c r="GK6" s="241">
        <v>1</v>
      </c>
      <c r="GL6" s="241">
        <v>1</v>
      </c>
      <c r="GM6" s="241">
        <v>1</v>
      </c>
      <c r="GN6" s="241">
        <v>1</v>
      </c>
      <c r="GO6" s="241">
        <v>1</v>
      </c>
      <c r="GP6" s="241">
        <v>1</v>
      </c>
      <c r="GQ6" s="241">
        <v>1</v>
      </c>
      <c r="GR6" s="241">
        <v>1</v>
      </c>
      <c r="GS6" s="241">
        <v>1</v>
      </c>
      <c r="GT6" s="241">
        <v>1</v>
      </c>
      <c r="GU6" s="241">
        <v>1</v>
      </c>
      <c r="GV6" s="241">
        <v>1</v>
      </c>
      <c r="GW6" s="241">
        <v>1</v>
      </c>
      <c r="GX6" s="241">
        <v>1</v>
      </c>
      <c r="GY6" s="241">
        <v>1</v>
      </c>
      <c r="GZ6" s="241">
        <v>1</v>
      </c>
      <c r="HA6" s="241">
        <v>1</v>
      </c>
      <c r="HB6" s="241">
        <v>1</v>
      </c>
      <c r="HC6" s="241">
        <v>1</v>
      </c>
      <c r="HD6" s="241">
        <v>1</v>
      </c>
      <c r="HE6" s="241">
        <v>1</v>
      </c>
      <c r="HF6" s="241">
        <v>1</v>
      </c>
      <c r="HG6" s="241">
        <v>1</v>
      </c>
      <c r="HH6" s="241">
        <v>1</v>
      </c>
      <c r="HI6" s="241">
        <v>1</v>
      </c>
      <c r="HJ6" s="241">
        <v>1</v>
      </c>
      <c r="HK6" s="241">
        <v>1</v>
      </c>
      <c r="HL6" s="241">
        <v>1</v>
      </c>
      <c r="HM6" s="241">
        <v>1</v>
      </c>
      <c r="HN6" s="241">
        <v>1</v>
      </c>
      <c r="HO6" s="241">
        <v>1</v>
      </c>
      <c r="HP6" s="241">
        <v>1</v>
      </c>
      <c r="HQ6" s="241">
        <v>1</v>
      </c>
      <c r="HR6" s="241">
        <v>1</v>
      </c>
      <c r="HS6" s="241">
        <v>1</v>
      </c>
      <c r="HT6" s="241">
        <v>1</v>
      </c>
      <c r="HU6" s="241">
        <v>1</v>
      </c>
      <c r="HV6" s="241">
        <v>1</v>
      </c>
      <c r="HW6" s="241">
        <v>1</v>
      </c>
      <c r="HX6" s="241">
        <v>1</v>
      </c>
      <c r="HY6" s="241">
        <v>1</v>
      </c>
      <c r="HZ6" s="241">
        <v>1</v>
      </c>
      <c r="IA6" s="241">
        <v>1</v>
      </c>
      <c r="IB6" s="241">
        <v>1</v>
      </c>
      <c r="IC6" s="241">
        <v>1</v>
      </c>
      <c r="ID6" s="241">
        <v>1</v>
      </c>
      <c r="IE6" s="241">
        <v>1</v>
      </c>
      <c r="IF6" s="241">
        <v>1</v>
      </c>
      <c r="IG6" s="241">
        <v>1</v>
      </c>
      <c r="IH6" s="241">
        <v>1</v>
      </c>
      <c r="II6" s="241">
        <v>1</v>
      </c>
      <c r="IJ6" s="241">
        <v>1</v>
      </c>
      <c r="IK6" s="241">
        <v>1</v>
      </c>
      <c r="IL6" s="241">
        <v>1</v>
      </c>
      <c r="IM6" s="241">
        <v>1</v>
      </c>
      <c r="IN6" s="241">
        <v>1</v>
      </c>
      <c r="IO6" s="241">
        <v>1</v>
      </c>
      <c r="IP6" s="241">
        <v>1</v>
      </c>
      <c r="IQ6" s="241">
        <v>1</v>
      </c>
      <c r="IR6" s="241">
        <v>1</v>
      </c>
      <c r="IS6" s="241">
        <v>1</v>
      </c>
      <c r="IT6" s="241">
        <v>1</v>
      </c>
      <c r="IU6" s="241">
        <v>1</v>
      </c>
      <c r="IV6" s="241">
        <v>1</v>
      </c>
      <c r="IW6" s="241">
        <v>1</v>
      </c>
      <c r="IX6" s="241">
        <v>1</v>
      </c>
      <c r="IY6" s="241">
        <v>1</v>
      </c>
      <c r="IZ6" s="241">
        <v>1</v>
      </c>
      <c r="JA6" s="241">
        <v>1</v>
      </c>
      <c r="JB6" s="241">
        <v>1</v>
      </c>
      <c r="JC6" s="241">
        <v>1</v>
      </c>
      <c r="JD6" s="241">
        <v>1</v>
      </c>
      <c r="JE6" s="241">
        <v>1</v>
      </c>
      <c r="JF6" s="241">
        <v>1</v>
      </c>
      <c r="JG6" s="241">
        <v>1</v>
      </c>
      <c r="JH6" s="241">
        <v>1</v>
      </c>
      <c r="JI6" s="241">
        <v>1</v>
      </c>
      <c r="JJ6" s="241">
        <v>1</v>
      </c>
      <c r="JK6" s="241">
        <v>1</v>
      </c>
      <c r="JL6" s="241">
        <v>1</v>
      </c>
      <c r="JM6" s="241">
        <v>1</v>
      </c>
      <c r="JN6" s="241">
        <v>1</v>
      </c>
      <c r="JO6" s="241">
        <v>1</v>
      </c>
      <c r="JP6" s="241">
        <v>1</v>
      </c>
      <c r="JQ6" s="241">
        <v>1</v>
      </c>
      <c r="JR6" s="241">
        <v>1</v>
      </c>
      <c r="JS6" s="241">
        <v>1</v>
      </c>
      <c r="JT6" s="241">
        <v>1</v>
      </c>
      <c r="JU6" s="241">
        <v>1</v>
      </c>
      <c r="JV6" s="241">
        <v>1</v>
      </c>
      <c r="JW6" s="241">
        <v>1</v>
      </c>
      <c r="JX6" s="241">
        <v>1</v>
      </c>
      <c r="JY6" s="241">
        <v>1</v>
      </c>
      <c r="JZ6" s="241">
        <v>1</v>
      </c>
      <c r="KA6" s="241">
        <v>1</v>
      </c>
      <c r="KB6" s="241">
        <v>1</v>
      </c>
      <c r="KC6" s="241">
        <v>1</v>
      </c>
      <c r="KD6" s="241">
        <v>1</v>
      </c>
      <c r="KE6" s="241">
        <v>1</v>
      </c>
      <c r="KF6" s="241">
        <v>1</v>
      </c>
      <c r="KG6" s="241">
        <v>1</v>
      </c>
      <c r="KH6" s="241">
        <v>1</v>
      </c>
      <c r="KI6" s="241">
        <v>1</v>
      </c>
      <c r="KJ6" s="241">
        <v>1</v>
      </c>
      <c r="KK6" s="241">
        <v>1</v>
      </c>
      <c r="KL6" s="241">
        <v>1</v>
      </c>
      <c r="KM6" s="241">
        <v>1</v>
      </c>
      <c r="KN6" s="241">
        <v>1</v>
      </c>
      <c r="KO6" s="241">
        <v>1</v>
      </c>
      <c r="KP6" s="241">
        <v>1</v>
      </c>
      <c r="KQ6" s="241">
        <v>1</v>
      </c>
      <c r="KR6" s="241">
        <v>1</v>
      </c>
    </row>
    <row r="7" spans="1:304" x14ac:dyDescent="0.3">
      <c r="A7" s="242"/>
      <c r="B7" s="245"/>
      <c r="C7" s="245"/>
      <c r="D7" s="246"/>
      <c r="E7" s="247"/>
      <c r="F7" s="247"/>
      <c r="G7" s="247"/>
      <c r="H7" s="247"/>
      <c r="I7" s="247"/>
      <c r="J7" s="247"/>
      <c r="K7" s="247"/>
      <c r="L7" s="247"/>
      <c r="M7" s="493"/>
      <c r="N7" s="493"/>
      <c r="O7" s="493"/>
      <c r="P7" s="493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247"/>
      <c r="DX7" s="247"/>
      <c r="DY7" s="247"/>
      <c r="DZ7" s="247"/>
      <c r="EA7" s="247"/>
      <c r="EB7" s="247"/>
      <c r="EC7" s="247"/>
      <c r="ED7" s="247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7"/>
      <c r="ET7" s="247"/>
      <c r="EU7" s="247"/>
      <c r="EV7" s="247"/>
      <c r="EW7" s="247"/>
      <c r="EX7" s="247"/>
      <c r="EY7" s="247"/>
      <c r="EZ7" s="247"/>
      <c r="FA7" s="247"/>
      <c r="FB7" s="247"/>
      <c r="FC7" s="247"/>
      <c r="FD7" s="247"/>
      <c r="FE7" s="247"/>
      <c r="FF7" s="247"/>
      <c r="FG7" s="247"/>
      <c r="FH7" s="247"/>
      <c r="FI7" s="247"/>
      <c r="FJ7" s="247"/>
      <c r="FK7" s="247"/>
      <c r="FL7" s="247"/>
      <c r="FM7" s="247"/>
      <c r="FN7" s="247"/>
      <c r="FO7" s="247"/>
      <c r="FP7" s="247"/>
      <c r="FQ7" s="247"/>
      <c r="FR7" s="247"/>
      <c r="FS7" s="247"/>
      <c r="FT7" s="247"/>
      <c r="FU7" s="247"/>
      <c r="FV7" s="247"/>
      <c r="FW7" s="247"/>
      <c r="FX7" s="247"/>
      <c r="FY7" s="247"/>
      <c r="FZ7" s="247"/>
      <c r="GA7" s="247"/>
      <c r="GB7" s="247"/>
      <c r="GC7" s="247"/>
      <c r="GD7" s="247"/>
      <c r="GE7" s="247"/>
      <c r="GF7" s="247"/>
      <c r="GG7" s="247"/>
      <c r="GH7" s="247"/>
      <c r="GI7" s="247"/>
      <c r="GJ7" s="247"/>
      <c r="GK7" s="247"/>
      <c r="GL7" s="247"/>
      <c r="GM7" s="247"/>
      <c r="GN7" s="247"/>
      <c r="GO7" s="247"/>
      <c r="GP7" s="247"/>
      <c r="GQ7" s="247"/>
      <c r="GR7" s="247"/>
      <c r="GS7" s="247"/>
      <c r="GT7" s="247"/>
      <c r="GU7" s="247"/>
      <c r="GV7" s="247"/>
      <c r="GW7" s="247"/>
      <c r="GX7" s="247"/>
      <c r="GY7" s="247"/>
      <c r="GZ7" s="247"/>
      <c r="HA7" s="247"/>
      <c r="HB7" s="247"/>
      <c r="HC7" s="247"/>
      <c r="HD7" s="247"/>
      <c r="HE7" s="247"/>
      <c r="HF7" s="247"/>
      <c r="HG7" s="247"/>
      <c r="HH7" s="247"/>
      <c r="HI7" s="247"/>
      <c r="HJ7" s="247"/>
      <c r="HK7" s="247"/>
      <c r="HL7" s="247"/>
      <c r="HM7" s="247"/>
      <c r="HN7" s="247"/>
      <c r="HO7" s="247"/>
      <c r="HP7" s="247"/>
      <c r="HQ7" s="247"/>
      <c r="HR7" s="247"/>
      <c r="HS7" s="247"/>
      <c r="HT7" s="247"/>
      <c r="HU7" s="247"/>
      <c r="HV7" s="247"/>
      <c r="HW7" s="247"/>
      <c r="HX7" s="247"/>
      <c r="HY7" s="247"/>
      <c r="HZ7" s="247"/>
      <c r="IA7" s="247"/>
      <c r="IB7" s="247"/>
      <c r="IC7" s="247"/>
      <c r="ID7" s="247"/>
      <c r="IE7" s="247"/>
      <c r="IF7" s="247"/>
      <c r="IG7" s="247"/>
      <c r="IH7" s="247"/>
      <c r="II7" s="247"/>
      <c r="IJ7" s="247"/>
      <c r="IK7" s="247"/>
      <c r="IL7" s="247"/>
      <c r="IM7" s="247"/>
      <c r="IN7" s="247"/>
      <c r="IO7" s="247"/>
      <c r="IP7" s="247"/>
      <c r="IQ7" s="247"/>
      <c r="IR7" s="247"/>
      <c r="IS7" s="247"/>
      <c r="IT7" s="247"/>
      <c r="IU7" s="247"/>
      <c r="IV7" s="247"/>
      <c r="IW7" s="247"/>
      <c r="IX7" s="247"/>
      <c r="IY7" s="247"/>
      <c r="IZ7" s="247"/>
      <c r="JA7" s="247"/>
      <c r="JB7" s="247"/>
      <c r="JC7" s="247"/>
      <c r="JD7" s="247"/>
      <c r="JE7" s="247"/>
      <c r="JF7" s="247"/>
      <c r="JG7" s="247"/>
      <c r="JH7" s="247"/>
      <c r="JI7" s="247"/>
      <c r="JJ7" s="247"/>
      <c r="JK7" s="247"/>
      <c r="JL7" s="247"/>
      <c r="JM7" s="247"/>
      <c r="JN7" s="247"/>
      <c r="JO7" s="247"/>
      <c r="JP7" s="247"/>
      <c r="JQ7" s="247"/>
      <c r="JR7" s="247"/>
      <c r="JS7" s="247"/>
      <c r="JT7" s="247"/>
      <c r="JU7" s="247"/>
      <c r="JV7" s="247"/>
      <c r="JW7" s="247"/>
      <c r="JX7" s="247"/>
      <c r="JY7" s="247"/>
      <c r="JZ7" s="247"/>
      <c r="KA7" s="247"/>
      <c r="KB7" s="247"/>
      <c r="KC7" s="247"/>
      <c r="KD7" s="247"/>
      <c r="KE7" s="247"/>
      <c r="KF7" s="247"/>
      <c r="KG7" s="247"/>
      <c r="KH7" s="247"/>
      <c r="KI7" s="247"/>
      <c r="KJ7" s="247"/>
      <c r="KK7" s="247"/>
      <c r="KL7" s="247"/>
      <c r="KM7" s="247"/>
      <c r="KN7" s="247"/>
      <c r="KO7" s="247"/>
      <c r="KP7" s="247"/>
      <c r="KQ7" s="247"/>
      <c r="KR7" s="247"/>
    </row>
    <row r="8" spans="1:304" x14ac:dyDescent="0.3">
      <c r="A8" s="242"/>
      <c r="B8" s="248" t="s">
        <v>171</v>
      </c>
      <c r="C8" s="249" t="s">
        <v>129</v>
      </c>
      <c r="D8" s="249"/>
      <c r="E8" s="250">
        <f t="shared" ref="E8:BP8" si="5">SUM(E11:E11)</f>
        <v>0</v>
      </c>
      <c r="F8" s="250">
        <f t="shared" si="5"/>
        <v>0</v>
      </c>
      <c r="G8" s="250">
        <f t="shared" si="5"/>
        <v>0</v>
      </c>
      <c r="H8" s="250">
        <f t="shared" si="5"/>
        <v>0</v>
      </c>
      <c r="I8" s="250">
        <f t="shared" si="5"/>
        <v>0</v>
      </c>
      <c r="J8" s="250">
        <f t="shared" si="5"/>
        <v>0</v>
      </c>
      <c r="K8" s="250">
        <f t="shared" si="5"/>
        <v>0</v>
      </c>
      <c r="L8" s="250">
        <f t="shared" si="5"/>
        <v>0</v>
      </c>
      <c r="M8" s="494">
        <f t="shared" si="5"/>
        <v>0</v>
      </c>
      <c r="N8" s="494">
        <f t="shared" si="5"/>
        <v>0</v>
      </c>
      <c r="O8" s="494">
        <f t="shared" si="5"/>
        <v>0</v>
      </c>
      <c r="P8" s="494">
        <f t="shared" si="5"/>
        <v>0</v>
      </c>
      <c r="Q8" s="250">
        <f t="shared" si="5"/>
        <v>0</v>
      </c>
      <c r="R8" s="250">
        <f t="shared" si="5"/>
        <v>0</v>
      </c>
      <c r="S8" s="250">
        <f t="shared" si="5"/>
        <v>0</v>
      </c>
      <c r="T8" s="250">
        <f t="shared" si="5"/>
        <v>0</v>
      </c>
      <c r="U8" s="250">
        <f t="shared" si="5"/>
        <v>0</v>
      </c>
      <c r="V8" s="250">
        <f t="shared" si="5"/>
        <v>0</v>
      </c>
      <c r="W8" s="250">
        <f t="shared" si="5"/>
        <v>0</v>
      </c>
      <c r="X8" s="250">
        <f t="shared" si="5"/>
        <v>0</v>
      </c>
      <c r="Y8" s="250">
        <f t="shared" si="5"/>
        <v>0</v>
      </c>
      <c r="Z8" s="250">
        <f t="shared" si="5"/>
        <v>0</v>
      </c>
      <c r="AA8" s="250">
        <f t="shared" si="5"/>
        <v>0</v>
      </c>
      <c r="AB8" s="250">
        <f t="shared" si="5"/>
        <v>0</v>
      </c>
      <c r="AC8" s="250">
        <f t="shared" si="5"/>
        <v>0</v>
      </c>
      <c r="AD8" s="250">
        <f t="shared" si="5"/>
        <v>0</v>
      </c>
      <c r="AE8" s="250">
        <f t="shared" si="5"/>
        <v>0</v>
      </c>
      <c r="AF8" s="250">
        <f t="shared" si="5"/>
        <v>0</v>
      </c>
      <c r="AG8" s="250">
        <f t="shared" si="5"/>
        <v>0</v>
      </c>
      <c r="AH8" s="250">
        <f t="shared" si="5"/>
        <v>0</v>
      </c>
      <c r="AI8" s="250">
        <f t="shared" si="5"/>
        <v>0</v>
      </c>
      <c r="AJ8" s="250">
        <f t="shared" si="5"/>
        <v>0</v>
      </c>
      <c r="AK8" s="250">
        <f t="shared" si="5"/>
        <v>0</v>
      </c>
      <c r="AL8" s="250">
        <f t="shared" si="5"/>
        <v>0</v>
      </c>
      <c r="AM8" s="250">
        <f t="shared" si="5"/>
        <v>0</v>
      </c>
      <c r="AN8" s="250">
        <f t="shared" si="5"/>
        <v>0</v>
      </c>
      <c r="AO8" s="250">
        <f t="shared" si="5"/>
        <v>0</v>
      </c>
      <c r="AP8" s="250">
        <f t="shared" si="5"/>
        <v>0</v>
      </c>
      <c r="AQ8" s="250">
        <f t="shared" si="5"/>
        <v>0</v>
      </c>
      <c r="AR8" s="250">
        <f t="shared" si="5"/>
        <v>0</v>
      </c>
      <c r="AS8" s="250">
        <f t="shared" si="5"/>
        <v>0</v>
      </c>
      <c r="AT8" s="250">
        <f t="shared" si="5"/>
        <v>0</v>
      </c>
      <c r="AU8" s="250">
        <f t="shared" si="5"/>
        <v>0</v>
      </c>
      <c r="AV8" s="250">
        <f t="shared" si="5"/>
        <v>0</v>
      </c>
      <c r="AW8" s="250">
        <f t="shared" si="5"/>
        <v>0</v>
      </c>
      <c r="AX8" s="250">
        <f t="shared" si="5"/>
        <v>0</v>
      </c>
      <c r="AY8" s="250">
        <f t="shared" si="5"/>
        <v>0</v>
      </c>
      <c r="AZ8" s="250">
        <f t="shared" si="5"/>
        <v>0</v>
      </c>
      <c r="BA8" s="250">
        <f t="shared" si="5"/>
        <v>0</v>
      </c>
      <c r="BB8" s="250">
        <f t="shared" si="5"/>
        <v>0</v>
      </c>
      <c r="BC8" s="250">
        <f t="shared" si="5"/>
        <v>0</v>
      </c>
      <c r="BD8" s="250">
        <f t="shared" si="5"/>
        <v>0</v>
      </c>
      <c r="BE8" s="250">
        <f t="shared" si="5"/>
        <v>0</v>
      </c>
      <c r="BF8" s="250">
        <f t="shared" si="5"/>
        <v>0</v>
      </c>
      <c r="BG8" s="250">
        <f t="shared" si="5"/>
        <v>0</v>
      </c>
      <c r="BH8" s="250">
        <f t="shared" si="5"/>
        <v>0</v>
      </c>
      <c r="BI8" s="250">
        <f t="shared" si="5"/>
        <v>0</v>
      </c>
      <c r="BJ8" s="250">
        <f t="shared" si="5"/>
        <v>0</v>
      </c>
      <c r="BK8" s="250">
        <f t="shared" si="5"/>
        <v>0</v>
      </c>
      <c r="BL8" s="250">
        <f t="shared" si="5"/>
        <v>0</v>
      </c>
      <c r="BM8" s="250">
        <f t="shared" si="5"/>
        <v>0</v>
      </c>
      <c r="BN8" s="250">
        <f t="shared" si="5"/>
        <v>0</v>
      </c>
      <c r="BO8" s="250">
        <f t="shared" si="5"/>
        <v>0</v>
      </c>
      <c r="BP8" s="250">
        <f t="shared" si="5"/>
        <v>0</v>
      </c>
      <c r="BQ8" s="250">
        <f t="shared" ref="BQ8:EB8" si="6">SUM(BQ11:BQ11)</f>
        <v>0</v>
      </c>
      <c r="BR8" s="250">
        <f t="shared" si="6"/>
        <v>0</v>
      </c>
      <c r="BS8" s="250">
        <f t="shared" si="6"/>
        <v>0</v>
      </c>
      <c r="BT8" s="250">
        <f t="shared" si="6"/>
        <v>0</v>
      </c>
      <c r="BU8" s="250">
        <f t="shared" si="6"/>
        <v>0</v>
      </c>
      <c r="BV8" s="250">
        <f t="shared" si="6"/>
        <v>0</v>
      </c>
      <c r="BW8" s="250">
        <f t="shared" si="6"/>
        <v>0</v>
      </c>
      <c r="BX8" s="250">
        <f t="shared" si="6"/>
        <v>0</v>
      </c>
      <c r="BY8" s="250">
        <f t="shared" si="6"/>
        <v>0</v>
      </c>
      <c r="BZ8" s="250">
        <f t="shared" si="6"/>
        <v>0</v>
      </c>
      <c r="CA8" s="250">
        <f t="shared" si="6"/>
        <v>0</v>
      </c>
      <c r="CB8" s="250">
        <f t="shared" si="6"/>
        <v>0</v>
      </c>
      <c r="CC8" s="250">
        <f t="shared" si="6"/>
        <v>0</v>
      </c>
      <c r="CD8" s="250">
        <f t="shared" si="6"/>
        <v>0</v>
      </c>
      <c r="CE8" s="250">
        <f t="shared" si="6"/>
        <v>0</v>
      </c>
      <c r="CF8" s="250">
        <f t="shared" si="6"/>
        <v>0</v>
      </c>
      <c r="CG8" s="250">
        <f t="shared" si="6"/>
        <v>0</v>
      </c>
      <c r="CH8" s="250">
        <f t="shared" si="6"/>
        <v>0</v>
      </c>
      <c r="CI8" s="250">
        <f t="shared" si="6"/>
        <v>0</v>
      </c>
      <c r="CJ8" s="250">
        <f t="shared" si="6"/>
        <v>0</v>
      </c>
      <c r="CK8" s="250">
        <f t="shared" si="6"/>
        <v>0</v>
      </c>
      <c r="CL8" s="250">
        <f t="shared" si="6"/>
        <v>0</v>
      </c>
      <c r="CM8" s="250">
        <f t="shared" si="6"/>
        <v>0</v>
      </c>
      <c r="CN8" s="250">
        <f t="shared" si="6"/>
        <v>0</v>
      </c>
      <c r="CO8" s="250">
        <f t="shared" si="6"/>
        <v>0</v>
      </c>
      <c r="CP8" s="250">
        <f t="shared" si="6"/>
        <v>0</v>
      </c>
      <c r="CQ8" s="250">
        <f t="shared" si="6"/>
        <v>0</v>
      </c>
      <c r="CR8" s="250">
        <f t="shared" si="6"/>
        <v>0</v>
      </c>
      <c r="CS8" s="250">
        <f t="shared" si="6"/>
        <v>0</v>
      </c>
      <c r="CT8" s="250">
        <f t="shared" si="6"/>
        <v>0</v>
      </c>
      <c r="CU8" s="250">
        <f t="shared" si="6"/>
        <v>0</v>
      </c>
      <c r="CV8" s="250">
        <f t="shared" si="6"/>
        <v>0</v>
      </c>
      <c r="CW8" s="250">
        <f t="shared" si="6"/>
        <v>0</v>
      </c>
      <c r="CX8" s="250">
        <f t="shared" si="6"/>
        <v>0</v>
      </c>
      <c r="CY8" s="250">
        <f t="shared" si="6"/>
        <v>0</v>
      </c>
      <c r="CZ8" s="250">
        <f t="shared" si="6"/>
        <v>0</v>
      </c>
      <c r="DA8" s="250">
        <f t="shared" si="6"/>
        <v>0</v>
      </c>
      <c r="DB8" s="250">
        <f t="shared" si="6"/>
        <v>0</v>
      </c>
      <c r="DC8" s="250">
        <f t="shared" si="6"/>
        <v>0</v>
      </c>
      <c r="DD8" s="250">
        <f t="shared" si="6"/>
        <v>0</v>
      </c>
      <c r="DE8" s="250">
        <f t="shared" si="6"/>
        <v>0</v>
      </c>
      <c r="DF8" s="250">
        <f t="shared" si="6"/>
        <v>0</v>
      </c>
      <c r="DG8" s="250">
        <f t="shared" si="6"/>
        <v>0</v>
      </c>
      <c r="DH8" s="250">
        <f t="shared" si="6"/>
        <v>0</v>
      </c>
      <c r="DI8" s="250">
        <f t="shared" si="6"/>
        <v>0</v>
      </c>
      <c r="DJ8" s="250">
        <f t="shared" si="6"/>
        <v>0</v>
      </c>
      <c r="DK8" s="250">
        <f t="shared" si="6"/>
        <v>0</v>
      </c>
      <c r="DL8" s="250">
        <f t="shared" si="6"/>
        <v>0</v>
      </c>
      <c r="DM8" s="250">
        <f t="shared" si="6"/>
        <v>0</v>
      </c>
      <c r="DN8" s="250">
        <f t="shared" si="6"/>
        <v>0</v>
      </c>
      <c r="DO8" s="250">
        <f t="shared" si="6"/>
        <v>0</v>
      </c>
      <c r="DP8" s="250">
        <f t="shared" si="6"/>
        <v>0</v>
      </c>
      <c r="DQ8" s="250">
        <f t="shared" si="6"/>
        <v>0</v>
      </c>
      <c r="DR8" s="250">
        <f t="shared" si="6"/>
        <v>0</v>
      </c>
      <c r="DS8" s="250">
        <f t="shared" si="6"/>
        <v>0</v>
      </c>
      <c r="DT8" s="250">
        <f t="shared" si="6"/>
        <v>0</v>
      </c>
      <c r="DU8" s="250">
        <f t="shared" si="6"/>
        <v>0</v>
      </c>
      <c r="DV8" s="250">
        <f t="shared" si="6"/>
        <v>0</v>
      </c>
      <c r="DW8" s="250">
        <f t="shared" si="6"/>
        <v>0</v>
      </c>
      <c r="DX8" s="250">
        <f t="shared" si="6"/>
        <v>0</v>
      </c>
      <c r="DY8" s="250">
        <f t="shared" si="6"/>
        <v>0</v>
      </c>
      <c r="DZ8" s="250">
        <f t="shared" si="6"/>
        <v>0</v>
      </c>
      <c r="EA8" s="250">
        <f t="shared" si="6"/>
        <v>0</v>
      </c>
      <c r="EB8" s="250">
        <f t="shared" si="6"/>
        <v>0</v>
      </c>
      <c r="EC8" s="250">
        <f t="shared" ref="EC8:GN8" si="7">SUM(EC11:EC11)</f>
        <v>0</v>
      </c>
      <c r="ED8" s="250">
        <f t="shared" si="7"/>
        <v>0</v>
      </c>
      <c r="EE8" s="250">
        <f t="shared" si="7"/>
        <v>0</v>
      </c>
      <c r="EF8" s="250">
        <f t="shared" si="7"/>
        <v>0</v>
      </c>
      <c r="EG8" s="250">
        <f t="shared" si="7"/>
        <v>0</v>
      </c>
      <c r="EH8" s="250">
        <f t="shared" si="7"/>
        <v>0</v>
      </c>
      <c r="EI8" s="250">
        <f t="shared" si="7"/>
        <v>0</v>
      </c>
      <c r="EJ8" s="250">
        <f t="shared" si="7"/>
        <v>0</v>
      </c>
      <c r="EK8" s="250">
        <f t="shared" si="7"/>
        <v>0</v>
      </c>
      <c r="EL8" s="250">
        <f t="shared" si="7"/>
        <v>0</v>
      </c>
      <c r="EM8" s="250">
        <f t="shared" si="7"/>
        <v>0</v>
      </c>
      <c r="EN8" s="250">
        <f t="shared" si="7"/>
        <v>0</v>
      </c>
      <c r="EO8" s="250">
        <f t="shared" si="7"/>
        <v>0</v>
      </c>
      <c r="EP8" s="250">
        <f t="shared" si="7"/>
        <v>0</v>
      </c>
      <c r="EQ8" s="250">
        <f t="shared" si="7"/>
        <v>0</v>
      </c>
      <c r="ER8" s="250">
        <f t="shared" si="7"/>
        <v>0</v>
      </c>
      <c r="ES8" s="250">
        <f t="shared" si="7"/>
        <v>0</v>
      </c>
      <c r="ET8" s="250">
        <f t="shared" si="7"/>
        <v>0</v>
      </c>
      <c r="EU8" s="250">
        <f t="shared" si="7"/>
        <v>0</v>
      </c>
      <c r="EV8" s="250">
        <f t="shared" si="7"/>
        <v>0</v>
      </c>
      <c r="EW8" s="250">
        <f t="shared" si="7"/>
        <v>0</v>
      </c>
      <c r="EX8" s="250">
        <f t="shared" si="7"/>
        <v>0</v>
      </c>
      <c r="EY8" s="250">
        <f t="shared" si="7"/>
        <v>0</v>
      </c>
      <c r="EZ8" s="250">
        <f t="shared" si="7"/>
        <v>0</v>
      </c>
      <c r="FA8" s="250">
        <f t="shared" si="7"/>
        <v>0</v>
      </c>
      <c r="FB8" s="250">
        <f t="shared" si="7"/>
        <v>0</v>
      </c>
      <c r="FC8" s="250">
        <f t="shared" si="7"/>
        <v>0</v>
      </c>
      <c r="FD8" s="250">
        <f t="shared" si="7"/>
        <v>0</v>
      </c>
      <c r="FE8" s="250">
        <f t="shared" si="7"/>
        <v>0</v>
      </c>
      <c r="FF8" s="250">
        <f t="shared" si="7"/>
        <v>0</v>
      </c>
      <c r="FG8" s="250">
        <f t="shared" si="7"/>
        <v>0</v>
      </c>
      <c r="FH8" s="250">
        <f t="shared" si="7"/>
        <v>0</v>
      </c>
      <c r="FI8" s="250">
        <f t="shared" si="7"/>
        <v>0</v>
      </c>
      <c r="FJ8" s="250">
        <f t="shared" si="7"/>
        <v>0</v>
      </c>
      <c r="FK8" s="250">
        <f t="shared" si="7"/>
        <v>0</v>
      </c>
      <c r="FL8" s="250">
        <f t="shared" si="7"/>
        <v>0</v>
      </c>
      <c r="FM8" s="250">
        <f t="shared" si="7"/>
        <v>0</v>
      </c>
      <c r="FN8" s="250">
        <f t="shared" si="7"/>
        <v>0</v>
      </c>
      <c r="FO8" s="250">
        <f t="shared" si="7"/>
        <v>0</v>
      </c>
      <c r="FP8" s="250">
        <f t="shared" si="7"/>
        <v>0</v>
      </c>
      <c r="FQ8" s="250">
        <f t="shared" si="7"/>
        <v>0</v>
      </c>
      <c r="FR8" s="250">
        <f t="shared" si="7"/>
        <v>0</v>
      </c>
      <c r="FS8" s="250">
        <f t="shared" si="7"/>
        <v>0</v>
      </c>
      <c r="FT8" s="250">
        <f t="shared" si="7"/>
        <v>0</v>
      </c>
      <c r="FU8" s="250">
        <f t="shared" si="7"/>
        <v>0</v>
      </c>
      <c r="FV8" s="250">
        <f t="shared" si="7"/>
        <v>0</v>
      </c>
      <c r="FW8" s="250">
        <f t="shared" si="7"/>
        <v>0</v>
      </c>
      <c r="FX8" s="250">
        <f t="shared" si="7"/>
        <v>0</v>
      </c>
      <c r="FY8" s="250">
        <f t="shared" si="7"/>
        <v>0</v>
      </c>
      <c r="FZ8" s="250">
        <f t="shared" si="7"/>
        <v>0</v>
      </c>
      <c r="GA8" s="250">
        <f t="shared" si="7"/>
        <v>0</v>
      </c>
      <c r="GB8" s="250">
        <f t="shared" si="7"/>
        <v>0</v>
      </c>
      <c r="GC8" s="250">
        <f t="shared" si="7"/>
        <v>0</v>
      </c>
      <c r="GD8" s="250">
        <f t="shared" si="7"/>
        <v>0</v>
      </c>
      <c r="GE8" s="250">
        <f t="shared" si="7"/>
        <v>0</v>
      </c>
      <c r="GF8" s="250">
        <f t="shared" si="7"/>
        <v>0</v>
      </c>
      <c r="GG8" s="250">
        <f t="shared" si="7"/>
        <v>0</v>
      </c>
      <c r="GH8" s="250">
        <f t="shared" si="7"/>
        <v>0</v>
      </c>
      <c r="GI8" s="250">
        <f t="shared" si="7"/>
        <v>0</v>
      </c>
      <c r="GJ8" s="250">
        <f t="shared" si="7"/>
        <v>0</v>
      </c>
      <c r="GK8" s="250">
        <f t="shared" si="7"/>
        <v>0</v>
      </c>
      <c r="GL8" s="250">
        <f t="shared" si="7"/>
        <v>0</v>
      </c>
      <c r="GM8" s="250">
        <f t="shared" si="7"/>
        <v>0</v>
      </c>
      <c r="GN8" s="250">
        <f t="shared" si="7"/>
        <v>0</v>
      </c>
      <c r="GO8" s="250">
        <f t="shared" ref="GO8:IZ8" si="8">SUM(GO11:GO11)</f>
        <v>0</v>
      </c>
      <c r="GP8" s="250">
        <f t="shared" si="8"/>
        <v>0</v>
      </c>
      <c r="GQ8" s="250">
        <f t="shared" si="8"/>
        <v>0</v>
      </c>
      <c r="GR8" s="250">
        <f t="shared" si="8"/>
        <v>0</v>
      </c>
      <c r="GS8" s="250">
        <f t="shared" si="8"/>
        <v>0</v>
      </c>
      <c r="GT8" s="250">
        <f t="shared" si="8"/>
        <v>0</v>
      </c>
      <c r="GU8" s="250">
        <f t="shared" si="8"/>
        <v>0</v>
      </c>
      <c r="GV8" s="250">
        <f t="shared" si="8"/>
        <v>0</v>
      </c>
      <c r="GW8" s="250">
        <f t="shared" si="8"/>
        <v>0</v>
      </c>
      <c r="GX8" s="250">
        <f t="shared" si="8"/>
        <v>0</v>
      </c>
      <c r="GY8" s="250">
        <f t="shared" si="8"/>
        <v>0</v>
      </c>
      <c r="GZ8" s="250">
        <f t="shared" si="8"/>
        <v>0</v>
      </c>
      <c r="HA8" s="250">
        <f t="shared" si="8"/>
        <v>0</v>
      </c>
      <c r="HB8" s="250">
        <f t="shared" si="8"/>
        <v>0</v>
      </c>
      <c r="HC8" s="250">
        <f t="shared" si="8"/>
        <v>0</v>
      </c>
      <c r="HD8" s="250">
        <f t="shared" si="8"/>
        <v>0</v>
      </c>
      <c r="HE8" s="250">
        <f t="shared" si="8"/>
        <v>0</v>
      </c>
      <c r="HF8" s="250">
        <f t="shared" si="8"/>
        <v>0</v>
      </c>
      <c r="HG8" s="250">
        <f t="shared" si="8"/>
        <v>0</v>
      </c>
      <c r="HH8" s="250">
        <f t="shared" si="8"/>
        <v>0</v>
      </c>
      <c r="HI8" s="250">
        <f t="shared" si="8"/>
        <v>0</v>
      </c>
      <c r="HJ8" s="250">
        <f t="shared" si="8"/>
        <v>0</v>
      </c>
      <c r="HK8" s="250">
        <f t="shared" si="8"/>
        <v>0</v>
      </c>
      <c r="HL8" s="250">
        <f t="shared" si="8"/>
        <v>0</v>
      </c>
      <c r="HM8" s="250">
        <f t="shared" si="8"/>
        <v>0</v>
      </c>
      <c r="HN8" s="250">
        <f t="shared" si="8"/>
        <v>0</v>
      </c>
      <c r="HO8" s="250">
        <f t="shared" si="8"/>
        <v>0</v>
      </c>
      <c r="HP8" s="250">
        <f t="shared" si="8"/>
        <v>0</v>
      </c>
      <c r="HQ8" s="250">
        <f t="shared" si="8"/>
        <v>0</v>
      </c>
      <c r="HR8" s="250">
        <f t="shared" si="8"/>
        <v>0</v>
      </c>
      <c r="HS8" s="250">
        <f t="shared" si="8"/>
        <v>0</v>
      </c>
      <c r="HT8" s="250">
        <f t="shared" si="8"/>
        <v>0</v>
      </c>
      <c r="HU8" s="250">
        <f t="shared" si="8"/>
        <v>0</v>
      </c>
      <c r="HV8" s="250">
        <f t="shared" si="8"/>
        <v>0</v>
      </c>
      <c r="HW8" s="250">
        <f t="shared" si="8"/>
        <v>0</v>
      </c>
      <c r="HX8" s="250">
        <f t="shared" si="8"/>
        <v>0</v>
      </c>
      <c r="HY8" s="250">
        <f t="shared" si="8"/>
        <v>0</v>
      </c>
      <c r="HZ8" s="250">
        <f t="shared" si="8"/>
        <v>0</v>
      </c>
      <c r="IA8" s="250">
        <f t="shared" si="8"/>
        <v>0</v>
      </c>
      <c r="IB8" s="250">
        <f t="shared" si="8"/>
        <v>0</v>
      </c>
      <c r="IC8" s="250">
        <f t="shared" si="8"/>
        <v>0</v>
      </c>
      <c r="ID8" s="250">
        <f t="shared" si="8"/>
        <v>0</v>
      </c>
      <c r="IE8" s="250">
        <f t="shared" si="8"/>
        <v>0</v>
      </c>
      <c r="IF8" s="250">
        <f t="shared" si="8"/>
        <v>0</v>
      </c>
      <c r="IG8" s="250">
        <f t="shared" si="8"/>
        <v>0</v>
      </c>
      <c r="IH8" s="250">
        <f t="shared" si="8"/>
        <v>0</v>
      </c>
      <c r="II8" s="250">
        <f t="shared" si="8"/>
        <v>0</v>
      </c>
      <c r="IJ8" s="250">
        <f t="shared" si="8"/>
        <v>0</v>
      </c>
      <c r="IK8" s="250">
        <f t="shared" si="8"/>
        <v>0</v>
      </c>
      <c r="IL8" s="250">
        <f t="shared" si="8"/>
        <v>0</v>
      </c>
      <c r="IM8" s="250">
        <f t="shared" si="8"/>
        <v>0</v>
      </c>
      <c r="IN8" s="250">
        <f t="shared" si="8"/>
        <v>0</v>
      </c>
      <c r="IO8" s="250">
        <f t="shared" si="8"/>
        <v>0</v>
      </c>
      <c r="IP8" s="250">
        <f t="shared" si="8"/>
        <v>0</v>
      </c>
      <c r="IQ8" s="250">
        <f t="shared" si="8"/>
        <v>0</v>
      </c>
      <c r="IR8" s="250">
        <f t="shared" si="8"/>
        <v>0</v>
      </c>
      <c r="IS8" s="250">
        <f t="shared" si="8"/>
        <v>0</v>
      </c>
      <c r="IT8" s="250">
        <f t="shared" si="8"/>
        <v>0</v>
      </c>
      <c r="IU8" s="250">
        <f t="shared" si="8"/>
        <v>0</v>
      </c>
      <c r="IV8" s="250">
        <f t="shared" si="8"/>
        <v>0</v>
      </c>
      <c r="IW8" s="250">
        <f t="shared" si="8"/>
        <v>0</v>
      </c>
      <c r="IX8" s="250">
        <f t="shared" si="8"/>
        <v>0</v>
      </c>
      <c r="IY8" s="250">
        <f t="shared" si="8"/>
        <v>0</v>
      </c>
      <c r="IZ8" s="250">
        <f t="shared" si="8"/>
        <v>0</v>
      </c>
      <c r="JA8" s="250">
        <f t="shared" ref="JA8:KR8" si="9">SUM(JA11:JA11)</f>
        <v>0</v>
      </c>
      <c r="JB8" s="250">
        <f t="shared" si="9"/>
        <v>0</v>
      </c>
      <c r="JC8" s="250">
        <f t="shared" si="9"/>
        <v>0</v>
      </c>
      <c r="JD8" s="250">
        <f t="shared" si="9"/>
        <v>0</v>
      </c>
      <c r="JE8" s="250">
        <f t="shared" si="9"/>
        <v>0</v>
      </c>
      <c r="JF8" s="250">
        <f t="shared" si="9"/>
        <v>0</v>
      </c>
      <c r="JG8" s="250">
        <f t="shared" si="9"/>
        <v>0</v>
      </c>
      <c r="JH8" s="250">
        <f t="shared" si="9"/>
        <v>0</v>
      </c>
      <c r="JI8" s="250">
        <f t="shared" si="9"/>
        <v>0</v>
      </c>
      <c r="JJ8" s="250">
        <f t="shared" si="9"/>
        <v>0</v>
      </c>
      <c r="JK8" s="250">
        <f t="shared" si="9"/>
        <v>0</v>
      </c>
      <c r="JL8" s="250">
        <f t="shared" si="9"/>
        <v>0</v>
      </c>
      <c r="JM8" s="250">
        <f t="shared" si="9"/>
        <v>0</v>
      </c>
      <c r="JN8" s="250">
        <f t="shared" si="9"/>
        <v>0</v>
      </c>
      <c r="JO8" s="250">
        <f t="shared" si="9"/>
        <v>0</v>
      </c>
      <c r="JP8" s="250">
        <f t="shared" si="9"/>
        <v>0</v>
      </c>
      <c r="JQ8" s="250">
        <f t="shared" si="9"/>
        <v>0</v>
      </c>
      <c r="JR8" s="250">
        <f t="shared" si="9"/>
        <v>0</v>
      </c>
      <c r="JS8" s="250">
        <f t="shared" si="9"/>
        <v>0</v>
      </c>
      <c r="JT8" s="250">
        <f t="shared" si="9"/>
        <v>0</v>
      </c>
      <c r="JU8" s="250">
        <f t="shared" si="9"/>
        <v>0</v>
      </c>
      <c r="JV8" s="250">
        <f t="shared" si="9"/>
        <v>0</v>
      </c>
      <c r="JW8" s="250">
        <f t="shared" si="9"/>
        <v>0</v>
      </c>
      <c r="JX8" s="250">
        <f t="shared" si="9"/>
        <v>0</v>
      </c>
      <c r="JY8" s="250">
        <f t="shared" si="9"/>
        <v>0</v>
      </c>
      <c r="JZ8" s="250">
        <f t="shared" si="9"/>
        <v>0</v>
      </c>
      <c r="KA8" s="250">
        <f t="shared" si="9"/>
        <v>0</v>
      </c>
      <c r="KB8" s="250">
        <f t="shared" si="9"/>
        <v>0</v>
      </c>
      <c r="KC8" s="250">
        <f t="shared" si="9"/>
        <v>0</v>
      </c>
      <c r="KD8" s="250">
        <f t="shared" si="9"/>
        <v>0</v>
      </c>
      <c r="KE8" s="250">
        <f t="shared" si="9"/>
        <v>0</v>
      </c>
      <c r="KF8" s="250">
        <f t="shared" si="9"/>
        <v>0</v>
      </c>
      <c r="KG8" s="250">
        <f t="shared" si="9"/>
        <v>0</v>
      </c>
      <c r="KH8" s="250">
        <f t="shared" si="9"/>
        <v>0</v>
      </c>
      <c r="KI8" s="250">
        <f t="shared" si="9"/>
        <v>0</v>
      </c>
      <c r="KJ8" s="250">
        <f t="shared" si="9"/>
        <v>0</v>
      </c>
      <c r="KK8" s="250">
        <f t="shared" si="9"/>
        <v>0</v>
      </c>
      <c r="KL8" s="250">
        <f t="shared" si="9"/>
        <v>0</v>
      </c>
      <c r="KM8" s="250">
        <f t="shared" si="9"/>
        <v>0</v>
      </c>
      <c r="KN8" s="250">
        <f t="shared" si="9"/>
        <v>0</v>
      </c>
      <c r="KO8" s="250">
        <f t="shared" si="9"/>
        <v>0</v>
      </c>
      <c r="KP8" s="250">
        <f t="shared" si="9"/>
        <v>0</v>
      </c>
      <c r="KQ8" s="250">
        <f t="shared" si="9"/>
        <v>0</v>
      </c>
      <c r="KR8" s="250">
        <f t="shared" si="9"/>
        <v>0</v>
      </c>
    </row>
    <row r="9" spans="1:304" x14ac:dyDescent="0.3">
      <c r="A9" s="242"/>
      <c r="B9" s="237" t="s">
        <v>5222</v>
      </c>
      <c r="C9" s="238">
        <f>SUM(E9:KS9)</f>
        <v>0</v>
      </c>
      <c r="D9" s="239"/>
      <c r="E9" s="251">
        <f t="shared" ref="E9:BP9" si="10">$E$17*E6</f>
        <v>0</v>
      </c>
      <c r="F9" s="251">
        <f t="shared" si="10"/>
        <v>0</v>
      </c>
      <c r="G9" s="251">
        <f t="shared" si="10"/>
        <v>0</v>
      </c>
      <c r="H9" s="251">
        <f t="shared" si="10"/>
        <v>0</v>
      </c>
      <c r="I9" s="251">
        <f t="shared" si="10"/>
        <v>0</v>
      </c>
      <c r="J9" s="251">
        <f t="shared" si="10"/>
        <v>0</v>
      </c>
      <c r="K9" s="251">
        <f t="shared" si="10"/>
        <v>0</v>
      </c>
      <c r="L9" s="251">
        <f t="shared" si="10"/>
        <v>0</v>
      </c>
      <c r="M9" s="495">
        <f t="shared" si="10"/>
        <v>0</v>
      </c>
      <c r="N9" s="495">
        <f t="shared" si="10"/>
        <v>0</v>
      </c>
      <c r="O9" s="495">
        <f t="shared" si="10"/>
        <v>0</v>
      </c>
      <c r="P9" s="495">
        <f t="shared" si="10"/>
        <v>0</v>
      </c>
      <c r="Q9" s="251">
        <f t="shared" si="10"/>
        <v>0</v>
      </c>
      <c r="R9" s="251">
        <f t="shared" si="10"/>
        <v>0</v>
      </c>
      <c r="S9" s="251">
        <f t="shared" si="10"/>
        <v>0</v>
      </c>
      <c r="T9" s="251">
        <f t="shared" si="10"/>
        <v>0</v>
      </c>
      <c r="U9" s="251">
        <f t="shared" si="10"/>
        <v>0</v>
      </c>
      <c r="V9" s="251">
        <f t="shared" si="10"/>
        <v>0</v>
      </c>
      <c r="W9" s="251">
        <f t="shared" si="10"/>
        <v>0</v>
      </c>
      <c r="X9" s="251">
        <f t="shared" si="10"/>
        <v>0</v>
      </c>
      <c r="Y9" s="251">
        <f t="shared" si="10"/>
        <v>0</v>
      </c>
      <c r="Z9" s="251">
        <f t="shared" si="10"/>
        <v>0</v>
      </c>
      <c r="AA9" s="251">
        <f t="shared" si="10"/>
        <v>0</v>
      </c>
      <c r="AB9" s="251">
        <f t="shared" si="10"/>
        <v>0</v>
      </c>
      <c r="AC9" s="251">
        <f t="shared" si="10"/>
        <v>0</v>
      </c>
      <c r="AD9" s="251">
        <f t="shared" si="10"/>
        <v>0</v>
      </c>
      <c r="AE9" s="251">
        <f t="shared" si="10"/>
        <v>0</v>
      </c>
      <c r="AF9" s="251">
        <f t="shared" si="10"/>
        <v>0</v>
      </c>
      <c r="AG9" s="251">
        <f t="shared" si="10"/>
        <v>0</v>
      </c>
      <c r="AH9" s="251">
        <f t="shared" si="10"/>
        <v>0</v>
      </c>
      <c r="AI9" s="251">
        <f t="shared" si="10"/>
        <v>0</v>
      </c>
      <c r="AJ9" s="251">
        <f t="shared" si="10"/>
        <v>0</v>
      </c>
      <c r="AK9" s="251">
        <f t="shared" si="10"/>
        <v>0</v>
      </c>
      <c r="AL9" s="251">
        <f t="shared" si="10"/>
        <v>0</v>
      </c>
      <c r="AM9" s="251">
        <f t="shared" si="10"/>
        <v>0</v>
      </c>
      <c r="AN9" s="251">
        <f t="shared" si="10"/>
        <v>0</v>
      </c>
      <c r="AO9" s="251">
        <f t="shared" si="10"/>
        <v>0</v>
      </c>
      <c r="AP9" s="251">
        <f t="shared" si="10"/>
        <v>0</v>
      </c>
      <c r="AQ9" s="251">
        <f t="shared" si="10"/>
        <v>0</v>
      </c>
      <c r="AR9" s="251">
        <f t="shared" si="10"/>
        <v>0</v>
      </c>
      <c r="AS9" s="251">
        <f t="shared" si="10"/>
        <v>0</v>
      </c>
      <c r="AT9" s="251">
        <f t="shared" si="10"/>
        <v>0</v>
      </c>
      <c r="AU9" s="251">
        <f t="shared" si="10"/>
        <v>0</v>
      </c>
      <c r="AV9" s="251">
        <f t="shared" si="10"/>
        <v>0</v>
      </c>
      <c r="AW9" s="251">
        <f t="shared" si="10"/>
        <v>0</v>
      </c>
      <c r="AX9" s="251">
        <f t="shared" si="10"/>
        <v>0</v>
      </c>
      <c r="AY9" s="251">
        <f t="shared" si="10"/>
        <v>0</v>
      </c>
      <c r="AZ9" s="251">
        <f t="shared" si="10"/>
        <v>0</v>
      </c>
      <c r="BA9" s="251">
        <f t="shared" si="10"/>
        <v>0</v>
      </c>
      <c r="BB9" s="251">
        <f t="shared" si="10"/>
        <v>0</v>
      </c>
      <c r="BC9" s="251">
        <f t="shared" si="10"/>
        <v>0</v>
      </c>
      <c r="BD9" s="251">
        <f t="shared" si="10"/>
        <v>0</v>
      </c>
      <c r="BE9" s="251">
        <f t="shared" si="10"/>
        <v>0</v>
      </c>
      <c r="BF9" s="251">
        <f t="shared" si="10"/>
        <v>0</v>
      </c>
      <c r="BG9" s="251">
        <f t="shared" si="10"/>
        <v>0</v>
      </c>
      <c r="BH9" s="251">
        <f t="shared" si="10"/>
        <v>0</v>
      </c>
      <c r="BI9" s="251">
        <f t="shared" si="10"/>
        <v>0</v>
      </c>
      <c r="BJ9" s="251">
        <f t="shared" si="10"/>
        <v>0</v>
      </c>
      <c r="BK9" s="251">
        <f t="shared" si="10"/>
        <v>0</v>
      </c>
      <c r="BL9" s="251">
        <f t="shared" si="10"/>
        <v>0</v>
      </c>
      <c r="BM9" s="251">
        <f t="shared" si="10"/>
        <v>0</v>
      </c>
      <c r="BN9" s="251">
        <f t="shared" si="10"/>
        <v>0</v>
      </c>
      <c r="BO9" s="251">
        <f t="shared" si="10"/>
        <v>0</v>
      </c>
      <c r="BP9" s="251">
        <f t="shared" si="10"/>
        <v>0</v>
      </c>
      <c r="BQ9" s="251">
        <f t="shared" ref="BQ9:EB9" si="11">$E$17*BQ6</f>
        <v>0</v>
      </c>
      <c r="BR9" s="251">
        <f t="shared" si="11"/>
        <v>0</v>
      </c>
      <c r="BS9" s="251">
        <f t="shared" si="11"/>
        <v>0</v>
      </c>
      <c r="BT9" s="251">
        <f t="shared" si="11"/>
        <v>0</v>
      </c>
      <c r="BU9" s="251">
        <f t="shared" si="11"/>
        <v>0</v>
      </c>
      <c r="BV9" s="251">
        <f t="shared" si="11"/>
        <v>0</v>
      </c>
      <c r="BW9" s="251">
        <f t="shared" si="11"/>
        <v>0</v>
      </c>
      <c r="BX9" s="251">
        <f t="shared" si="11"/>
        <v>0</v>
      </c>
      <c r="BY9" s="251">
        <f t="shared" si="11"/>
        <v>0</v>
      </c>
      <c r="BZ9" s="251">
        <f t="shared" si="11"/>
        <v>0</v>
      </c>
      <c r="CA9" s="251">
        <f t="shared" si="11"/>
        <v>0</v>
      </c>
      <c r="CB9" s="251">
        <f t="shared" si="11"/>
        <v>0</v>
      </c>
      <c r="CC9" s="251">
        <f t="shared" si="11"/>
        <v>0</v>
      </c>
      <c r="CD9" s="251">
        <f t="shared" si="11"/>
        <v>0</v>
      </c>
      <c r="CE9" s="251">
        <f t="shared" si="11"/>
        <v>0</v>
      </c>
      <c r="CF9" s="251">
        <f t="shared" si="11"/>
        <v>0</v>
      </c>
      <c r="CG9" s="251">
        <f t="shared" si="11"/>
        <v>0</v>
      </c>
      <c r="CH9" s="251">
        <f t="shared" si="11"/>
        <v>0</v>
      </c>
      <c r="CI9" s="251">
        <f t="shared" si="11"/>
        <v>0</v>
      </c>
      <c r="CJ9" s="251">
        <f t="shared" si="11"/>
        <v>0</v>
      </c>
      <c r="CK9" s="251">
        <f t="shared" si="11"/>
        <v>0</v>
      </c>
      <c r="CL9" s="251">
        <f t="shared" si="11"/>
        <v>0</v>
      </c>
      <c r="CM9" s="251">
        <f t="shared" si="11"/>
        <v>0</v>
      </c>
      <c r="CN9" s="251">
        <f t="shared" si="11"/>
        <v>0</v>
      </c>
      <c r="CO9" s="251">
        <f t="shared" si="11"/>
        <v>0</v>
      </c>
      <c r="CP9" s="251">
        <f t="shared" si="11"/>
        <v>0</v>
      </c>
      <c r="CQ9" s="251">
        <f t="shared" si="11"/>
        <v>0</v>
      </c>
      <c r="CR9" s="251">
        <f t="shared" si="11"/>
        <v>0</v>
      </c>
      <c r="CS9" s="251">
        <f t="shared" si="11"/>
        <v>0</v>
      </c>
      <c r="CT9" s="251">
        <f t="shared" si="11"/>
        <v>0</v>
      </c>
      <c r="CU9" s="251">
        <f t="shared" si="11"/>
        <v>0</v>
      </c>
      <c r="CV9" s="251">
        <f t="shared" si="11"/>
        <v>0</v>
      </c>
      <c r="CW9" s="251">
        <f t="shared" si="11"/>
        <v>0</v>
      </c>
      <c r="CX9" s="251">
        <f t="shared" si="11"/>
        <v>0</v>
      </c>
      <c r="CY9" s="251">
        <f t="shared" si="11"/>
        <v>0</v>
      </c>
      <c r="CZ9" s="251">
        <f t="shared" si="11"/>
        <v>0</v>
      </c>
      <c r="DA9" s="251">
        <f t="shared" si="11"/>
        <v>0</v>
      </c>
      <c r="DB9" s="251">
        <f t="shared" si="11"/>
        <v>0</v>
      </c>
      <c r="DC9" s="251">
        <f t="shared" si="11"/>
        <v>0</v>
      </c>
      <c r="DD9" s="251">
        <f t="shared" si="11"/>
        <v>0</v>
      </c>
      <c r="DE9" s="251">
        <f t="shared" si="11"/>
        <v>0</v>
      </c>
      <c r="DF9" s="251">
        <f t="shared" si="11"/>
        <v>0</v>
      </c>
      <c r="DG9" s="251">
        <f t="shared" si="11"/>
        <v>0</v>
      </c>
      <c r="DH9" s="251">
        <f t="shared" si="11"/>
        <v>0</v>
      </c>
      <c r="DI9" s="251">
        <f t="shared" si="11"/>
        <v>0</v>
      </c>
      <c r="DJ9" s="251">
        <f t="shared" si="11"/>
        <v>0</v>
      </c>
      <c r="DK9" s="251">
        <f t="shared" si="11"/>
        <v>0</v>
      </c>
      <c r="DL9" s="251">
        <f t="shared" si="11"/>
        <v>0</v>
      </c>
      <c r="DM9" s="251">
        <f t="shared" si="11"/>
        <v>0</v>
      </c>
      <c r="DN9" s="251">
        <f t="shared" si="11"/>
        <v>0</v>
      </c>
      <c r="DO9" s="251">
        <f t="shared" si="11"/>
        <v>0</v>
      </c>
      <c r="DP9" s="251">
        <f t="shared" si="11"/>
        <v>0</v>
      </c>
      <c r="DQ9" s="251">
        <f t="shared" si="11"/>
        <v>0</v>
      </c>
      <c r="DR9" s="251">
        <f t="shared" si="11"/>
        <v>0</v>
      </c>
      <c r="DS9" s="251">
        <f t="shared" si="11"/>
        <v>0</v>
      </c>
      <c r="DT9" s="251">
        <f t="shared" si="11"/>
        <v>0</v>
      </c>
      <c r="DU9" s="251">
        <f t="shared" si="11"/>
        <v>0</v>
      </c>
      <c r="DV9" s="251">
        <f t="shared" si="11"/>
        <v>0</v>
      </c>
      <c r="DW9" s="251">
        <f t="shared" si="11"/>
        <v>0</v>
      </c>
      <c r="DX9" s="251">
        <f t="shared" si="11"/>
        <v>0</v>
      </c>
      <c r="DY9" s="251">
        <f t="shared" si="11"/>
        <v>0</v>
      </c>
      <c r="DZ9" s="251">
        <f t="shared" si="11"/>
        <v>0</v>
      </c>
      <c r="EA9" s="251">
        <f t="shared" si="11"/>
        <v>0</v>
      </c>
      <c r="EB9" s="251">
        <f t="shared" si="11"/>
        <v>0</v>
      </c>
      <c r="EC9" s="251">
        <f t="shared" ref="EC9:GN9" si="12">$E$17*EC6</f>
        <v>0</v>
      </c>
      <c r="ED9" s="251">
        <f t="shared" si="12"/>
        <v>0</v>
      </c>
      <c r="EE9" s="251">
        <f t="shared" si="12"/>
        <v>0</v>
      </c>
      <c r="EF9" s="251">
        <f t="shared" si="12"/>
        <v>0</v>
      </c>
      <c r="EG9" s="251">
        <f t="shared" si="12"/>
        <v>0</v>
      </c>
      <c r="EH9" s="251">
        <f t="shared" si="12"/>
        <v>0</v>
      </c>
      <c r="EI9" s="251">
        <f t="shared" si="12"/>
        <v>0</v>
      </c>
      <c r="EJ9" s="251">
        <f t="shared" si="12"/>
        <v>0</v>
      </c>
      <c r="EK9" s="251">
        <f t="shared" si="12"/>
        <v>0</v>
      </c>
      <c r="EL9" s="251">
        <f t="shared" si="12"/>
        <v>0</v>
      </c>
      <c r="EM9" s="251">
        <f t="shared" si="12"/>
        <v>0</v>
      </c>
      <c r="EN9" s="251">
        <f t="shared" si="12"/>
        <v>0</v>
      </c>
      <c r="EO9" s="251">
        <f t="shared" si="12"/>
        <v>0</v>
      </c>
      <c r="EP9" s="251">
        <f t="shared" si="12"/>
        <v>0</v>
      </c>
      <c r="EQ9" s="251">
        <f t="shared" si="12"/>
        <v>0</v>
      </c>
      <c r="ER9" s="251">
        <f t="shared" si="12"/>
        <v>0</v>
      </c>
      <c r="ES9" s="251">
        <f t="shared" si="12"/>
        <v>0</v>
      </c>
      <c r="ET9" s="251">
        <f t="shared" si="12"/>
        <v>0</v>
      </c>
      <c r="EU9" s="251">
        <f t="shared" si="12"/>
        <v>0</v>
      </c>
      <c r="EV9" s="251">
        <f t="shared" si="12"/>
        <v>0</v>
      </c>
      <c r="EW9" s="251">
        <f t="shared" si="12"/>
        <v>0</v>
      </c>
      <c r="EX9" s="251">
        <f t="shared" si="12"/>
        <v>0</v>
      </c>
      <c r="EY9" s="251">
        <f t="shared" si="12"/>
        <v>0</v>
      </c>
      <c r="EZ9" s="251">
        <f t="shared" si="12"/>
        <v>0</v>
      </c>
      <c r="FA9" s="251">
        <f t="shared" si="12"/>
        <v>0</v>
      </c>
      <c r="FB9" s="251">
        <f t="shared" si="12"/>
        <v>0</v>
      </c>
      <c r="FC9" s="251">
        <f t="shared" si="12"/>
        <v>0</v>
      </c>
      <c r="FD9" s="251">
        <f t="shared" si="12"/>
        <v>0</v>
      </c>
      <c r="FE9" s="251">
        <f t="shared" si="12"/>
        <v>0</v>
      </c>
      <c r="FF9" s="251">
        <f t="shared" si="12"/>
        <v>0</v>
      </c>
      <c r="FG9" s="251">
        <f t="shared" si="12"/>
        <v>0</v>
      </c>
      <c r="FH9" s="251">
        <f t="shared" si="12"/>
        <v>0</v>
      </c>
      <c r="FI9" s="251">
        <f t="shared" si="12"/>
        <v>0</v>
      </c>
      <c r="FJ9" s="251">
        <f t="shared" si="12"/>
        <v>0</v>
      </c>
      <c r="FK9" s="251">
        <f t="shared" si="12"/>
        <v>0</v>
      </c>
      <c r="FL9" s="251">
        <f t="shared" si="12"/>
        <v>0</v>
      </c>
      <c r="FM9" s="251">
        <f t="shared" si="12"/>
        <v>0</v>
      </c>
      <c r="FN9" s="251">
        <f t="shared" si="12"/>
        <v>0</v>
      </c>
      <c r="FO9" s="251">
        <f t="shared" si="12"/>
        <v>0</v>
      </c>
      <c r="FP9" s="251">
        <f t="shared" si="12"/>
        <v>0</v>
      </c>
      <c r="FQ9" s="251">
        <f t="shared" si="12"/>
        <v>0</v>
      </c>
      <c r="FR9" s="251">
        <f t="shared" si="12"/>
        <v>0</v>
      </c>
      <c r="FS9" s="251">
        <f t="shared" si="12"/>
        <v>0</v>
      </c>
      <c r="FT9" s="251">
        <f t="shared" si="12"/>
        <v>0</v>
      </c>
      <c r="FU9" s="251">
        <f t="shared" si="12"/>
        <v>0</v>
      </c>
      <c r="FV9" s="251">
        <f t="shared" si="12"/>
        <v>0</v>
      </c>
      <c r="FW9" s="251">
        <f t="shared" si="12"/>
        <v>0</v>
      </c>
      <c r="FX9" s="251">
        <f t="shared" si="12"/>
        <v>0</v>
      </c>
      <c r="FY9" s="251">
        <f t="shared" si="12"/>
        <v>0</v>
      </c>
      <c r="FZ9" s="251">
        <f t="shared" si="12"/>
        <v>0</v>
      </c>
      <c r="GA9" s="251">
        <f t="shared" si="12"/>
        <v>0</v>
      </c>
      <c r="GB9" s="251">
        <f t="shared" si="12"/>
        <v>0</v>
      </c>
      <c r="GC9" s="251">
        <f t="shared" si="12"/>
        <v>0</v>
      </c>
      <c r="GD9" s="251">
        <f t="shared" si="12"/>
        <v>0</v>
      </c>
      <c r="GE9" s="251">
        <f t="shared" si="12"/>
        <v>0</v>
      </c>
      <c r="GF9" s="251">
        <f t="shared" si="12"/>
        <v>0</v>
      </c>
      <c r="GG9" s="251">
        <f t="shared" si="12"/>
        <v>0</v>
      </c>
      <c r="GH9" s="251">
        <f t="shared" si="12"/>
        <v>0</v>
      </c>
      <c r="GI9" s="251">
        <f t="shared" si="12"/>
        <v>0</v>
      </c>
      <c r="GJ9" s="251">
        <f t="shared" si="12"/>
        <v>0</v>
      </c>
      <c r="GK9" s="251">
        <f t="shared" si="12"/>
        <v>0</v>
      </c>
      <c r="GL9" s="251">
        <f t="shared" si="12"/>
        <v>0</v>
      </c>
      <c r="GM9" s="251">
        <f t="shared" si="12"/>
        <v>0</v>
      </c>
      <c r="GN9" s="251">
        <f t="shared" si="12"/>
        <v>0</v>
      </c>
      <c r="GO9" s="251">
        <f t="shared" ref="GO9:IZ9" si="13">$E$17*GO6</f>
        <v>0</v>
      </c>
      <c r="GP9" s="251">
        <f t="shared" si="13"/>
        <v>0</v>
      </c>
      <c r="GQ9" s="251">
        <f t="shared" si="13"/>
        <v>0</v>
      </c>
      <c r="GR9" s="251">
        <f t="shared" si="13"/>
        <v>0</v>
      </c>
      <c r="GS9" s="251">
        <f t="shared" si="13"/>
        <v>0</v>
      </c>
      <c r="GT9" s="251">
        <f t="shared" si="13"/>
        <v>0</v>
      </c>
      <c r="GU9" s="251">
        <f t="shared" si="13"/>
        <v>0</v>
      </c>
      <c r="GV9" s="251">
        <f t="shared" si="13"/>
        <v>0</v>
      </c>
      <c r="GW9" s="251">
        <f t="shared" si="13"/>
        <v>0</v>
      </c>
      <c r="GX9" s="251">
        <f t="shared" si="13"/>
        <v>0</v>
      </c>
      <c r="GY9" s="251">
        <f t="shared" si="13"/>
        <v>0</v>
      </c>
      <c r="GZ9" s="251">
        <f t="shared" si="13"/>
        <v>0</v>
      </c>
      <c r="HA9" s="251">
        <f t="shared" si="13"/>
        <v>0</v>
      </c>
      <c r="HB9" s="251">
        <f t="shared" si="13"/>
        <v>0</v>
      </c>
      <c r="HC9" s="251">
        <f t="shared" si="13"/>
        <v>0</v>
      </c>
      <c r="HD9" s="251">
        <f t="shared" si="13"/>
        <v>0</v>
      </c>
      <c r="HE9" s="251">
        <f t="shared" si="13"/>
        <v>0</v>
      </c>
      <c r="HF9" s="251">
        <f t="shared" si="13"/>
        <v>0</v>
      </c>
      <c r="HG9" s="251">
        <f t="shared" si="13"/>
        <v>0</v>
      </c>
      <c r="HH9" s="251">
        <f t="shared" si="13"/>
        <v>0</v>
      </c>
      <c r="HI9" s="251">
        <f t="shared" si="13"/>
        <v>0</v>
      </c>
      <c r="HJ9" s="251">
        <f t="shared" si="13"/>
        <v>0</v>
      </c>
      <c r="HK9" s="251">
        <f t="shared" si="13"/>
        <v>0</v>
      </c>
      <c r="HL9" s="251">
        <f t="shared" si="13"/>
        <v>0</v>
      </c>
      <c r="HM9" s="251">
        <f t="shared" si="13"/>
        <v>0</v>
      </c>
      <c r="HN9" s="251">
        <f t="shared" si="13"/>
        <v>0</v>
      </c>
      <c r="HO9" s="251">
        <f t="shared" si="13"/>
        <v>0</v>
      </c>
      <c r="HP9" s="251">
        <f t="shared" si="13"/>
        <v>0</v>
      </c>
      <c r="HQ9" s="251">
        <f t="shared" si="13"/>
        <v>0</v>
      </c>
      <c r="HR9" s="251">
        <f t="shared" si="13"/>
        <v>0</v>
      </c>
      <c r="HS9" s="251">
        <f t="shared" si="13"/>
        <v>0</v>
      </c>
      <c r="HT9" s="251">
        <f t="shared" si="13"/>
        <v>0</v>
      </c>
      <c r="HU9" s="251">
        <f t="shared" si="13"/>
        <v>0</v>
      </c>
      <c r="HV9" s="251">
        <f t="shared" si="13"/>
        <v>0</v>
      </c>
      <c r="HW9" s="251">
        <f t="shared" si="13"/>
        <v>0</v>
      </c>
      <c r="HX9" s="251">
        <f t="shared" si="13"/>
        <v>0</v>
      </c>
      <c r="HY9" s="251">
        <f t="shared" si="13"/>
        <v>0</v>
      </c>
      <c r="HZ9" s="251">
        <f t="shared" si="13"/>
        <v>0</v>
      </c>
      <c r="IA9" s="251">
        <f t="shared" si="13"/>
        <v>0</v>
      </c>
      <c r="IB9" s="251">
        <f t="shared" si="13"/>
        <v>0</v>
      </c>
      <c r="IC9" s="251">
        <f t="shared" si="13"/>
        <v>0</v>
      </c>
      <c r="ID9" s="251">
        <f t="shared" si="13"/>
        <v>0</v>
      </c>
      <c r="IE9" s="251">
        <f t="shared" si="13"/>
        <v>0</v>
      </c>
      <c r="IF9" s="251">
        <f t="shared" si="13"/>
        <v>0</v>
      </c>
      <c r="IG9" s="251">
        <f t="shared" si="13"/>
        <v>0</v>
      </c>
      <c r="IH9" s="251">
        <f t="shared" si="13"/>
        <v>0</v>
      </c>
      <c r="II9" s="251">
        <f t="shared" si="13"/>
        <v>0</v>
      </c>
      <c r="IJ9" s="251">
        <f t="shared" si="13"/>
        <v>0</v>
      </c>
      <c r="IK9" s="251">
        <f t="shared" si="13"/>
        <v>0</v>
      </c>
      <c r="IL9" s="251">
        <f t="shared" si="13"/>
        <v>0</v>
      </c>
      <c r="IM9" s="251">
        <f t="shared" si="13"/>
        <v>0</v>
      </c>
      <c r="IN9" s="251">
        <f t="shared" si="13"/>
        <v>0</v>
      </c>
      <c r="IO9" s="251">
        <f t="shared" si="13"/>
        <v>0</v>
      </c>
      <c r="IP9" s="251">
        <f t="shared" si="13"/>
        <v>0</v>
      </c>
      <c r="IQ9" s="251">
        <f t="shared" si="13"/>
        <v>0</v>
      </c>
      <c r="IR9" s="251">
        <f t="shared" si="13"/>
        <v>0</v>
      </c>
      <c r="IS9" s="251">
        <f t="shared" si="13"/>
        <v>0</v>
      </c>
      <c r="IT9" s="251">
        <f t="shared" si="13"/>
        <v>0</v>
      </c>
      <c r="IU9" s="251">
        <f t="shared" si="13"/>
        <v>0</v>
      </c>
      <c r="IV9" s="251">
        <f t="shared" si="13"/>
        <v>0</v>
      </c>
      <c r="IW9" s="251">
        <f t="shared" si="13"/>
        <v>0</v>
      </c>
      <c r="IX9" s="251">
        <f t="shared" si="13"/>
        <v>0</v>
      </c>
      <c r="IY9" s="251">
        <f t="shared" si="13"/>
        <v>0</v>
      </c>
      <c r="IZ9" s="251">
        <f t="shared" si="13"/>
        <v>0</v>
      </c>
      <c r="JA9" s="251">
        <f t="shared" ref="JA9:KR9" si="14">$E$17*JA6</f>
        <v>0</v>
      </c>
      <c r="JB9" s="251">
        <f t="shared" si="14"/>
        <v>0</v>
      </c>
      <c r="JC9" s="251">
        <f t="shared" si="14"/>
        <v>0</v>
      </c>
      <c r="JD9" s="251">
        <f t="shared" si="14"/>
        <v>0</v>
      </c>
      <c r="JE9" s="251">
        <f t="shared" si="14"/>
        <v>0</v>
      </c>
      <c r="JF9" s="251">
        <f t="shared" si="14"/>
        <v>0</v>
      </c>
      <c r="JG9" s="251">
        <f t="shared" si="14"/>
        <v>0</v>
      </c>
      <c r="JH9" s="251">
        <f t="shared" si="14"/>
        <v>0</v>
      </c>
      <c r="JI9" s="251">
        <f t="shared" si="14"/>
        <v>0</v>
      </c>
      <c r="JJ9" s="251">
        <f t="shared" si="14"/>
        <v>0</v>
      </c>
      <c r="JK9" s="251">
        <f t="shared" si="14"/>
        <v>0</v>
      </c>
      <c r="JL9" s="251">
        <f t="shared" si="14"/>
        <v>0</v>
      </c>
      <c r="JM9" s="251">
        <f t="shared" si="14"/>
        <v>0</v>
      </c>
      <c r="JN9" s="251">
        <f t="shared" si="14"/>
        <v>0</v>
      </c>
      <c r="JO9" s="251">
        <f t="shared" si="14"/>
        <v>0</v>
      </c>
      <c r="JP9" s="251">
        <f t="shared" si="14"/>
        <v>0</v>
      </c>
      <c r="JQ9" s="251">
        <f t="shared" si="14"/>
        <v>0</v>
      </c>
      <c r="JR9" s="251">
        <f t="shared" si="14"/>
        <v>0</v>
      </c>
      <c r="JS9" s="251">
        <f t="shared" si="14"/>
        <v>0</v>
      </c>
      <c r="JT9" s="251">
        <f t="shared" si="14"/>
        <v>0</v>
      </c>
      <c r="JU9" s="251">
        <f t="shared" si="14"/>
        <v>0</v>
      </c>
      <c r="JV9" s="251">
        <f t="shared" si="14"/>
        <v>0</v>
      </c>
      <c r="JW9" s="251">
        <f t="shared" si="14"/>
        <v>0</v>
      </c>
      <c r="JX9" s="251">
        <f t="shared" si="14"/>
        <v>0</v>
      </c>
      <c r="JY9" s="251">
        <f t="shared" si="14"/>
        <v>0</v>
      </c>
      <c r="JZ9" s="251">
        <f t="shared" si="14"/>
        <v>0</v>
      </c>
      <c r="KA9" s="251">
        <f t="shared" si="14"/>
        <v>0</v>
      </c>
      <c r="KB9" s="251">
        <f t="shared" si="14"/>
        <v>0</v>
      </c>
      <c r="KC9" s="251">
        <f t="shared" si="14"/>
        <v>0</v>
      </c>
      <c r="KD9" s="251">
        <f t="shared" si="14"/>
        <v>0</v>
      </c>
      <c r="KE9" s="251">
        <f t="shared" si="14"/>
        <v>0</v>
      </c>
      <c r="KF9" s="251">
        <f t="shared" si="14"/>
        <v>0</v>
      </c>
      <c r="KG9" s="251">
        <f t="shared" si="14"/>
        <v>0</v>
      </c>
      <c r="KH9" s="251">
        <f t="shared" si="14"/>
        <v>0</v>
      </c>
      <c r="KI9" s="251">
        <f t="shared" si="14"/>
        <v>0</v>
      </c>
      <c r="KJ9" s="251">
        <f t="shared" si="14"/>
        <v>0</v>
      </c>
      <c r="KK9" s="251">
        <f t="shared" si="14"/>
        <v>0</v>
      </c>
      <c r="KL9" s="251">
        <f t="shared" si="14"/>
        <v>0</v>
      </c>
      <c r="KM9" s="251">
        <f t="shared" si="14"/>
        <v>0</v>
      </c>
      <c r="KN9" s="251">
        <f t="shared" si="14"/>
        <v>0</v>
      </c>
      <c r="KO9" s="251">
        <f t="shared" si="14"/>
        <v>0</v>
      </c>
      <c r="KP9" s="251">
        <f t="shared" si="14"/>
        <v>0</v>
      </c>
      <c r="KQ9" s="251">
        <f t="shared" si="14"/>
        <v>0</v>
      </c>
      <c r="KR9" s="251">
        <f t="shared" si="14"/>
        <v>0</v>
      </c>
    </row>
    <row r="10" spans="1:304" x14ac:dyDescent="0.3">
      <c r="A10" s="242"/>
      <c r="B10" s="237"/>
      <c r="C10" s="252"/>
      <c r="D10" s="239"/>
      <c r="E10" s="253"/>
      <c r="F10" s="253"/>
      <c r="G10" s="253"/>
      <c r="H10" s="253"/>
      <c r="I10" s="253"/>
      <c r="J10" s="253"/>
      <c r="K10" s="253"/>
      <c r="L10" s="253"/>
      <c r="M10" s="495"/>
      <c r="N10" s="495"/>
      <c r="O10" s="495"/>
      <c r="P10" s="495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3"/>
      <c r="AW10" s="253"/>
      <c r="AX10" s="253"/>
      <c r="AY10" s="253"/>
      <c r="AZ10" s="253"/>
      <c r="BA10" s="253"/>
      <c r="BB10" s="253"/>
      <c r="BC10" s="253"/>
      <c r="BD10" s="253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53"/>
      <c r="BU10" s="253"/>
      <c r="BV10" s="253"/>
      <c r="BW10" s="253"/>
      <c r="BX10" s="253"/>
      <c r="BY10" s="253"/>
      <c r="BZ10" s="253"/>
      <c r="CA10" s="253"/>
      <c r="CB10" s="253"/>
      <c r="CC10" s="253"/>
      <c r="CD10" s="253"/>
      <c r="CE10" s="253"/>
      <c r="CF10" s="253"/>
      <c r="CG10" s="253"/>
      <c r="CH10" s="253"/>
      <c r="CI10" s="253"/>
      <c r="CJ10" s="253"/>
      <c r="CK10" s="253"/>
      <c r="CL10" s="253"/>
      <c r="CM10" s="253"/>
      <c r="CN10" s="253"/>
      <c r="CO10" s="253"/>
      <c r="CP10" s="253"/>
      <c r="CQ10" s="253"/>
      <c r="CR10" s="253"/>
      <c r="CS10" s="253"/>
      <c r="CT10" s="253"/>
      <c r="CU10" s="253"/>
      <c r="CV10" s="253"/>
      <c r="CW10" s="253"/>
      <c r="CX10" s="253"/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/>
      <c r="DV10" s="253"/>
      <c r="DW10" s="253"/>
      <c r="DX10" s="253"/>
      <c r="DY10" s="253"/>
      <c r="DZ10" s="253"/>
      <c r="EA10" s="253"/>
      <c r="EB10" s="253"/>
      <c r="EC10" s="253"/>
      <c r="ED10" s="253"/>
      <c r="EE10" s="253"/>
      <c r="EF10" s="253"/>
      <c r="EG10" s="253"/>
      <c r="EH10" s="253"/>
      <c r="EI10" s="253"/>
      <c r="EJ10" s="253"/>
      <c r="EK10" s="253"/>
      <c r="EL10" s="253"/>
      <c r="EM10" s="253"/>
      <c r="EN10" s="253"/>
      <c r="EO10" s="253"/>
      <c r="EP10" s="253"/>
      <c r="EQ10" s="253"/>
      <c r="ER10" s="253"/>
      <c r="ES10" s="253"/>
      <c r="ET10" s="253"/>
      <c r="EU10" s="253"/>
      <c r="EV10" s="253"/>
      <c r="EW10" s="253"/>
      <c r="EX10" s="253"/>
      <c r="EY10" s="253"/>
      <c r="EZ10" s="253"/>
      <c r="FA10" s="253"/>
      <c r="FB10" s="253"/>
      <c r="FC10" s="253"/>
      <c r="FD10" s="253"/>
      <c r="FE10" s="253"/>
      <c r="FF10" s="253"/>
      <c r="FG10" s="253"/>
      <c r="FH10" s="253"/>
      <c r="FI10" s="253"/>
      <c r="FJ10" s="253"/>
      <c r="FK10" s="253"/>
      <c r="FL10" s="253"/>
      <c r="FM10" s="253"/>
      <c r="FN10" s="253"/>
      <c r="FO10" s="253"/>
      <c r="FP10" s="253"/>
      <c r="FQ10" s="253"/>
      <c r="FR10" s="253"/>
      <c r="FS10" s="253"/>
      <c r="FT10" s="253"/>
      <c r="FU10" s="253"/>
      <c r="FV10" s="253"/>
      <c r="FW10" s="253"/>
      <c r="FX10" s="253"/>
      <c r="FY10" s="253"/>
      <c r="FZ10" s="253"/>
      <c r="GA10" s="253"/>
      <c r="GB10" s="253"/>
      <c r="GC10" s="253"/>
      <c r="GD10" s="253"/>
      <c r="GE10" s="253"/>
      <c r="GF10" s="253"/>
      <c r="GG10" s="253"/>
      <c r="GH10" s="253"/>
      <c r="GI10" s="253"/>
      <c r="GJ10" s="253"/>
      <c r="GK10" s="253"/>
      <c r="GL10" s="253"/>
      <c r="GM10" s="253"/>
      <c r="GN10" s="253"/>
      <c r="GO10" s="253"/>
      <c r="GP10" s="253"/>
      <c r="GQ10" s="253"/>
      <c r="GR10" s="253"/>
      <c r="GS10" s="253"/>
      <c r="GT10" s="253"/>
      <c r="GU10" s="253"/>
      <c r="GV10" s="253"/>
      <c r="GW10" s="253"/>
      <c r="GX10" s="253"/>
      <c r="GY10" s="253"/>
      <c r="GZ10" s="253"/>
      <c r="HA10" s="253"/>
      <c r="HB10" s="253"/>
      <c r="HC10" s="253"/>
      <c r="HD10" s="253"/>
      <c r="HE10" s="253"/>
      <c r="HF10" s="253"/>
      <c r="HG10" s="253"/>
      <c r="HH10" s="253"/>
      <c r="HI10" s="253"/>
      <c r="HJ10" s="253"/>
      <c r="HK10" s="253"/>
      <c r="HL10" s="253"/>
      <c r="HM10" s="253"/>
      <c r="HN10" s="253"/>
      <c r="HO10" s="253"/>
      <c r="HP10" s="253"/>
      <c r="HQ10" s="253"/>
      <c r="HR10" s="253"/>
      <c r="HS10" s="253"/>
      <c r="HT10" s="253"/>
      <c r="HU10" s="253"/>
      <c r="HV10" s="253"/>
      <c r="HW10" s="253"/>
      <c r="HX10" s="253"/>
      <c r="HY10" s="253"/>
      <c r="HZ10" s="253"/>
      <c r="IA10" s="253"/>
      <c r="IB10" s="253"/>
      <c r="IC10" s="253"/>
      <c r="ID10" s="253"/>
      <c r="IE10" s="253"/>
      <c r="IF10" s="253"/>
      <c r="IG10" s="253"/>
      <c r="IH10" s="253"/>
      <c r="II10" s="253"/>
      <c r="IJ10" s="253"/>
      <c r="IK10" s="253"/>
      <c r="IL10" s="253"/>
      <c r="IM10" s="253"/>
      <c r="IN10" s="253"/>
      <c r="IO10" s="253"/>
      <c r="IP10" s="253"/>
      <c r="IQ10" s="253"/>
      <c r="IR10" s="253"/>
      <c r="IS10" s="253"/>
      <c r="IT10" s="253"/>
      <c r="IU10" s="253"/>
      <c r="IV10" s="253"/>
      <c r="IW10" s="253"/>
      <c r="IX10" s="253"/>
      <c r="IY10" s="253"/>
      <c r="IZ10" s="253"/>
      <c r="JA10" s="253"/>
      <c r="JB10" s="253"/>
      <c r="JC10" s="253"/>
      <c r="JD10" s="253"/>
      <c r="JE10" s="253"/>
      <c r="JF10" s="253"/>
      <c r="JG10" s="253"/>
      <c r="JH10" s="253"/>
      <c r="JI10" s="253"/>
      <c r="JJ10" s="253"/>
      <c r="JK10" s="253"/>
      <c r="JL10" s="253"/>
      <c r="JM10" s="253"/>
      <c r="JN10" s="253"/>
      <c r="JO10" s="253"/>
      <c r="JP10" s="253"/>
      <c r="JQ10" s="253"/>
      <c r="JR10" s="253"/>
      <c r="JS10" s="253"/>
      <c r="JT10" s="253"/>
      <c r="JU10" s="253"/>
      <c r="JV10" s="253"/>
      <c r="JW10" s="253"/>
      <c r="JX10" s="253"/>
      <c r="JY10" s="253"/>
      <c r="JZ10" s="253"/>
      <c r="KA10" s="253"/>
      <c r="KB10" s="253"/>
      <c r="KC10" s="253"/>
      <c r="KD10" s="253"/>
      <c r="KE10" s="253"/>
      <c r="KF10" s="253"/>
      <c r="KG10" s="253"/>
      <c r="KH10" s="253"/>
      <c r="KI10" s="253"/>
      <c r="KJ10" s="253"/>
      <c r="KK10" s="253"/>
      <c r="KL10" s="253"/>
      <c r="KM10" s="253"/>
      <c r="KN10" s="253"/>
      <c r="KO10" s="253"/>
      <c r="KP10" s="253"/>
      <c r="KQ10" s="253"/>
      <c r="KR10" s="253"/>
    </row>
    <row r="11" spans="1:304" x14ac:dyDescent="0.3">
      <c r="A11" s="242"/>
      <c r="B11" s="237" t="s">
        <v>5223</v>
      </c>
      <c r="C11" s="252">
        <f>SUM(E11:KR11)</f>
        <v>0</v>
      </c>
      <c r="D11" s="239"/>
      <c r="E11" s="253">
        <f>$E$17*E6</f>
        <v>0</v>
      </c>
      <c r="F11" s="253">
        <f>$E$17*F6</f>
        <v>0</v>
      </c>
      <c r="G11" s="253">
        <f t="shared" ref="G11:BR11" si="15">$E$17*G6</f>
        <v>0</v>
      </c>
      <c r="H11" s="253">
        <f t="shared" si="15"/>
        <v>0</v>
      </c>
      <c r="I11" s="253">
        <f t="shared" si="15"/>
        <v>0</v>
      </c>
      <c r="J11" s="253">
        <f t="shared" si="15"/>
        <v>0</v>
      </c>
      <c r="K11" s="253">
        <f t="shared" si="15"/>
        <v>0</v>
      </c>
      <c r="L11" s="253">
        <f t="shared" si="15"/>
        <v>0</v>
      </c>
      <c r="M11" s="495">
        <f t="shared" si="15"/>
        <v>0</v>
      </c>
      <c r="N11" s="495">
        <f t="shared" si="15"/>
        <v>0</v>
      </c>
      <c r="O11" s="495">
        <f t="shared" si="15"/>
        <v>0</v>
      </c>
      <c r="P11" s="495">
        <f t="shared" si="15"/>
        <v>0</v>
      </c>
      <c r="Q11" s="253">
        <f t="shared" si="15"/>
        <v>0</v>
      </c>
      <c r="R11" s="253">
        <f t="shared" si="15"/>
        <v>0</v>
      </c>
      <c r="S11" s="253">
        <f t="shared" si="15"/>
        <v>0</v>
      </c>
      <c r="T11" s="253">
        <f t="shared" si="15"/>
        <v>0</v>
      </c>
      <c r="U11" s="253">
        <f t="shared" si="15"/>
        <v>0</v>
      </c>
      <c r="V11" s="253">
        <f t="shared" si="15"/>
        <v>0</v>
      </c>
      <c r="W11" s="253">
        <f t="shared" si="15"/>
        <v>0</v>
      </c>
      <c r="X11" s="253">
        <f t="shared" si="15"/>
        <v>0</v>
      </c>
      <c r="Y11" s="253">
        <f t="shared" si="15"/>
        <v>0</v>
      </c>
      <c r="Z11" s="253">
        <f t="shared" si="15"/>
        <v>0</v>
      </c>
      <c r="AA11" s="253">
        <f t="shared" si="15"/>
        <v>0</v>
      </c>
      <c r="AB11" s="253">
        <f t="shared" si="15"/>
        <v>0</v>
      </c>
      <c r="AC11" s="253">
        <f t="shared" si="15"/>
        <v>0</v>
      </c>
      <c r="AD11" s="253">
        <f t="shared" si="15"/>
        <v>0</v>
      </c>
      <c r="AE11" s="253">
        <f t="shared" si="15"/>
        <v>0</v>
      </c>
      <c r="AF11" s="253">
        <f t="shared" si="15"/>
        <v>0</v>
      </c>
      <c r="AG11" s="253">
        <f t="shared" si="15"/>
        <v>0</v>
      </c>
      <c r="AH11" s="253">
        <f t="shared" si="15"/>
        <v>0</v>
      </c>
      <c r="AI11" s="253">
        <f t="shared" si="15"/>
        <v>0</v>
      </c>
      <c r="AJ11" s="253">
        <f t="shared" si="15"/>
        <v>0</v>
      </c>
      <c r="AK11" s="253">
        <f t="shared" si="15"/>
        <v>0</v>
      </c>
      <c r="AL11" s="253">
        <f t="shared" si="15"/>
        <v>0</v>
      </c>
      <c r="AM11" s="253">
        <f t="shared" si="15"/>
        <v>0</v>
      </c>
      <c r="AN11" s="253">
        <f t="shared" si="15"/>
        <v>0</v>
      </c>
      <c r="AO11" s="253">
        <f t="shared" si="15"/>
        <v>0</v>
      </c>
      <c r="AP11" s="253">
        <f t="shared" si="15"/>
        <v>0</v>
      </c>
      <c r="AQ11" s="253">
        <f t="shared" si="15"/>
        <v>0</v>
      </c>
      <c r="AR11" s="253">
        <f t="shared" si="15"/>
        <v>0</v>
      </c>
      <c r="AS11" s="253">
        <f t="shared" si="15"/>
        <v>0</v>
      </c>
      <c r="AT11" s="253">
        <f t="shared" si="15"/>
        <v>0</v>
      </c>
      <c r="AU11" s="253">
        <f t="shared" si="15"/>
        <v>0</v>
      </c>
      <c r="AV11" s="253">
        <f t="shared" si="15"/>
        <v>0</v>
      </c>
      <c r="AW11" s="253">
        <f t="shared" si="15"/>
        <v>0</v>
      </c>
      <c r="AX11" s="253">
        <f t="shared" si="15"/>
        <v>0</v>
      </c>
      <c r="AY11" s="253">
        <f t="shared" si="15"/>
        <v>0</v>
      </c>
      <c r="AZ11" s="253">
        <f t="shared" si="15"/>
        <v>0</v>
      </c>
      <c r="BA11" s="253">
        <f t="shared" si="15"/>
        <v>0</v>
      </c>
      <c r="BB11" s="253">
        <f t="shared" si="15"/>
        <v>0</v>
      </c>
      <c r="BC11" s="253">
        <f t="shared" si="15"/>
        <v>0</v>
      </c>
      <c r="BD11" s="253">
        <f t="shared" si="15"/>
        <v>0</v>
      </c>
      <c r="BE11" s="253">
        <f t="shared" si="15"/>
        <v>0</v>
      </c>
      <c r="BF11" s="253">
        <f t="shared" si="15"/>
        <v>0</v>
      </c>
      <c r="BG11" s="253">
        <f t="shared" si="15"/>
        <v>0</v>
      </c>
      <c r="BH11" s="253">
        <f t="shared" si="15"/>
        <v>0</v>
      </c>
      <c r="BI11" s="253">
        <f t="shared" si="15"/>
        <v>0</v>
      </c>
      <c r="BJ11" s="253">
        <f t="shared" si="15"/>
        <v>0</v>
      </c>
      <c r="BK11" s="253">
        <f t="shared" si="15"/>
        <v>0</v>
      </c>
      <c r="BL11" s="253">
        <f t="shared" si="15"/>
        <v>0</v>
      </c>
      <c r="BM11" s="253">
        <f t="shared" si="15"/>
        <v>0</v>
      </c>
      <c r="BN11" s="253">
        <f t="shared" si="15"/>
        <v>0</v>
      </c>
      <c r="BO11" s="253">
        <f t="shared" si="15"/>
        <v>0</v>
      </c>
      <c r="BP11" s="253">
        <f t="shared" si="15"/>
        <v>0</v>
      </c>
      <c r="BQ11" s="253">
        <f t="shared" si="15"/>
        <v>0</v>
      </c>
      <c r="BR11" s="253">
        <f t="shared" si="15"/>
        <v>0</v>
      </c>
      <c r="BS11" s="253">
        <f t="shared" ref="BS11:ED11" si="16">$E$17*BS6</f>
        <v>0</v>
      </c>
      <c r="BT11" s="253">
        <f t="shared" si="16"/>
        <v>0</v>
      </c>
      <c r="BU11" s="253">
        <f t="shared" si="16"/>
        <v>0</v>
      </c>
      <c r="BV11" s="253">
        <f t="shared" si="16"/>
        <v>0</v>
      </c>
      <c r="BW11" s="253">
        <f t="shared" si="16"/>
        <v>0</v>
      </c>
      <c r="BX11" s="253">
        <f t="shared" si="16"/>
        <v>0</v>
      </c>
      <c r="BY11" s="253">
        <f t="shared" si="16"/>
        <v>0</v>
      </c>
      <c r="BZ11" s="253">
        <f t="shared" si="16"/>
        <v>0</v>
      </c>
      <c r="CA11" s="253">
        <f t="shared" si="16"/>
        <v>0</v>
      </c>
      <c r="CB11" s="253">
        <f t="shared" si="16"/>
        <v>0</v>
      </c>
      <c r="CC11" s="253">
        <f t="shared" si="16"/>
        <v>0</v>
      </c>
      <c r="CD11" s="253">
        <f t="shared" si="16"/>
        <v>0</v>
      </c>
      <c r="CE11" s="253">
        <f t="shared" si="16"/>
        <v>0</v>
      </c>
      <c r="CF11" s="253">
        <f t="shared" si="16"/>
        <v>0</v>
      </c>
      <c r="CG11" s="253">
        <f t="shared" si="16"/>
        <v>0</v>
      </c>
      <c r="CH11" s="253">
        <f t="shared" si="16"/>
        <v>0</v>
      </c>
      <c r="CI11" s="253">
        <f t="shared" si="16"/>
        <v>0</v>
      </c>
      <c r="CJ11" s="253">
        <f t="shared" si="16"/>
        <v>0</v>
      </c>
      <c r="CK11" s="253">
        <f t="shared" si="16"/>
        <v>0</v>
      </c>
      <c r="CL11" s="253">
        <f t="shared" si="16"/>
        <v>0</v>
      </c>
      <c r="CM11" s="253">
        <f t="shared" si="16"/>
        <v>0</v>
      </c>
      <c r="CN11" s="253">
        <f t="shared" si="16"/>
        <v>0</v>
      </c>
      <c r="CO11" s="253">
        <f t="shared" si="16"/>
        <v>0</v>
      </c>
      <c r="CP11" s="253">
        <f t="shared" si="16"/>
        <v>0</v>
      </c>
      <c r="CQ11" s="253">
        <f t="shared" si="16"/>
        <v>0</v>
      </c>
      <c r="CR11" s="253">
        <f t="shared" si="16"/>
        <v>0</v>
      </c>
      <c r="CS11" s="253">
        <f t="shared" si="16"/>
        <v>0</v>
      </c>
      <c r="CT11" s="253">
        <f t="shared" si="16"/>
        <v>0</v>
      </c>
      <c r="CU11" s="253">
        <f t="shared" si="16"/>
        <v>0</v>
      </c>
      <c r="CV11" s="253">
        <f t="shared" si="16"/>
        <v>0</v>
      </c>
      <c r="CW11" s="253">
        <f t="shared" si="16"/>
        <v>0</v>
      </c>
      <c r="CX11" s="253">
        <f t="shared" si="16"/>
        <v>0</v>
      </c>
      <c r="CY11" s="253">
        <f t="shared" si="16"/>
        <v>0</v>
      </c>
      <c r="CZ11" s="253">
        <f t="shared" si="16"/>
        <v>0</v>
      </c>
      <c r="DA11" s="253">
        <f t="shared" si="16"/>
        <v>0</v>
      </c>
      <c r="DB11" s="253">
        <f t="shared" si="16"/>
        <v>0</v>
      </c>
      <c r="DC11" s="253">
        <f t="shared" si="16"/>
        <v>0</v>
      </c>
      <c r="DD11" s="253">
        <f t="shared" si="16"/>
        <v>0</v>
      </c>
      <c r="DE11" s="253">
        <f t="shared" si="16"/>
        <v>0</v>
      </c>
      <c r="DF11" s="253">
        <f t="shared" si="16"/>
        <v>0</v>
      </c>
      <c r="DG11" s="253">
        <f t="shared" si="16"/>
        <v>0</v>
      </c>
      <c r="DH11" s="253">
        <f t="shared" si="16"/>
        <v>0</v>
      </c>
      <c r="DI11" s="253">
        <f t="shared" si="16"/>
        <v>0</v>
      </c>
      <c r="DJ11" s="253">
        <f t="shared" si="16"/>
        <v>0</v>
      </c>
      <c r="DK11" s="253">
        <f t="shared" si="16"/>
        <v>0</v>
      </c>
      <c r="DL11" s="253">
        <f t="shared" si="16"/>
        <v>0</v>
      </c>
      <c r="DM11" s="253">
        <f t="shared" si="16"/>
        <v>0</v>
      </c>
      <c r="DN11" s="253">
        <f t="shared" si="16"/>
        <v>0</v>
      </c>
      <c r="DO11" s="253">
        <f t="shared" si="16"/>
        <v>0</v>
      </c>
      <c r="DP11" s="253">
        <f t="shared" si="16"/>
        <v>0</v>
      </c>
      <c r="DQ11" s="253">
        <f t="shared" si="16"/>
        <v>0</v>
      </c>
      <c r="DR11" s="253">
        <f t="shared" si="16"/>
        <v>0</v>
      </c>
      <c r="DS11" s="253">
        <f t="shared" si="16"/>
        <v>0</v>
      </c>
      <c r="DT11" s="253">
        <f t="shared" si="16"/>
        <v>0</v>
      </c>
      <c r="DU11" s="253">
        <f t="shared" si="16"/>
        <v>0</v>
      </c>
      <c r="DV11" s="253">
        <f t="shared" si="16"/>
        <v>0</v>
      </c>
      <c r="DW11" s="253">
        <f t="shared" si="16"/>
        <v>0</v>
      </c>
      <c r="DX11" s="253">
        <f t="shared" si="16"/>
        <v>0</v>
      </c>
      <c r="DY11" s="253">
        <f t="shared" si="16"/>
        <v>0</v>
      </c>
      <c r="DZ11" s="253">
        <f t="shared" si="16"/>
        <v>0</v>
      </c>
      <c r="EA11" s="253">
        <f t="shared" si="16"/>
        <v>0</v>
      </c>
      <c r="EB11" s="253">
        <f t="shared" si="16"/>
        <v>0</v>
      </c>
      <c r="EC11" s="253">
        <f t="shared" si="16"/>
        <v>0</v>
      </c>
      <c r="ED11" s="253">
        <f t="shared" si="16"/>
        <v>0</v>
      </c>
      <c r="EE11" s="253">
        <f t="shared" ref="EE11:GP11" si="17">$E$17*EE6</f>
        <v>0</v>
      </c>
      <c r="EF11" s="253">
        <f t="shared" si="17"/>
        <v>0</v>
      </c>
      <c r="EG11" s="253">
        <f t="shared" si="17"/>
        <v>0</v>
      </c>
      <c r="EH11" s="253">
        <f t="shared" si="17"/>
        <v>0</v>
      </c>
      <c r="EI11" s="253">
        <f t="shared" si="17"/>
        <v>0</v>
      </c>
      <c r="EJ11" s="253">
        <f t="shared" si="17"/>
        <v>0</v>
      </c>
      <c r="EK11" s="253">
        <f t="shared" si="17"/>
        <v>0</v>
      </c>
      <c r="EL11" s="253">
        <f t="shared" si="17"/>
        <v>0</v>
      </c>
      <c r="EM11" s="253">
        <f t="shared" si="17"/>
        <v>0</v>
      </c>
      <c r="EN11" s="253">
        <f t="shared" si="17"/>
        <v>0</v>
      </c>
      <c r="EO11" s="253">
        <f t="shared" si="17"/>
        <v>0</v>
      </c>
      <c r="EP11" s="253">
        <f t="shared" si="17"/>
        <v>0</v>
      </c>
      <c r="EQ11" s="253">
        <f t="shared" si="17"/>
        <v>0</v>
      </c>
      <c r="ER11" s="253">
        <f t="shared" si="17"/>
        <v>0</v>
      </c>
      <c r="ES11" s="253">
        <f t="shared" si="17"/>
        <v>0</v>
      </c>
      <c r="ET11" s="253">
        <f t="shared" si="17"/>
        <v>0</v>
      </c>
      <c r="EU11" s="253">
        <f t="shared" si="17"/>
        <v>0</v>
      </c>
      <c r="EV11" s="253">
        <f t="shared" si="17"/>
        <v>0</v>
      </c>
      <c r="EW11" s="253">
        <f t="shared" si="17"/>
        <v>0</v>
      </c>
      <c r="EX11" s="253">
        <f t="shared" si="17"/>
        <v>0</v>
      </c>
      <c r="EY11" s="253">
        <f t="shared" si="17"/>
        <v>0</v>
      </c>
      <c r="EZ11" s="253">
        <f t="shared" si="17"/>
        <v>0</v>
      </c>
      <c r="FA11" s="253">
        <f t="shared" si="17"/>
        <v>0</v>
      </c>
      <c r="FB11" s="253">
        <f t="shared" si="17"/>
        <v>0</v>
      </c>
      <c r="FC11" s="253">
        <f t="shared" si="17"/>
        <v>0</v>
      </c>
      <c r="FD11" s="253">
        <f t="shared" si="17"/>
        <v>0</v>
      </c>
      <c r="FE11" s="253">
        <f t="shared" si="17"/>
        <v>0</v>
      </c>
      <c r="FF11" s="253">
        <f t="shared" si="17"/>
        <v>0</v>
      </c>
      <c r="FG11" s="253">
        <f t="shared" si="17"/>
        <v>0</v>
      </c>
      <c r="FH11" s="253">
        <f t="shared" si="17"/>
        <v>0</v>
      </c>
      <c r="FI11" s="253">
        <f t="shared" si="17"/>
        <v>0</v>
      </c>
      <c r="FJ11" s="253">
        <f t="shared" si="17"/>
        <v>0</v>
      </c>
      <c r="FK11" s="253">
        <f t="shared" si="17"/>
        <v>0</v>
      </c>
      <c r="FL11" s="253">
        <f t="shared" si="17"/>
        <v>0</v>
      </c>
      <c r="FM11" s="253">
        <f t="shared" si="17"/>
        <v>0</v>
      </c>
      <c r="FN11" s="253">
        <f t="shared" si="17"/>
        <v>0</v>
      </c>
      <c r="FO11" s="253">
        <f t="shared" si="17"/>
        <v>0</v>
      </c>
      <c r="FP11" s="253">
        <f t="shared" si="17"/>
        <v>0</v>
      </c>
      <c r="FQ11" s="253">
        <f t="shared" si="17"/>
        <v>0</v>
      </c>
      <c r="FR11" s="253">
        <f t="shared" si="17"/>
        <v>0</v>
      </c>
      <c r="FS11" s="253">
        <f t="shared" si="17"/>
        <v>0</v>
      </c>
      <c r="FT11" s="253">
        <f t="shared" si="17"/>
        <v>0</v>
      </c>
      <c r="FU11" s="253">
        <f t="shared" si="17"/>
        <v>0</v>
      </c>
      <c r="FV11" s="253">
        <f t="shared" si="17"/>
        <v>0</v>
      </c>
      <c r="FW11" s="253">
        <f t="shared" si="17"/>
        <v>0</v>
      </c>
      <c r="FX11" s="253">
        <f t="shared" si="17"/>
        <v>0</v>
      </c>
      <c r="FY11" s="253">
        <f t="shared" si="17"/>
        <v>0</v>
      </c>
      <c r="FZ11" s="253">
        <f t="shared" si="17"/>
        <v>0</v>
      </c>
      <c r="GA11" s="253">
        <f t="shared" si="17"/>
        <v>0</v>
      </c>
      <c r="GB11" s="253">
        <f t="shared" si="17"/>
        <v>0</v>
      </c>
      <c r="GC11" s="253">
        <f t="shared" si="17"/>
        <v>0</v>
      </c>
      <c r="GD11" s="253">
        <f t="shared" si="17"/>
        <v>0</v>
      </c>
      <c r="GE11" s="253">
        <f t="shared" si="17"/>
        <v>0</v>
      </c>
      <c r="GF11" s="253">
        <f t="shared" si="17"/>
        <v>0</v>
      </c>
      <c r="GG11" s="253">
        <f t="shared" si="17"/>
        <v>0</v>
      </c>
      <c r="GH11" s="253">
        <f t="shared" si="17"/>
        <v>0</v>
      </c>
      <c r="GI11" s="253">
        <f t="shared" si="17"/>
        <v>0</v>
      </c>
      <c r="GJ11" s="253">
        <f t="shared" si="17"/>
        <v>0</v>
      </c>
      <c r="GK11" s="253">
        <f t="shared" si="17"/>
        <v>0</v>
      </c>
      <c r="GL11" s="253">
        <f t="shared" si="17"/>
        <v>0</v>
      </c>
      <c r="GM11" s="253">
        <f t="shared" si="17"/>
        <v>0</v>
      </c>
      <c r="GN11" s="253">
        <f t="shared" si="17"/>
        <v>0</v>
      </c>
      <c r="GO11" s="253">
        <f t="shared" si="17"/>
        <v>0</v>
      </c>
      <c r="GP11" s="253">
        <f t="shared" si="17"/>
        <v>0</v>
      </c>
      <c r="GQ11" s="253">
        <f t="shared" ref="GQ11:JB11" si="18">$E$17*GQ6</f>
        <v>0</v>
      </c>
      <c r="GR11" s="253">
        <f t="shared" si="18"/>
        <v>0</v>
      </c>
      <c r="GS11" s="253">
        <f t="shared" si="18"/>
        <v>0</v>
      </c>
      <c r="GT11" s="253">
        <f t="shared" si="18"/>
        <v>0</v>
      </c>
      <c r="GU11" s="253">
        <f t="shared" si="18"/>
        <v>0</v>
      </c>
      <c r="GV11" s="253">
        <f t="shared" si="18"/>
        <v>0</v>
      </c>
      <c r="GW11" s="253">
        <f t="shared" si="18"/>
        <v>0</v>
      </c>
      <c r="GX11" s="253">
        <f t="shared" si="18"/>
        <v>0</v>
      </c>
      <c r="GY11" s="253">
        <f t="shared" si="18"/>
        <v>0</v>
      </c>
      <c r="GZ11" s="253">
        <f t="shared" si="18"/>
        <v>0</v>
      </c>
      <c r="HA11" s="253">
        <f t="shared" si="18"/>
        <v>0</v>
      </c>
      <c r="HB11" s="253">
        <f t="shared" si="18"/>
        <v>0</v>
      </c>
      <c r="HC11" s="253">
        <f t="shared" si="18"/>
        <v>0</v>
      </c>
      <c r="HD11" s="253">
        <f t="shared" si="18"/>
        <v>0</v>
      </c>
      <c r="HE11" s="253">
        <f t="shared" si="18"/>
        <v>0</v>
      </c>
      <c r="HF11" s="253">
        <f t="shared" si="18"/>
        <v>0</v>
      </c>
      <c r="HG11" s="253">
        <f t="shared" si="18"/>
        <v>0</v>
      </c>
      <c r="HH11" s="253">
        <f t="shared" si="18"/>
        <v>0</v>
      </c>
      <c r="HI11" s="253">
        <f t="shared" si="18"/>
        <v>0</v>
      </c>
      <c r="HJ11" s="253">
        <f t="shared" si="18"/>
        <v>0</v>
      </c>
      <c r="HK11" s="253">
        <f t="shared" si="18"/>
        <v>0</v>
      </c>
      <c r="HL11" s="253">
        <f t="shared" si="18"/>
        <v>0</v>
      </c>
      <c r="HM11" s="253">
        <f t="shared" si="18"/>
        <v>0</v>
      </c>
      <c r="HN11" s="253">
        <f t="shared" si="18"/>
        <v>0</v>
      </c>
      <c r="HO11" s="253">
        <f t="shared" si="18"/>
        <v>0</v>
      </c>
      <c r="HP11" s="253">
        <f t="shared" si="18"/>
        <v>0</v>
      </c>
      <c r="HQ11" s="253">
        <f t="shared" si="18"/>
        <v>0</v>
      </c>
      <c r="HR11" s="253">
        <f t="shared" si="18"/>
        <v>0</v>
      </c>
      <c r="HS11" s="253">
        <f t="shared" si="18"/>
        <v>0</v>
      </c>
      <c r="HT11" s="253">
        <f t="shared" si="18"/>
        <v>0</v>
      </c>
      <c r="HU11" s="253">
        <f t="shared" si="18"/>
        <v>0</v>
      </c>
      <c r="HV11" s="253">
        <f t="shared" si="18"/>
        <v>0</v>
      </c>
      <c r="HW11" s="253">
        <f t="shared" si="18"/>
        <v>0</v>
      </c>
      <c r="HX11" s="253">
        <f t="shared" si="18"/>
        <v>0</v>
      </c>
      <c r="HY11" s="253">
        <f t="shared" si="18"/>
        <v>0</v>
      </c>
      <c r="HZ11" s="253">
        <f t="shared" si="18"/>
        <v>0</v>
      </c>
      <c r="IA11" s="253">
        <f t="shared" si="18"/>
        <v>0</v>
      </c>
      <c r="IB11" s="253">
        <f t="shared" si="18"/>
        <v>0</v>
      </c>
      <c r="IC11" s="253">
        <f t="shared" si="18"/>
        <v>0</v>
      </c>
      <c r="ID11" s="253">
        <f t="shared" si="18"/>
        <v>0</v>
      </c>
      <c r="IE11" s="253">
        <f t="shared" si="18"/>
        <v>0</v>
      </c>
      <c r="IF11" s="253">
        <f t="shared" si="18"/>
        <v>0</v>
      </c>
      <c r="IG11" s="253">
        <f t="shared" si="18"/>
        <v>0</v>
      </c>
      <c r="IH11" s="253">
        <f t="shared" si="18"/>
        <v>0</v>
      </c>
      <c r="II11" s="253">
        <f t="shared" si="18"/>
        <v>0</v>
      </c>
      <c r="IJ11" s="253">
        <f t="shared" si="18"/>
        <v>0</v>
      </c>
      <c r="IK11" s="253">
        <f t="shared" si="18"/>
        <v>0</v>
      </c>
      <c r="IL11" s="253">
        <f t="shared" si="18"/>
        <v>0</v>
      </c>
      <c r="IM11" s="253">
        <f t="shared" si="18"/>
        <v>0</v>
      </c>
      <c r="IN11" s="253">
        <f t="shared" si="18"/>
        <v>0</v>
      </c>
      <c r="IO11" s="253">
        <f t="shared" si="18"/>
        <v>0</v>
      </c>
      <c r="IP11" s="253">
        <f t="shared" si="18"/>
        <v>0</v>
      </c>
      <c r="IQ11" s="253">
        <f t="shared" si="18"/>
        <v>0</v>
      </c>
      <c r="IR11" s="253">
        <f t="shared" si="18"/>
        <v>0</v>
      </c>
      <c r="IS11" s="253">
        <f t="shared" si="18"/>
        <v>0</v>
      </c>
      <c r="IT11" s="253">
        <f t="shared" si="18"/>
        <v>0</v>
      </c>
      <c r="IU11" s="253">
        <f t="shared" si="18"/>
        <v>0</v>
      </c>
      <c r="IV11" s="253">
        <f t="shared" si="18"/>
        <v>0</v>
      </c>
      <c r="IW11" s="253">
        <f t="shared" si="18"/>
        <v>0</v>
      </c>
      <c r="IX11" s="253">
        <f t="shared" si="18"/>
        <v>0</v>
      </c>
      <c r="IY11" s="253">
        <f t="shared" si="18"/>
        <v>0</v>
      </c>
      <c r="IZ11" s="253">
        <f t="shared" si="18"/>
        <v>0</v>
      </c>
      <c r="JA11" s="253">
        <f t="shared" si="18"/>
        <v>0</v>
      </c>
      <c r="JB11" s="253">
        <f t="shared" si="18"/>
        <v>0</v>
      </c>
      <c r="JC11" s="253">
        <f t="shared" ref="JC11:KR11" si="19">$E$17*JC6</f>
        <v>0</v>
      </c>
      <c r="JD11" s="253">
        <f t="shared" si="19"/>
        <v>0</v>
      </c>
      <c r="JE11" s="253">
        <f t="shared" si="19"/>
        <v>0</v>
      </c>
      <c r="JF11" s="253">
        <f t="shared" si="19"/>
        <v>0</v>
      </c>
      <c r="JG11" s="253">
        <f t="shared" si="19"/>
        <v>0</v>
      </c>
      <c r="JH11" s="253">
        <f t="shared" si="19"/>
        <v>0</v>
      </c>
      <c r="JI11" s="253">
        <f t="shared" si="19"/>
        <v>0</v>
      </c>
      <c r="JJ11" s="253">
        <f t="shared" si="19"/>
        <v>0</v>
      </c>
      <c r="JK11" s="253">
        <f t="shared" si="19"/>
        <v>0</v>
      </c>
      <c r="JL11" s="253">
        <f t="shared" si="19"/>
        <v>0</v>
      </c>
      <c r="JM11" s="253">
        <f t="shared" si="19"/>
        <v>0</v>
      </c>
      <c r="JN11" s="253">
        <f t="shared" si="19"/>
        <v>0</v>
      </c>
      <c r="JO11" s="253">
        <f t="shared" si="19"/>
        <v>0</v>
      </c>
      <c r="JP11" s="253">
        <f t="shared" si="19"/>
        <v>0</v>
      </c>
      <c r="JQ11" s="253">
        <f t="shared" si="19"/>
        <v>0</v>
      </c>
      <c r="JR11" s="253">
        <f t="shared" si="19"/>
        <v>0</v>
      </c>
      <c r="JS11" s="253">
        <f t="shared" si="19"/>
        <v>0</v>
      </c>
      <c r="JT11" s="253">
        <f t="shared" si="19"/>
        <v>0</v>
      </c>
      <c r="JU11" s="253">
        <f t="shared" si="19"/>
        <v>0</v>
      </c>
      <c r="JV11" s="253">
        <f t="shared" si="19"/>
        <v>0</v>
      </c>
      <c r="JW11" s="253">
        <f t="shared" si="19"/>
        <v>0</v>
      </c>
      <c r="JX11" s="253">
        <f t="shared" si="19"/>
        <v>0</v>
      </c>
      <c r="JY11" s="253">
        <f t="shared" si="19"/>
        <v>0</v>
      </c>
      <c r="JZ11" s="253">
        <f t="shared" si="19"/>
        <v>0</v>
      </c>
      <c r="KA11" s="253">
        <f t="shared" si="19"/>
        <v>0</v>
      </c>
      <c r="KB11" s="253">
        <f t="shared" si="19"/>
        <v>0</v>
      </c>
      <c r="KC11" s="253">
        <f t="shared" si="19"/>
        <v>0</v>
      </c>
      <c r="KD11" s="253">
        <f t="shared" si="19"/>
        <v>0</v>
      </c>
      <c r="KE11" s="253">
        <f t="shared" si="19"/>
        <v>0</v>
      </c>
      <c r="KF11" s="253">
        <f t="shared" si="19"/>
        <v>0</v>
      </c>
      <c r="KG11" s="253">
        <f t="shared" si="19"/>
        <v>0</v>
      </c>
      <c r="KH11" s="253">
        <f t="shared" si="19"/>
        <v>0</v>
      </c>
      <c r="KI11" s="253">
        <f t="shared" si="19"/>
        <v>0</v>
      </c>
      <c r="KJ11" s="253">
        <f t="shared" si="19"/>
        <v>0</v>
      </c>
      <c r="KK11" s="253">
        <f t="shared" si="19"/>
        <v>0</v>
      </c>
      <c r="KL11" s="253">
        <f t="shared" si="19"/>
        <v>0</v>
      </c>
      <c r="KM11" s="253">
        <f t="shared" si="19"/>
        <v>0</v>
      </c>
      <c r="KN11" s="253">
        <f t="shared" si="19"/>
        <v>0</v>
      </c>
      <c r="KO11" s="253">
        <f t="shared" si="19"/>
        <v>0</v>
      </c>
      <c r="KP11" s="253">
        <f t="shared" si="19"/>
        <v>0</v>
      </c>
      <c r="KQ11" s="253">
        <f t="shared" si="19"/>
        <v>0</v>
      </c>
      <c r="KR11" s="253">
        <f t="shared" si="19"/>
        <v>0</v>
      </c>
    </row>
    <row r="12" spans="1:304" ht="14.25" customHeight="1" x14ac:dyDescent="0.3">
      <c r="B12" s="254"/>
      <c r="C12" s="255"/>
      <c r="D12" s="256"/>
      <c r="E12" s="256"/>
      <c r="F12" s="256"/>
      <c r="G12" s="256"/>
      <c r="H12" s="256"/>
      <c r="I12" s="498" t="s">
        <v>5312</v>
      </c>
      <c r="J12" s="498" t="s">
        <v>5311</v>
      </c>
      <c r="M12" s="257"/>
      <c r="N12" s="258"/>
    </row>
    <row r="13" spans="1:304" x14ac:dyDescent="0.3">
      <c r="C13" s="259"/>
      <c r="D13" s="256"/>
      <c r="E13" s="256" t="s">
        <v>174</v>
      </c>
      <c r="F13" s="256" t="s">
        <v>129</v>
      </c>
      <c r="G13" s="256"/>
      <c r="H13" s="497" t="s">
        <v>5309</v>
      </c>
      <c r="I13" s="256" t="s">
        <v>5314</v>
      </c>
      <c r="J13" s="511">
        <f>SUM($F$26:$F$65,$F$67:$F$78)</f>
        <v>0.58455328120345984</v>
      </c>
      <c r="L13" s="260"/>
      <c r="M13" s="257"/>
      <c r="N13" s="258"/>
    </row>
    <row r="14" spans="1:304" x14ac:dyDescent="0.3">
      <c r="C14" s="261" t="s">
        <v>176</v>
      </c>
      <c r="D14" s="255"/>
      <c r="E14" s="261">
        <f>SUM(AR:SM!L27)</f>
        <v>0</v>
      </c>
      <c r="F14" s="259">
        <f>SUM(E14)</f>
        <v>0</v>
      </c>
      <c r="G14" s="261"/>
      <c r="H14" s="497" t="s">
        <v>5310</v>
      </c>
      <c r="I14" s="256" t="s">
        <v>5313</v>
      </c>
      <c r="J14" s="511">
        <f>$F$66</f>
        <v>0.41544671879654022</v>
      </c>
      <c r="L14" s="263"/>
      <c r="M14" s="257"/>
      <c r="N14" s="258"/>
    </row>
    <row r="15" spans="1:304" x14ac:dyDescent="0.3">
      <c r="C15" s="261" t="s">
        <v>161</v>
      </c>
      <c r="D15" s="255"/>
      <c r="E15" s="261">
        <f>SUM(AR:SM!L11)</f>
        <v>94731767.834145308</v>
      </c>
      <c r="F15" s="259">
        <f>SUM(E15)</f>
        <v>94731767.834145308</v>
      </c>
      <c r="G15" s="261"/>
      <c r="H15" s="255"/>
      <c r="I15" s="262"/>
      <c r="L15" s="263"/>
      <c r="M15" s="257"/>
      <c r="N15" s="258"/>
    </row>
    <row r="16" spans="1:304" x14ac:dyDescent="0.3">
      <c r="C16" s="261" t="s">
        <v>177</v>
      </c>
      <c r="D16" s="255"/>
      <c r="E16" s="433">
        <f>SUM(E14:E15)/SUM($F$14:$F$15)</f>
        <v>1</v>
      </c>
      <c r="F16" s="259"/>
      <c r="G16" s="261"/>
      <c r="H16" s="255"/>
      <c r="I16" s="262"/>
      <c r="L16" s="263"/>
      <c r="M16" s="257"/>
      <c r="N16" s="258"/>
    </row>
    <row r="17" spans="2:24" x14ac:dyDescent="0.3">
      <c r="C17" s="261" t="s">
        <v>172</v>
      </c>
      <c r="D17" s="264"/>
      <c r="E17" s="264">
        <f>E16*$G$17</f>
        <v>0</v>
      </c>
      <c r="F17" s="264">
        <f>E17</f>
        <v>0</v>
      </c>
      <c r="G17" s="264">
        <f>SUM(AR:SM!G73)</f>
        <v>0</v>
      </c>
      <c r="H17" s="264"/>
      <c r="I17" s="264"/>
      <c r="L17" s="263"/>
      <c r="M17" s="257"/>
      <c r="N17" s="258"/>
    </row>
    <row r="18" spans="2:24" x14ac:dyDescent="0.3">
      <c r="C18" s="261" t="s">
        <v>178</v>
      </c>
      <c r="D18" s="259">
        <f>SUM(E11:P11)/12</f>
        <v>0</v>
      </c>
      <c r="E18" s="262">
        <f>D18*12</f>
        <v>0</v>
      </c>
      <c r="F18" s="265"/>
      <c r="K18" s="256"/>
      <c r="L18" s="263"/>
      <c r="M18" s="257"/>
      <c r="N18" s="258"/>
    </row>
    <row r="19" spans="2:24" x14ac:dyDescent="0.3">
      <c r="C19" s="261" t="s">
        <v>179</v>
      </c>
      <c r="D19" s="261">
        <f>SUM(Q11:AB11)/12</f>
        <v>0</v>
      </c>
      <c r="E19" s="262">
        <f t="shared" ref="E19:E20" si="20">D19*12</f>
        <v>0</v>
      </c>
      <c r="I19" s="262"/>
      <c r="K19" s="256"/>
      <c r="L19" s="263"/>
      <c r="M19" s="257"/>
      <c r="N19" s="258"/>
    </row>
    <row r="20" spans="2:24" x14ac:dyDescent="0.3">
      <c r="C20" s="261" t="s">
        <v>180</v>
      </c>
      <c r="D20" s="259">
        <f>SUM(AC11:AN11)/12</f>
        <v>0</v>
      </c>
      <c r="E20" s="262">
        <f t="shared" si="20"/>
        <v>0</v>
      </c>
      <c r="K20" s="256"/>
      <c r="L20" s="263"/>
      <c r="M20" s="257"/>
      <c r="N20" s="258"/>
    </row>
    <row r="21" spans="2:24" x14ac:dyDescent="0.3">
      <c r="C21" s="261" t="s">
        <v>181</v>
      </c>
      <c r="D21" s="262">
        <f>G17</f>
        <v>0</v>
      </c>
      <c r="E21" s="262">
        <f>D21-D20</f>
        <v>0</v>
      </c>
      <c r="K21" s="256"/>
      <c r="L21" s="263"/>
      <c r="M21" s="257"/>
      <c r="N21" s="258"/>
    </row>
    <row r="22" spans="2:24" x14ac:dyDescent="0.3">
      <c r="C22" s="261" t="s">
        <v>182</v>
      </c>
      <c r="D22" s="432" t="e">
        <f>D18/F17</f>
        <v>#DIV/0!</v>
      </c>
      <c r="E22" s="304"/>
      <c r="K22" s="256"/>
      <c r="L22" s="263"/>
      <c r="M22" s="257"/>
      <c r="N22" s="258"/>
    </row>
    <row r="23" spans="2:24" x14ac:dyDescent="0.3">
      <c r="C23" s="261" t="s">
        <v>5268</v>
      </c>
      <c r="D23" s="432">
        <f>SUM(AR:SM!O18)/SUM(AR:SM!P18)</f>
        <v>0.66666666666666663</v>
      </c>
      <c r="E23" s="432">
        <f>SUM(AR:SM!O19)/SUM(AR:SM!P19)</f>
        <v>0.66666666666666663</v>
      </c>
      <c r="F23" s="262"/>
      <c r="K23" s="256"/>
      <c r="L23" s="263"/>
      <c r="M23" s="257"/>
      <c r="N23" s="258"/>
    </row>
    <row r="24" spans="2:24" x14ac:dyDescent="0.3">
      <c r="C24" s="259"/>
      <c r="F24" s="256"/>
      <c r="K24" s="256"/>
      <c r="L24" s="263"/>
      <c r="M24" s="257"/>
      <c r="N24" s="258"/>
    </row>
    <row r="25" spans="2:24" x14ac:dyDescent="0.3">
      <c r="C25" s="259"/>
      <c r="D25" s="498" t="s">
        <v>5278</v>
      </c>
      <c r="E25" s="498" t="s">
        <v>176</v>
      </c>
      <c r="F25" s="498" t="s">
        <v>5279</v>
      </c>
      <c r="G25" s="498"/>
      <c r="K25" s="256"/>
      <c r="L25" s="263"/>
      <c r="M25" s="257"/>
      <c r="N25" s="258"/>
    </row>
    <row r="26" spans="2:24" x14ac:dyDescent="0.3">
      <c r="C26" s="259"/>
      <c r="D26" s="242" t="s">
        <v>5280</v>
      </c>
      <c r="E26" s="499">
        <v>3923196.4963510125</v>
      </c>
      <c r="F26" s="265">
        <f t="shared" ref="F26:F57" si="21">E26/SUM($E$26:$E$78)</f>
        <v>4.9143783897090176E-2</v>
      </c>
      <c r="G26" s="265" t="s">
        <v>5319</v>
      </c>
      <c r="H26" s="308"/>
      <c r="I26" s="308"/>
      <c r="K26" s="256"/>
      <c r="L26" s="256"/>
      <c r="N26" s="266"/>
    </row>
    <row r="27" spans="2:24" x14ac:dyDescent="0.3">
      <c r="C27" s="259"/>
      <c r="D27" s="510" t="s">
        <v>5281</v>
      </c>
      <c r="E27" s="499">
        <v>8770887.7697647046</v>
      </c>
      <c r="F27" s="265">
        <f t="shared" si="21"/>
        <v>0.10986821933182689</v>
      </c>
      <c r="G27" s="533">
        <f>SUM(F26:F28,F58:F60,F62:F63)</f>
        <v>0.28014970953055002</v>
      </c>
      <c r="H27" s="534" t="s">
        <v>5315</v>
      </c>
      <c r="I27" s="528"/>
    </row>
    <row r="28" spans="2:24" x14ac:dyDescent="0.3">
      <c r="C28" s="259"/>
      <c r="D28" s="510" t="s">
        <v>5282</v>
      </c>
      <c r="E28" s="499">
        <v>6843060.5844358727</v>
      </c>
      <c r="F28" s="265">
        <f t="shared" si="21"/>
        <v>8.5719359422603739E-2</v>
      </c>
      <c r="G28" s="535">
        <f>SUM(F29,F55:F56,F54,F61,F71:F73,F64,F65)</f>
        <v>0.20550944332810633</v>
      </c>
      <c r="H28" s="536" t="s">
        <v>5316</v>
      </c>
      <c r="I28" s="528"/>
    </row>
    <row r="29" spans="2:24" x14ac:dyDescent="0.3">
      <c r="C29" s="259"/>
      <c r="D29" s="256" t="s">
        <v>5283</v>
      </c>
      <c r="E29" s="499">
        <v>6361677.5629411777</v>
      </c>
      <c r="F29" s="265">
        <f t="shared" si="21"/>
        <v>7.9689331815761433E-2</v>
      </c>
      <c r="G29" s="535">
        <f>SUM(F66:F69)</f>
        <v>0.46069987519105232</v>
      </c>
      <c r="H29" s="536" t="s">
        <v>5317</v>
      </c>
      <c r="I29" s="528"/>
    </row>
    <row r="30" spans="2:24" hidden="1" x14ac:dyDescent="0.3">
      <c r="E30" s="499"/>
      <c r="F30" s="265">
        <f t="shared" si="21"/>
        <v>0</v>
      </c>
      <c r="G30" s="537"/>
      <c r="H30" s="536"/>
      <c r="I30" s="528"/>
    </row>
    <row r="31" spans="2:24" ht="14.4" hidden="1" x14ac:dyDescent="0.3">
      <c r="B31" s="650" t="s">
        <v>183</v>
      </c>
      <c r="C31" s="267" t="s">
        <v>173</v>
      </c>
      <c r="D31" s="268"/>
      <c r="E31" s="500"/>
      <c r="F31" s="265">
        <f t="shared" si="21"/>
        <v>0</v>
      </c>
      <c r="G31" s="537"/>
      <c r="H31" s="536"/>
      <c r="I31" s="269"/>
      <c r="J31" s="269"/>
      <c r="K31" s="270" t="s">
        <v>184</v>
      </c>
      <c r="L31" s="271"/>
      <c r="M31" s="272"/>
      <c r="N31" s="272" t="s">
        <v>184</v>
      </c>
      <c r="O31" s="272"/>
      <c r="P31" s="272" t="s">
        <v>184</v>
      </c>
      <c r="Q31" s="272"/>
      <c r="R31" s="273"/>
      <c r="S31" s="273"/>
      <c r="T31" s="273"/>
      <c r="U31" s="273"/>
      <c r="V31" s="274"/>
      <c r="W31" s="275"/>
      <c r="X31" s="275"/>
    </row>
    <row r="32" spans="2:24" ht="14.4" hidden="1" x14ac:dyDescent="0.3">
      <c r="B32" s="651"/>
      <c r="C32" s="276"/>
      <c r="D32" s="275"/>
      <c r="E32" s="501"/>
      <c r="F32" s="265">
        <f t="shared" si="21"/>
        <v>0</v>
      </c>
      <c r="G32" s="537"/>
      <c r="H32" s="536"/>
      <c r="I32" s="529"/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</row>
    <row r="33" spans="2:24" ht="14.4" hidden="1" x14ac:dyDescent="0.3">
      <c r="B33" s="651"/>
      <c r="C33" s="267" t="s">
        <v>185</v>
      </c>
      <c r="D33" s="277"/>
      <c r="E33" s="502"/>
      <c r="F33" s="265">
        <f t="shared" si="21"/>
        <v>0</v>
      </c>
      <c r="G33" s="537"/>
      <c r="H33" s="536"/>
      <c r="I33" s="278"/>
      <c r="J33" s="278"/>
      <c r="K33" s="278"/>
      <c r="L33" s="278"/>
      <c r="M33" s="278"/>
      <c r="N33" s="278"/>
      <c r="O33" s="278"/>
      <c r="P33" s="279"/>
      <c r="Q33" s="280" t="s">
        <v>184</v>
      </c>
      <c r="R33" s="279"/>
      <c r="S33" s="273"/>
      <c r="T33" s="273"/>
      <c r="U33" s="273"/>
      <c r="V33" s="274"/>
      <c r="W33" s="275"/>
      <c r="X33" s="275"/>
    </row>
    <row r="34" spans="2:24" ht="14.4" hidden="1" x14ac:dyDescent="0.3">
      <c r="B34" s="651"/>
      <c r="C34" s="276"/>
      <c r="D34" s="275"/>
      <c r="E34" s="501"/>
      <c r="F34" s="265">
        <f t="shared" si="21"/>
        <v>0</v>
      </c>
      <c r="G34" s="537"/>
      <c r="H34" s="536"/>
      <c r="I34" s="529"/>
      <c r="J34" s="275"/>
      <c r="K34" s="275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</row>
    <row r="35" spans="2:24" ht="14.4" hidden="1" x14ac:dyDescent="0.3">
      <c r="B35" s="652"/>
      <c r="C35" s="267" t="s">
        <v>175</v>
      </c>
      <c r="D35" s="281"/>
      <c r="E35" s="503"/>
      <c r="F35" s="265">
        <f t="shared" si="21"/>
        <v>0</v>
      </c>
      <c r="G35" s="537"/>
      <c r="H35" s="536"/>
      <c r="I35" s="282"/>
      <c r="J35" s="282"/>
      <c r="K35" s="282"/>
      <c r="L35" s="282"/>
      <c r="M35" s="282"/>
      <c r="N35" s="282"/>
      <c r="O35" s="282"/>
      <c r="P35" s="282"/>
      <c r="Q35" s="282"/>
      <c r="R35" s="282"/>
      <c r="S35" s="282"/>
      <c r="T35" s="282"/>
      <c r="U35" s="282"/>
      <c r="V35" s="283"/>
      <c r="W35" s="280" t="s">
        <v>184</v>
      </c>
      <c r="X35" s="283"/>
    </row>
    <row r="36" spans="2:24" ht="14.4" hidden="1" x14ac:dyDescent="0.3">
      <c r="B36" s="275"/>
      <c r="C36" s="284"/>
      <c r="D36" s="275"/>
      <c r="E36" s="501"/>
      <c r="F36" s="265">
        <f t="shared" si="21"/>
        <v>0</v>
      </c>
      <c r="G36" s="537"/>
      <c r="H36" s="536"/>
      <c r="I36" s="529"/>
      <c r="J36" s="275"/>
      <c r="K36" s="275"/>
      <c r="L36" s="275"/>
      <c r="M36" s="275"/>
      <c r="N36" s="275"/>
      <c r="O36" s="275"/>
      <c r="P36" s="653"/>
      <c r="Q36" s="275"/>
      <c r="R36" s="275"/>
      <c r="S36" s="275"/>
      <c r="T36" s="275"/>
      <c r="U36" s="275"/>
      <c r="V36" s="275"/>
      <c r="W36" s="275"/>
      <c r="X36" s="275"/>
    </row>
    <row r="37" spans="2:24" ht="14.4" hidden="1" x14ac:dyDescent="0.3">
      <c r="B37" s="275"/>
      <c r="C37" s="284"/>
      <c r="D37" s="275"/>
      <c r="E37" s="501"/>
      <c r="F37" s="265">
        <f t="shared" si="21"/>
        <v>0</v>
      </c>
      <c r="G37" s="537"/>
      <c r="H37" s="536"/>
      <c r="I37" s="529"/>
      <c r="J37" s="275"/>
      <c r="K37" s="275"/>
      <c r="L37" s="275"/>
      <c r="M37" s="275"/>
      <c r="N37" s="275"/>
      <c r="O37" s="275"/>
      <c r="P37" s="654"/>
      <c r="Q37" s="275"/>
      <c r="R37" s="275"/>
      <c r="S37" s="275"/>
      <c r="T37" s="275"/>
      <c r="U37" s="275"/>
      <c r="V37" s="275"/>
      <c r="W37" s="275"/>
      <c r="X37" s="275"/>
    </row>
    <row r="38" spans="2:24" ht="14.4" hidden="1" x14ac:dyDescent="0.3">
      <c r="B38" s="285" t="s">
        <v>186</v>
      </c>
      <c r="C38" s="276"/>
      <c r="D38" s="273"/>
      <c r="E38" s="504"/>
      <c r="F38" s="265">
        <f t="shared" si="21"/>
        <v>0</v>
      </c>
      <c r="G38" s="537"/>
      <c r="H38" s="536"/>
      <c r="I38" s="273"/>
      <c r="J38" s="273"/>
      <c r="K38" s="273"/>
      <c r="L38" s="286" t="s">
        <v>187</v>
      </c>
      <c r="M38" s="273"/>
      <c r="N38" s="273"/>
      <c r="O38" s="286" t="s">
        <v>188</v>
      </c>
      <c r="P38" s="287"/>
      <c r="Q38" s="286" t="s">
        <v>189</v>
      </c>
      <c r="R38" s="286" t="s">
        <v>190</v>
      </c>
      <c r="S38" s="273"/>
      <c r="T38" s="273"/>
      <c r="U38" s="273"/>
      <c r="V38" s="273"/>
      <c r="W38" s="273"/>
      <c r="X38" s="286" t="s">
        <v>191</v>
      </c>
    </row>
    <row r="39" spans="2:24" ht="14.4" hidden="1" x14ac:dyDescent="0.3">
      <c r="B39" s="275"/>
      <c r="C39" s="284"/>
      <c r="D39" s="275"/>
      <c r="E39" s="501"/>
      <c r="F39" s="265">
        <f t="shared" si="21"/>
        <v>0</v>
      </c>
      <c r="G39" s="537"/>
      <c r="H39" s="536"/>
      <c r="I39" s="529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</row>
    <row r="40" spans="2:24" ht="14.4" hidden="1" x14ac:dyDescent="0.3">
      <c r="B40" s="275"/>
      <c r="C40" s="284"/>
      <c r="D40" s="288" t="s">
        <v>192</v>
      </c>
      <c r="E40" s="505"/>
      <c r="F40" s="265">
        <f t="shared" si="21"/>
        <v>0</v>
      </c>
      <c r="G40" s="537"/>
      <c r="H40" s="536"/>
      <c r="I40" s="530" t="s">
        <v>197</v>
      </c>
      <c r="J40" s="289"/>
      <c r="K40" s="288" t="s">
        <v>198</v>
      </c>
      <c r="L40" s="288" t="s">
        <v>199</v>
      </c>
      <c r="M40" s="288" t="s">
        <v>200</v>
      </c>
      <c r="N40" s="288" t="s">
        <v>201</v>
      </c>
      <c r="O40" s="288" t="s">
        <v>202</v>
      </c>
      <c r="P40" s="288" t="s">
        <v>203</v>
      </c>
      <c r="Q40" s="288" t="s">
        <v>192</v>
      </c>
      <c r="R40" s="288" t="s">
        <v>193</v>
      </c>
      <c r="S40" s="288" t="s">
        <v>194</v>
      </c>
      <c r="T40" s="288" t="s">
        <v>195</v>
      </c>
      <c r="U40" s="288" t="s">
        <v>196</v>
      </c>
      <c r="V40" s="288" t="s">
        <v>197</v>
      </c>
      <c r="W40" s="288" t="s">
        <v>198</v>
      </c>
      <c r="X40" s="288" t="s">
        <v>199</v>
      </c>
    </row>
    <row r="41" spans="2:24" ht="14.4" hidden="1" x14ac:dyDescent="0.3">
      <c r="B41" s="644" t="s">
        <v>204</v>
      </c>
      <c r="C41" s="645"/>
      <c r="D41" s="290">
        <v>1</v>
      </c>
      <c r="E41" s="506"/>
      <c r="F41" s="265">
        <f t="shared" si="21"/>
        <v>0</v>
      </c>
      <c r="G41" s="537"/>
      <c r="H41" s="536"/>
      <c r="I41" s="531">
        <v>6</v>
      </c>
      <c r="J41" s="290"/>
      <c r="K41" s="290">
        <v>7</v>
      </c>
      <c r="L41" s="290">
        <v>8</v>
      </c>
      <c r="M41" s="290">
        <v>9</v>
      </c>
      <c r="N41" s="290">
        <v>10</v>
      </c>
      <c r="O41" s="290">
        <v>11</v>
      </c>
      <c r="P41" s="290">
        <v>12</v>
      </c>
      <c r="Q41" s="290">
        <v>13</v>
      </c>
      <c r="R41" s="290">
        <v>14</v>
      </c>
      <c r="S41" s="290">
        <v>15</v>
      </c>
      <c r="T41" s="290">
        <v>16</v>
      </c>
      <c r="U41" s="290">
        <v>17</v>
      </c>
      <c r="V41" s="290">
        <v>18</v>
      </c>
      <c r="W41" s="290">
        <v>19</v>
      </c>
      <c r="X41" s="290">
        <v>20</v>
      </c>
    </row>
    <row r="42" spans="2:24" ht="14.4" hidden="1" x14ac:dyDescent="0.3">
      <c r="B42" s="644" t="s">
        <v>205</v>
      </c>
      <c r="C42" s="645"/>
      <c r="D42" s="291">
        <v>5</v>
      </c>
      <c r="E42" s="507"/>
      <c r="F42" s="265">
        <f t="shared" si="21"/>
        <v>0</v>
      </c>
      <c r="G42" s="537"/>
      <c r="H42" s="536"/>
      <c r="I42" s="532">
        <v>0</v>
      </c>
      <c r="J42" s="291" t="s">
        <v>206</v>
      </c>
      <c r="K42" s="291">
        <v>1</v>
      </c>
      <c r="L42" s="292">
        <v>2</v>
      </c>
      <c r="M42" s="291">
        <v>3</v>
      </c>
      <c r="N42" s="291">
        <v>4</v>
      </c>
      <c r="O42" s="293">
        <v>5</v>
      </c>
      <c r="P42" s="291">
        <v>6</v>
      </c>
      <c r="Q42" s="293">
        <v>7</v>
      </c>
      <c r="R42" s="292">
        <v>8</v>
      </c>
      <c r="S42" s="291">
        <v>9</v>
      </c>
      <c r="T42" s="291">
        <v>10</v>
      </c>
      <c r="U42" s="291">
        <v>11</v>
      </c>
      <c r="V42" s="291">
        <v>12</v>
      </c>
      <c r="W42" s="291">
        <v>13</v>
      </c>
      <c r="X42" s="292">
        <v>14</v>
      </c>
    </row>
    <row r="43" spans="2:24" ht="14.4" hidden="1" x14ac:dyDescent="0.3">
      <c r="B43" s="644" t="s">
        <v>207</v>
      </c>
      <c r="C43" s="645"/>
      <c r="D43" s="291">
        <v>30</v>
      </c>
      <c r="E43" s="507"/>
      <c r="F43" s="265">
        <f t="shared" si="21"/>
        <v>0</v>
      </c>
      <c r="G43" s="537"/>
      <c r="H43" s="536"/>
      <c r="I43" s="532">
        <f>F43+30</f>
        <v>30</v>
      </c>
      <c r="J43" s="291"/>
      <c r="K43" s="291">
        <f>I43+30</f>
        <v>60</v>
      </c>
      <c r="L43" s="291">
        <f t="shared" ref="L43:X44" si="22">K43+30</f>
        <v>90</v>
      </c>
      <c r="M43" s="291">
        <f t="shared" si="22"/>
        <v>120</v>
      </c>
      <c r="N43" s="291">
        <f t="shared" si="22"/>
        <v>150</v>
      </c>
      <c r="O43" s="291">
        <f t="shared" si="22"/>
        <v>180</v>
      </c>
      <c r="P43" s="291">
        <f t="shared" si="22"/>
        <v>210</v>
      </c>
      <c r="Q43" s="291">
        <f t="shared" si="22"/>
        <v>240</v>
      </c>
      <c r="R43" s="291">
        <f t="shared" si="22"/>
        <v>270</v>
      </c>
      <c r="S43" s="291">
        <f t="shared" si="22"/>
        <v>300</v>
      </c>
      <c r="T43" s="291">
        <f t="shared" si="22"/>
        <v>330</v>
      </c>
      <c r="U43" s="291">
        <f t="shared" si="22"/>
        <v>360</v>
      </c>
      <c r="V43" s="291">
        <f t="shared" si="22"/>
        <v>390</v>
      </c>
      <c r="W43" s="291">
        <f t="shared" si="22"/>
        <v>420</v>
      </c>
      <c r="X43" s="291"/>
    </row>
    <row r="44" spans="2:24" ht="14.4" hidden="1" x14ac:dyDescent="0.3">
      <c r="B44" s="646" t="s">
        <v>208</v>
      </c>
      <c r="C44" s="647"/>
      <c r="D44" s="290">
        <v>0</v>
      </c>
      <c r="E44" s="506"/>
      <c r="F44" s="265">
        <f t="shared" si="21"/>
        <v>0</v>
      </c>
      <c r="G44" s="537"/>
      <c r="H44" s="536"/>
      <c r="I44" s="531">
        <f>F44+30</f>
        <v>30</v>
      </c>
      <c r="J44" s="290">
        <f>I44+30</f>
        <v>60</v>
      </c>
      <c r="K44" s="290">
        <f>I44+30</f>
        <v>60</v>
      </c>
      <c r="L44" s="290">
        <f>J44+30</f>
        <v>90</v>
      </c>
      <c r="M44" s="290">
        <f t="shared" si="22"/>
        <v>120</v>
      </c>
      <c r="N44" s="290">
        <f t="shared" si="22"/>
        <v>150</v>
      </c>
      <c r="O44" s="290">
        <f t="shared" si="22"/>
        <v>180</v>
      </c>
      <c r="P44" s="290">
        <f t="shared" si="22"/>
        <v>210</v>
      </c>
      <c r="Q44" s="290">
        <f t="shared" si="22"/>
        <v>240</v>
      </c>
      <c r="R44" s="290">
        <f t="shared" si="22"/>
        <v>270</v>
      </c>
      <c r="S44" s="290">
        <f t="shared" si="22"/>
        <v>300</v>
      </c>
      <c r="T44" s="290">
        <f t="shared" si="22"/>
        <v>330</v>
      </c>
      <c r="U44" s="290">
        <f t="shared" si="22"/>
        <v>360</v>
      </c>
      <c r="V44" s="290">
        <f t="shared" si="22"/>
        <v>390</v>
      </c>
      <c r="W44" s="290">
        <f t="shared" si="22"/>
        <v>420</v>
      </c>
      <c r="X44" s="290">
        <f t="shared" si="22"/>
        <v>450</v>
      </c>
    </row>
    <row r="45" spans="2:24" ht="14.4" hidden="1" x14ac:dyDescent="0.3">
      <c r="B45" s="275"/>
      <c r="C45" s="284"/>
      <c r="D45" s="275"/>
      <c r="E45" s="501"/>
      <c r="F45" s="265">
        <f t="shared" si="21"/>
        <v>0</v>
      </c>
      <c r="G45" s="537"/>
      <c r="H45" s="536"/>
      <c r="I45" s="529"/>
      <c r="J45" s="275"/>
      <c r="K45" s="294">
        <f t="shared" ref="K45:V45" si="23">K43-180</f>
        <v>-120</v>
      </c>
      <c r="L45" s="294">
        <f t="shared" si="23"/>
        <v>-90</v>
      </c>
      <c r="M45" s="294">
        <f t="shared" si="23"/>
        <v>-60</v>
      </c>
      <c r="N45" s="294">
        <f t="shared" si="23"/>
        <v>-30</v>
      </c>
      <c r="O45" s="294">
        <f t="shared" si="23"/>
        <v>0</v>
      </c>
      <c r="P45" s="294">
        <f t="shared" si="23"/>
        <v>30</v>
      </c>
      <c r="Q45" s="294">
        <f t="shared" si="23"/>
        <v>60</v>
      </c>
      <c r="R45" s="294">
        <f t="shared" si="23"/>
        <v>90</v>
      </c>
      <c r="S45" s="294">
        <f t="shared" si="23"/>
        <v>120</v>
      </c>
      <c r="T45" s="294">
        <f t="shared" si="23"/>
        <v>150</v>
      </c>
      <c r="U45" s="294">
        <f t="shared" si="23"/>
        <v>180</v>
      </c>
      <c r="V45" s="294">
        <f t="shared" si="23"/>
        <v>210</v>
      </c>
      <c r="W45" s="275"/>
      <c r="X45" s="275"/>
    </row>
    <row r="46" spans="2:24" ht="13.5" hidden="1" customHeight="1" x14ac:dyDescent="0.3">
      <c r="E46" s="499"/>
      <c r="F46" s="265">
        <f t="shared" si="21"/>
        <v>0</v>
      </c>
      <c r="G46" s="537"/>
      <c r="H46" s="536"/>
      <c r="I46" s="528"/>
    </row>
    <row r="47" spans="2:24" ht="13.5" hidden="1" customHeight="1" x14ac:dyDescent="0.3">
      <c r="E47" s="499"/>
      <c r="F47" s="265">
        <f t="shared" si="21"/>
        <v>0</v>
      </c>
      <c r="G47" s="537"/>
      <c r="H47" s="536"/>
      <c r="I47" s="528"/>
    </row>
    <row r="48" spans="2:24" ht="13.5" hidden="1" customHeight="1" x14ac:dyDescent="0.3">
      <c r="E48" s="499"/>
      <c r="F48" s="265">
        <f t="shared" si="21"/>
        <v>0</v>
      </c>
      <c r="G48" s="537"/>
      <c r="H48" s="536"/>
      <c r="I48" s="528"/>
    </row>
    <row r="49" spans="4:9" ht="13.5" hidden="1" customHeight="1" x14ac:dyDescent="0.3">
      <c r="E49" s="499"/>
      <c r="F49" s="265">
        <f t="shared" si="21"/>
        <v>0</v>
      </c>
      <c r="G49" s="537"/>
      <c r="H49" s="536"/>
      <c r="I49" s="528"/>
    </row>
    <row r="50" spans="4:9" ht="13.5" hidden="1" customHeight="1" x14ac:dyDescent="0.3">
      <c r="E50" s="499"/>
      <c r="F50" s="265">
        <f t="shared" si="21"/>
        <v>0</v>
      </c>
      <c r="G50" s="537"/>
      <c r="H50" s="536"/>
      <c r="I50" s="528"/>
    </row>
    <row r="51" spans="4:9" ht="13.5" hidden="1" customHeight="1" x14ac:dyDescent="0.3">
      <c r="E51" s="499"/>
      <c r="F51" s="265">
        <f t="shared" si="21"/>
        <v>0</v>
      </c>
      <c r="G51" s="537"/>
      <c r="H51" s="536"/>
      <c r="I51" s="528"/>
    </row>
    <row r="52" spans="4:9" ht="13.5" hidden="1" customHeight="1" x14ac:dyDescent="0.3">
      <c r="E52" s="499"/>
      <c r="F52" s="265">
        <f t="shared" si="21"/>
        <v>0</v>
      </c>
      <c r="G52" s="537"/>
      <c r="H52" s="536"/>
      <c r="I52" s="528"/>
    </row>
    <row r="53" spans="4:9" ht="13.5" hidden="1" customHeight="1" x14ac:dyDescent="0.3">
      <c r="E53" s="499"/>
      <c r="F53" s="265">
        <f t="shared" si="21"/>
        <v>0</v>
      </c>
      <c r="G53" s="537"/>
      <c r="H53" s="536"/>
      <c r="I53" s="528"/>
    </row>
    <row r="54" spans="4:9" x14ac:dyDescent="0.3">
      <c r="D54" s="256" t="s">
        <v>5284</v>
      </c>
      <c r="E54" s="499">
        <v>498101.1176470588</v>
      </c>
      <c r="F54" s="265">
        <f t="shared" si="21"/>
        <v>6.2394462544289606E-3</v>
      </c>
      <c r="G54" s="538">
        <f>1-SUM(G27:G29)</f>
        <v>5.3640971950291272E-2</v>
      </c>
      <c r="H54" s="539" t="s">
        <v>5318</v>
      </c>
      <c r="I54" s="528"/>
    </row>
    <row r="55" spans="4:9" x14ac:dyDescent="0.3">
      <c r="D55" s="256" t="s">
        <v>5299</v>
      </c>
      <c r="E55" s="499">
        <v>3836587.2035294129</v>
      </c>
      <c r="F55" s="265">
        <f t="shared" si="21"/>
        <v>4.8058875615319602E-2</v>
      </c>
      <c r="G55" s="256" t="s">
        <v>5327</v>
      </c>
      <c r="H55" s="308">
        <f>G27+G28+G54</f>
        <v>0.53930012480894762</v>
      </c>
    </row>
    <row r="56" spans="4:9" x14ac:dyDescent="0.3">
      <c r="D56" s="256" t="s">
        <v>5300</v>
      </c>
      <c r="E56" s="499">
        <v>2350680.5629411768</v>
      </c>
      <c r="F56" s="265">
        <f t="shared" si="21"/>
        <v>2.9445717976073472E-2</v>
      </c>
      <c r="G56" s="508" t="s">
        <v>5328</v>
      </c>
      <c r="H56" s="308">
        <f>G29</f>
        <v>0.46069987519105232</v>
      </c>
    </row>
    <row r="57" spans="4:9" x14ac:dyDescent="0.3">
      <c r="D57" s="256" t="s">
        <v>5285</v>
      </c>
      <c r="E57" s="499">
        <v>2691161.6082352949</v>
      </c>
      <c r="F57" s="265">
        <f t="shared" si="21"/>
        <v>3.3710741898926311E-2</v>
      </c>
      <c r="G57" s="499"/>
    </row>
    <row r="58" spans="4:9" x14ac:dyDescent="0.3">
      <c r="D58" s="510" t="s">
        <v>5301</v>
      </c>
      <c r="E58" s="499">
        <v>1221756.411764706</v>
      </c>
      <c r="F58" s="265">
        <f t="shared" ref="F58:F78" si="24">E58/SUM($E$26:$E$78)</f>
        <v>1.5304289023120353E-2</v>
      </c>
      <c r="G58" s="499"/>
    </row>
    <row r="59" spans="4:9" x14ac:dyDescent="0.3">
      <c r="D59" s="510" t="s">
        <v>5302</v>
      </c>
      <c r="E59" s="499">
        <v>1006906.0729411764</v>
      </c>
      <c r="F59" s="265">
        <f t="shared" si="24"/>
        <v>1.2612973757320968E-2</v>
      </c>
      <c r="G59" s="499"/>
    </row>
    <row r="60" spans="4:9" x14ac:dyDescent="0.3">
      <c r="D60" s="510" t="s">
        <v>5303</v>
      </c>
      <c r="E60" s="499">
        <v>528353.41176470602</v>
      </c>
      <c r="F60" s="265">
        <f t="shared" si="24"/>
        <v>6.6184005601568705E-3</v>
      </c>
      <c r="G60" s="499"/>
    </row>
    <row r="61" spans="4:9" x14ac:dyDescent="0.3">
      <c r="D61" s="256" t="s">
        <v>5304</v>
      </c>
      <c r="E61" s="499">
        <v>1643641.875</v>
      </c>
      <c r="F61" s="265">
        <f t="shared" si="24"/>
        <v>2.0589022544330163E-2</v>
      </c>
      <c r="G61" s="499"/>
    </row>
    <row r="62" spans="4:9" x14ac:dyDescent="0.3">
      <c r="D62" s="510" t="s">
        <v>5305</v>
      </c>
      <c r="E62" s="499">
        <v>9676.4029411764677</v>
      </c>
      <c r="F62" s="265">
        <f t="shared" si="24"/>
        <v>1.2121112350213453E-4</v>
      </c>
      <c r="G62" s="499"/>
    </row>
    <row r="63" spans="4:9" x14ac:dyDescent="0.3">
      <c r="D63" s="510" t="s">
        <v>5286</v>
      </c>
      <c r="E63" s="499">
        <v>60789.090163934423</v>
      </c>
      <c r="F63" s="265">
        <f t="shared" si="24"/>
        <v>7.614724149289301E-4</v>
      </c>
      <c r="G63" s="499"/>
    </row>
    <row r="64" spans="4:9" x14ac:dyDescent="0.3">
      <c r="D64" s="256" t="s">
        <v>5287</v>
      </c>
      <c r="E64" s="499">
        <v>1201489.818</v>
      </c>
      <c r="F64" s="265">
        <f t="shared" si="24"/>
        <v>1.5050420244121088E-2</v>
      </c>
      <c r="G64" s="499"/>
    </row>
    <row r="65" spans="4:7" x14ac:dyDescent="0.3">
      <c r="D65" s="256" t="s">
        <v>5288</v>
      </c>
      <c r="E65" s="499">
        <v>513842.39999999997</v>
      </c>
      <c r="F65" s="265">
        <f t="shared" si="24"/>
        <v>6.4366288780715788E-3</v>
      </c>
      <c r="G65" s="499"/>
    </row>
    <row r="66" spans="4:7" x14ac:dyDescent="0.3">
      <c r="D66" s="256" t="s">
        <v>5289</v>
      </c>
      <c r="E66" s="499">
        <v>33165519.265186597</v>
      </c>
      <c r="F66" s="265">
        <f t="shared" si="24"/>
        <v>0.41544671879654022</v>
      </c>
      <c r="G66" s="499"/>
    </row>
    <row r="67" spans="4:7" x14ac:dyDescent="0.3">
      <c r="D67" s="256" t="s">
        <v>5290</v>
      </c>
      <c r="E67" s="499">
        <v>115278.50470588233</v>
      </c>
      <c r="F67" s="265">
        <f t="shared" si="24"/>
        <v>1.4440321631900999E-3</v>
      </c>
      <c r="G67" s="499"/>
    </row>
    <row r="68" spans="4:7" x14ac:dyDescent="0.3">
      <c r="D68" s="256" t="s">
        <v>5291</v>
      </c>
      <c r="E68" s="499">
        <v>64253.04</v>
      </c>
      <c r="F68" s="265">
        <f t="shared" si="24"/>
        <v>8.0486346157477141E-4</v>
      </c>
      <c r="G68" s="499"/>
    </row>
    <row r="69" spans="4:7" x14ac:dyDescent="0.3">
      <c r="D69" s="256" t="s">
        <v>5308</v>
      </c>
      <c r="E69" s="499">
        <v>3433072.34</v>
      </c>
      <c r="F69" s="265">
        <f t="shared" si="24"/>
        <v>4.3004260769747241E-2</v>
      </c>
      <c r="G69" s="499"/>
    </row>
    <row r="70" spans="4:7" x14ac:dyDescent="0.3">
      <c r="D70" s="256" t="s">
        <v>5292</v>
      </c>
      <c r="E70" s="508">
        <v>0</v>
      </c>
      <c r="F70" s="265">
        <f t="shared" si="24"/>
        <v>0</v>
      </c>
      <c r="G70" s="499"/>
    </row>
    <row r="71" spans="4:7" x14ac:dyDescent="0.3">
      <c r="D71" s="256" t="s">
        <v>5293</v>
      </c>
      <c r="E71" s="508">
        <v>0</v>
      </c>
      <c r="F71" s="265">
        <f t="shared" si="24"/>
        <v>0</v>
      </c>
      <c r="G71" s="499"/>
    </row>
    <row r="72" spans="4:7" x14ac:dyDescent="0.3">
      <c r="D72" s="256" t="s">
        <v>5306</v>
      </c>
      <c r="E72" s="508">
        <v>0</v>
      </c>
      <c r="F72" s="265">
        <f t="shared" si="24"/>
        <v>0</v>
      </c>
      <c r="G72" s="499"/>
    </row>
    <row r="73" spans="4:7" x14ac:dyDescent="0.3">
      <c r="D73" s="256" t="s">
        <v>5307</v>
      </c>
      <c r="E73" s="508">
        <v>0</v>
      </c>
      <c r="F73" s="265">
        <f t="shared" si="24"/>
        <v>0</v>
      </c>
      <c r="G73" s="499"/>
    </row>
    <row r="74" spans="4:7" x14ac:dyDescent="0.3">
      <c r="D74" s="256" t="s">
        <v>5294</v>
      </c>
      <c r="E74" s="508">
        <v>0</v>
      </c>
      <c r="F74" s="265">
        <f t="shared" si="24"/>
        <v>0</v>
      </c>
      <c r="G74" s="499"/>
    </row>
    <row r="75" spans="4:7" x14ac:dyDescent="0.3">
      <c r="D75" s="256" t="s">
        <v>5295</v>
      </c>
      <c r="E75" s="499">
        <v>1447680.0931255608</v>
      </c>
      <c r="F75" s="265">
        <f t="shared" si="24"/>
        <v>1.8134314127486048E-2</v>
      </c>
      <c r="G75" s="499"/>
    </row>
    <row r="76" spans="4:7" x14ac:dyDescent="0.3">
      <c r="D76" s="256" t="s">
        <v>5296</v>
      </c>
      <c r="E76" s="499">
        <v>0</v>
      </c>
      <c r="F76" s="265">
        <f t="shared" si="24"/>
        <v>0</v>
      </c>
      <c r="G76" s="499"/>
    </row>
    <row r="77" spans="4:7" x14ac:dyDescent="0.3">
      <c r="D77" s="256" t="s">
        <v>5297</v>
      </c>
      <c r="E77" s="499">
        <v>0</v>
      </c>
      <c r="F77" s="265">
        <f t="shared" si="24"/>
        <v>0</v>
      </c>
      <c r="G77" s="499"/>
    </row>
    <row r="78" spans="4:7" x14ac:dyDescent="0.3">
      <c r="D78" s="256" t="s">
        <v>5298</v>
      </c>
      <c r="E78" s="499">
        <v>143369.73064705881</v>
      </c>
      <c r="F78" s="265">
        <f t="shared" si="24"/>
        <v>1.7959159238789999E-3</v>
      </c>
      <c r="G78" s="499"/>
    </row>
    <row r="79" spans="4:7" x14ac:dyDescent="0.3">
      <c r="E79" s="509">
        <f t="shared" ref="E79" si="25">SUM(E26:E78)</f>
        <v>79830981.362086505</v>
      </c>
      <c r="F79" s="308">
        <f>SUM(F26:F78)</f>
        <v>1.0000000000000002</v>
      </c>
      <c r="G79" s="509"/>
    </row>
  </sheetData>
  <mergeCells count="7">
    <mergeCell ref="B43:C43"/>
    <mergeCell ref="B44:C44"/>
    <mergeCell ref="D2:D3"/>
    <mergeCell ref="B31:B35"/>
    <mergeCell ref="P36:P37"/>
    <mergeCell ref="B41:C41"/>
    <mergeCell ref="B42:C42"/>
  </mergeCells>
  <pageMargins left="0.511811024" right="0.511811024" top="0.78740157499999996" bottom="0.78740157499999996" header="0.31496062000000002" footer="0.31496062000000002"/>
  <ignoredErrors>
    <ignoredError sqref="F14:F15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Painel</vt:lpstr>
      <vt:lpstr>Consolidado</vt:lpstr>
      <vt:lpstr>AR</vt:lpstr>
      <vt:lpstr>BT</vt:lpstr>
      <vt:lpstr>PA</vt:lpstr>
      <vt:lpstr>PR</vt:lpstr>
      <vt:lpstr>SM</vt:lpstr>
      <vt:lpstr>Fluxo Rateio</vt:lpstr>
      <vt:lpstr>ramp-up</vt:lpstr>
      <vt:lpstr>WACC</vt:lpstr>
      <vt:lpstr>Cronograma Físico-Financeiro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2025-02-27T00:39:05Z</dcterms:created>
  <dcterms:modified xsi:type="dcterms:W3CDTF">2026-06-23T02:00:34Z</dcterms:modified>
</cp:coreProperties>
</file>